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Work\IOMwork\Rounds\DTM-Round112\"/>
    </mc:Choice>
  </mc:AlternateContent>
  <xr:revisionPtr revIDLastSave="0" documentId="13_ncr:1_{DEEB665F-4459-41BF-9A7D-805DCEFD120F}" xr6:coauthVersionLast="45" xr6:coauthVersionMax="45" xr10:uidLastSave="{00000000-0000-0000-0000-000000000000}"/>
  <bookViews>
    <workbookView xWindow="13550" yWindow="-13850" windowWidth="38620" windowHeight="21220" xr2:uid="{A5E11309-C34E-495B-AEDA-8A7F70988A7F}"/>
  </bookViews>
  <sheets>
    <sheet name="Round 112" sheetId="6" r:id="rId1"/>
    <sheet name="Summary" sheetId="3" r:id="rId2"/>
    <sheet name="DTM Dataset" sheetId="1" r:id="rId3"/>
    <sheet name="Period of Displacement" sheetId="4" r:id="rId4"/>
    <sheet name="Shelter Type" sheetId="5" r:id="rId5"/>
  </sheets>
  <definedNames>
    <definedName name="_xlnm._FilterDatabase" localSheetId="2" hidden="1">'DTM Dataset'!$A$3:$AY$3069</definedName>
    <definedName name="District_of_Displacement">Summary!$A$89:$D$197</definedName>
    <definedName name="Governorate_of_Origin">Summary!$A$30:$K$51</definedName>
    <definedName name="IDP_Per_of_Disp_and_Gov_of_Dis">Summary!$A$53:$K$74</definedName>
    <definedName name="Period_of_Displacement">Summary!$A$76:$D$87</definedName>
    <definedName name="Shelter_Type">Summary!$A$7:$N$28</definedName>
  </definedNames>
  <calcPr calcId="191029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AW4" i="1" l="1"/>
  <c r="AX4" i="1"/>
  <c r="AY4" i="1"/>
  <c r="AW5" i="1"/>
  <c r="AX5" i="1"/>
  <c r="AY5" i="1"/>
  <c r="AW6" i="1"/>
  <c r="AX6" i="1"/>
  <c r="AY6" i="1"/>
  <c r="AW7" i="1"/>
  <c r="AX7" i="1"/>
  <c r="AY7" i="1"/>
  <c r="AW8" i="1"/>
  <c r="AX8" i="1"/>
  <c r="AY8" i="1"/>
  <c r="AW9" i="1"/>
  <c r="AX9" i="1"/>
  <c r="AY9" i="1"/>
  <c r="AW10" i="1"/>
  <c r="AX10" i="1"/>
  <c r="AY10" i="1"/>
  <c r="AW11" i="1"/>
  <c r="AX11" i="1"/>
  <c r="AY11" i="1"/>
  <c r="AW12" i="1"/>
  <c r="AX12" i="1"/>
  <c r="AY12" i="1"/>
  <c r="AW13" i="1"/>
  <c r="AX13" i="1"/>
  <c r="AY13" i="1"/>
  <c r="AW14" i="1"/>
  <c r="AX14" i="1"/>
  <c r="AY14" i="1"/>
  <c r="AW15" i="1"/>
  <c r="AX15" i="1"/>
  <c r="AY15" i="1"/>
  <c r="AW16" i="1"/>
  <c r="AX16" i="1"/>
  <c r="AY16" i="1"/>
  <c r="AW17" i="1"/>
  <c r="AX17" i="1"/>
  <c r="AY17" i="1"/>
  <c r="AW18" i="1"/>
  <c r="AX18" i="1"/>
  <c r="AY18" i="1"/>
  <c r="AW19" i="1"/>
  <c r="AX19" i="1"/>
  <c r="AY19" i="1"/>
  <c r="AW20" i="1"/>
  <c r="AX20" i="1"/>
  <c r="AY20" i="1"/>
  <c r="AW21" i="1"/>
  <c r="AX21" i="1"/>
  <c r="AY21" i="1"/>
  <c r="AW22" i="1"/>
  <c r="AX22" i="1"/>
  <c r="AY22" i="1"/>
  <c r="AW23" i="1"/>
  <c r="AX23" i="1"/>
  <c r="AY23" i="1"/>
  <c r="AW24" i="1"/>
  <c r="AX24" i="1"/>
  <c r="AY24" i="1"/>
  <c r="AW25" i="1"/>
  <c r="AX25" i="1"/>
  <c r="AY25" i="1"/>
  <c r="AW26" i="1"/>
  <c r="AX26" i="1"/>
  <c r="AY26" i="1"/>
  <c r="AW27" i="1"/>
  <c r="AX27" i="1"/>
  <c r="AY27" i="1"/>
  <c r="AW28" i="1"/>
  <c r="AX28" i="1"/>
  <c r="AY28" i="1"/>
  <c r="AW29" i="1"/>
  <c r="AX29" i="1"/>
  <c r="AY29" i="1"/>
  <c r="AW30" i="1"/>
  <c r="AX30" i="1"/>
  <c r="AY30" i="1"/>
  <c r="AW31" i="1"/>
  <c r="AX31" i="1"/>
  <c r="AY31" i="1"/>
  <c r="AW32" i="1"/>
  <c r="AX32" i="1"/>
  <c r="AY32" i="1"/>
  <c r="AW33" i="1"/>
  <c r="AX33" i="1"/>
  <c r="AY33" i="1"/>
  <c r="AW34" i="1"/>
  <c r="AX34" i="1"/>
  <c r="AY34" i="1"/>
  <c r="AW35" i="1"/>
  <c r="AX35" i="1"/>
  <c r="AY35" i="1"/>
  <c r="AW36" i="1"/>
  <c r="AX36" i="1"/>
  <c r="AY36" i="1"/>
  <c r="AW37" i="1"/>
  <c r="AX37" i="1"/>
  <c r="AY37" i="1"/>
  <c r="AW38" i="1"/>
  <c r="AX38" i="1"/>
  <c r="AY38" i="1"/>
  <c r="AW39" i="1"/>
  <c r="AX39" i="1"/>
  <c r="AY39" i="1"/>
  <c r="AW40" i="1"/>
  <c r="AX40" i="1"/>
  <c r="AY40" i="1"/>
  <c r="AW41" i="1"/>
  <c r="AX41" i="1"/>
  <c r="AY41" i="1"/>
  <c r="AW42" i="1"/>
  <c r="AX42" i="1"/>
  <c r="AY42" i="1"/>
  <c r="AW43" i="1"/>
  <c r="AX43" i="1"/>
  <c r="AY43" i="1"/>
  <c r="AW44" i="1"/>
  <c r="AX44" i="1"/>
  <c r="AY44" i="1"/>
  <c r="AW45" i="1"/>
  <c r="AX45" i="1"/>
  <c r="AY45" i="1"/>
  <c r="AW46" i="1"/>
  <c r="AX46" i="1"/>
  <c r="AY46" i="1"/>
  <c r="AW47" i="1"/>
  <c r="AX47" i="1"/>
  <c r="AY47" i="1"/>
  <c r="AW48" i="1"/>
  <c r="AX48" i="1"/>
  <c r="AY48" i="1"/>
  <c r="AW49" i="1"/>
  <c r="AX49" i="1"/>
  <c r="AY49" i="1"/>
  <c r="AW50" i="1"/>
  <c r="AX50" i="1"/>
  <c r="AY50" i="1"/>
  <c r="AW51" i="1"/>
  <c r="AX51" i="1"/>
  <c r="AY51" i="1"/>
  <c r="AW52" i="1"/>
  <c r="AX52" i="1"/>
  <c r="AY52" i="1"/>
  <c r="AW53" i="1"/>
  <c r="AX53" i="1"/>
  <c r="AY53" i="1"/>
  <c r="AW54" i="1"/>
  <c r="AX54" i="1"/>
  <c r="AY54" i="1"/>
  <c r="AW55" i="1"/>
  <c r="AX55" i="1"/>
  <c r="AY55" i="1"/>
  <c r="AW56" i="1"/>
  <c r="AX56" i="1"/>
  <c r="AY56" i="1"/>
  <c r="AW57" i="1"/>
  <c r="AX57" i="1"/>
  <c r="AY57" i="1"/>
  <c r="AW58" i="1"/>
  <c r="AX58" i="1"/>
  <c r="AY58" i="1"/>
  <c r="AW59" i="1"/>
  <c r="AX59" i="1"/>
  <c r="AY59" i="1"/>
  <c r="AW60" i="1"/>
  <c r="AX60" i="1"/>
  <c r="AY60" i="1"/>
  <c r="AW61" i="1"/>
  <c r="AX61" i="1"/>
  <c r="AY61" i="1"/>
  <c r="AW62" i="1"/>
  <c r="AX62" i="1"/>
  <c r="AY62" i="1"/>
  <c r="AW63" i="1"/>
  <c r="AX63" i="1"/>
  <c r="AY63" i="1"/>
  <c r="AW64" i="1"/>
  <c r="AX64" i="1"/>
  <c r="AY64" i="1"/>
  <c r="AW65" i="1"/>
  <c r="AX65" i="1"/>
  <c r="AY65" i="1"/>
  <c r="AW66" i="1"/>
  <c r="AX66" i="1"/>
  <c r="AY66" i="1"/>
  <c r="AW67" i="1"/>
  <c r="AX67" i="1"/>
  <c r="AY67" i="1"/>
  <c r="AW68" i="1"/>
  <c r="AX68" i="1"/>
  <c r="AY68" i="1"/>
  <c r="AW69" i="1"/>
  <c r="AX69" i="1"/>
  <c r="AY69" i="1"/>
  <c r="AW70" i="1"/>
  <c r="AX70" i="1"/>
  <c r="AY70" i="1"/>
  <c r="AW71" i="1"/>
  <c r="AX71" i="1"/>
  <c r="AY71" i="1"/>
  <c r="AW72" i="1"/>
  <c r="AX72" i="1"/>
  <c r="AY72" i="1"/>
  <c r="AW73" i="1"/>
  <c r="AX73" i="1"/>
  <c r="AY73" i="1"/>
  <c r="AW74" i="1"/>
  <c r="AX74" i="1"/>
  <c r="AY74" i="1"/>
  <c r="AW75" i="1"/>
  <c r="AX75" i="1"/>
  <c r="AY75" i="1"/>
  <c r="AW76" i="1"/>
  <c r="AX76" i="1"/>
  <c r="AY76" i="1"/>
  <c r="AW77" i="1"/>
  <c r="AX77" i="1"/>
  <c r="AY77" i="1"/>
  <c r="AW78" i="1"/>
  <c r="AX78" i="1"/>
  <c r="AY78" i="1"/>
  <c r="AW79" i="1"/>
  <c r="AX79" i="1"/>
  <c r="AY79" i="1"/>
  <c r="AW80" i="1"/>
  <c r="AX80" i="1"/>
  <c r="AY80" i="1"/>
  <c r="AW81" i="1"/>
  <c r="AX81" i="1"/>
  <c r="AY81" i="1"/>
  <c r="AW82" i="1"/>
  <c r="AX82" i="1"/>
  <c r="AY82" i="1"/>
  <c r="AW83" i="1"/>
  <c r="AX83" i="1"/>
  <c r="AY83" i="1"/>
  <c r="AW84" i="1"/>
  <c r="AX84" i="1"/>
  <c r="AY84" i="1"/>
  <c r="AW85" i="1"/>
  <c r="AX85" i="1"/>
  <c r="AY85" i="1"/>
  <c r="AW86" i="1"/>
  <c r="AX86" i="1"/>
  <c r="AY86" i="1"/>
  <c r="AW87" i="1"/>
  <c r="AX87" i="1"/>
  <c r="AY87" i="1"/>
  <c r="AW88" i="1"/>
  <c r="AX88" i="1"/>
  <c r="AY88" i="1"/>
  <c r="AW89" i="1"/>
  <c r="AX89" i="1"/>
  <c r="AY89" i="1"/>
  <c r="AW90" i="1"/>
  <c r="AX90" i="1"/>
  <c r="AY90" i="1"/>
  <c r="AW91" i="1"/>
  <c r="AX91" i="1"/>
  <c r="AY91" i="1"/>
  <c r="AW92" i="1"/>
  <c r="AX92" i="1"/>
  <c r="AY92" i="1"/>
  <c r="AW93" i="1"/>
  <c r="AX93" i="1"/>
  <c r="AY93" i="1"/>
  <c r="AW94" i="1"/>
  <c r="AX94" i="1"/>
  <c r="AY94" i="1"/>
  <c r="AW95" i="1"/>
  <c r="AX95" i="1"/>
  <c r="AY95" i="1"/>
  <c r="AW96" i="1"/>
  <c r="AX96" i="1"/>
  <c r="AY96" i="1"/>
  <c r="AW97" i="1"/>
  <c r="AX97" i="1"/>
  <c r="AY97" i="1"/>
  <c r="AW98" i="1"/>
  <c r="AX98" i="1"/>
  <c r="AY98" i="1"/>
  <c r="AW99" i="1"/>
  <c r="AX99" i="1"/>
  <c r="AY99" i="1"/>
  <c r="AW100" i="1"/>
  <c r="AX100" i="1"/>
  <c r="AY100" i="1"/>
  <c r="AW101" i="1"/>
  <c r="AX101" i="1"/>
  <c r="AY101" i="1"/>
  <c r="AW102" i="1"/>
  <c r="AX102" i="1"/>
  <c r="AY102" i="1"/>
  <c r="AW103" i="1"/>
  <c r="AX103" i="1"/>
  <c r="AY103" i="1"/>
  <c r="AW104" i="1"/>
  <c r="AX104" i="1"/>
  <c r="AY104" i="1"/>
  <c r="AW105" i="1"/>
  <c r="AX105" i="1"/>
  <c r="AY105" i="1"/>
  <c r="AW106" i="1"/>
  <c r="AX106" i="1"/>
  <c r="AY106" i="1"/>
  <c r="AW107" i="1"/>
  <c r="AX107" i="1"/>
  <c r="AY107" i="1"/>
  <c r="AW108" i="1"/>
  <c r="AX108" i="1"/>
  <c r="AY108" i="1"/>
  <c r="AW109" i="1"/>
  <c r="AX109" i="1"/>
  <c r="AY109" i="1"/>
  <c r="AW110" i="1"/>
  <c r="AX110" i="1"/>
  <c r="AY110" i="1"/>
  <c r="AW111" i="1"/>
  <c r="AX111" i="1"/>
  <c r="AY111" i="1"/>
  <c r="AW112" i="1"/>
  <c r="AX112" i="1"/>
  <c r="AY112" i="1"/>
  <c r="AW113" i="1"/>
  <c r="AX113" i="1"/>
  <c r="AY113" i="1"/>
  <c r="AW114" i="1"/>
  <c r="AX114" i="1"/>
  <c r="AY114" i="1"/>
  <c r="AW115" i="1"/>
  <c r="AX115" i="1"/>
  <c r="AY115" i="1"/>
  <c r="AW116" i="1"/>
  <c r="AX116" i="1"/>
  <c r="AY116" i="1"/>
  <c r="AW117" i="1"/>
  <c r="AX117" i="1"/>
  <c r="AY117" i="1"/>
  <c r="AW118" i="1"/>
  <c r="AX118" i="1"/>
  <c r="AY118" i="1"/>
  <c r="AW119" i="1"/>
  <c r="AX119" i="1"/>
  <c r="AY119" i="1"/>
  <c r="AW120" i="1"/>
  <c r="AX120" i="1"/>
  <c r="AY120" i="1"/>
  <c r="AW121" i="1"/>
  <c r="AX121" i="1"/>
  <c r="AY121" i="1"/>
  <c r="AW122" i="1"/>
  <c r="AX122" i="1"/>
  <c r="AY122" i="1"/>
  <c r="AW123" i="1"/>
  <c r="AX123" i="1"/>
  <c r="AY123" i="1"/>
  <c r="AW124" i="1"/>
  <c r="AX124" i="1"/>
  <c r="AY124" i="1"/>
  <c r="AW125" i="1"/>
  <c r="AX125" i="1"/>
  <c r="AY125" i="1"/>
  <c r="AW126" i="1"/>
  <c r="AX126" i="1"/>
  <c r="AY126" i="1"/>
  <c r="AW127" i="1"/>
  <c r="AX127" i="1"/>
  <c r="AY127" i="1"/>
  <c r="AW128" i="1"/>
  <c r="AX128" i="1"/>
  <c r="AY128" i="1"/>
  <c r="AW129" i="1"/>
  <c r="AX129" i="1"/>
  <c r="AY129" i="1"/>
  <c r="AW130" i="1"/>
  <c r="AX130" i="1"/>
  <c r="AY130" i="1"/>
  <c r="AW131" i="1"/>
  <c r="AX131" i="1"/>
  <c r="AY131" i="1"/>
  <c r="AW132" i="1"/>
  <c r="AX132" i="1"/>
  <c r="AY132" i="1"/>
  <c r="AW133" i="1"/>
  <c r="AX133" i="1"/>
  <c r="AY133" i="1"/>
  <c r="AW134" i="1"/>
  <c r="AX134" i="1"/>
  <c r="AY134" i="1"/>
  <c r="AW135" i="1"/>
  <c r="AX135" i="1"/>
  <c r="AY135" i="1"/>
  <c r="AW136" i="1"/>
  <c r="AX136" i="1"/>
  <c r="AY136" i="1"/>
  <c r="AW137" i="1"/>
  <c r="AX137" i="1"/>
  <c r="AY137" i="1"/>
  <c r="AW138" i="1"/>
  <c r="AX138" i="1"/>
  <c r="AY138" i="1"/>
  <c r="AW139" i="1"/>
  <c r="AX139" i="1"/>
  <c r="AY139" i="1"/>
  <c r="AW140" i="1"/>
  <c r="AX140" i="1"/>
  <c r="AY140" i="1"/>
  <c r="AW141" i="1"/>
  <c r="AX141" i="1"/>
  <c r="AY141" i="1"/>
  <c r="AW142" i="1"/>
  <c r="AX142" i="1"/>
  <c r="AY142" i="1"/>
  <c r="AW143" i="1"/>
  <c r="AX143" i="1"/>
  <c r="AY143" i="1"/>
  <c r="AW144" i="1"/>
  <c r="AX144" i="1"/>
  <c r="AY144" i="1"/>
  <c r="AW145" i="1"/>
  <c r="AX145" i="1"/>
  <c r="AY145" i="1"/>
  <c r="AW146" i="1"/>
  <c r="AX146" i="1"/>
  <c r="AY146" i="1"/>
  <c r="AW147" i="1"/>
  <c r="AX147" i="1"/>
  <c r="AY147" i="1"/>
  <c r="AW148" i="1"/>
  <c r="AX148" i="1"/>
  <c r="AY148" i="1"/>
  <c r="AW149" i="1"/>
  <c r="AX149" i="1"/>
  <c r="AY149" i="1"/>
  <c r="AW150" i="1"/>
  <c r="AX150" i="1"/>
  <c r="AY150" i="1"/>
  <c r="AW151" i="1"/>
  <c r="AX151" i="1"/>
  <c r="AY151" i="1"/>
  <c r="AW152" i="1"/>
  <c r="AX152" i="1"/>
  <c r="AY152" i="1"/>
  <c r="AW153" i="1"/>
  <c r="AX153" i="1"/>
  <c r="AY153" i="1"/>
  <c r="AW154" i="1"/>
  <c r="AX154" i="1"/>
  <c r="AY154" i="1"/>
  <c r="AW155" i="1"/>
  <c r="AX155" i="1"/>
  <c r="AY155" i="1"/>
  <c r="AW156" i="1"/>
  <c r="AX156" i="1"/>
  <c r="AY156" i="1"/>
  <c r="AW157" i="1"/>
  <c r="AX157" i="1"/>
  <c r="AY157" i="1"/>
  <c r="AW158" i="1"/>
  <c r="AX158" i="1"/>
  <c r="AY158" i="1"/>
  <c r="AW159" i="1"/>
  <c r="AX159" i="1"/>
  <c r="AY159" i="1"/>
  <c r="AW160" i="1"/>
  <c r="AX160" i="1"/>
  <c r="AY160" i="1"/>
  <c r="AW161" i="1"/>
  <c r="AX161" i="1"/>
  <c r="AY161" i="1"/>
  <c r="AW162" i="1"/>
  <c r="AX162" i="1"/>
  <c r="AY162" i="1"/>
  <c r="AW163" i="1"/>
  <c r="AX163" i="1"/>
  <c r="AY163" i="1"/>
  <c r="AW164" i="1"/>
  <c r="AX164" i="1"/>
  <c r="AY164" i="1"/>
  <c r="AW165" i="1"/>
  <c r="AX165" i="1"/>
  <c r="AY165" i="1"/>
  <c r="AW166" i="1"/>
  <c r="AX166" i="1"/>
  <c r="AY166" i="1"/>
  <c r="AW167" i="1"/>
  <c r="AX167" i="1"/>
  <c r="AY167" i="1"/>
  <c r="AW168" i="1"/>
  <c r="AX168" i="1"/>
  <c r="AY168" i="1"/>
  <c r="AW169" i="1"/>
  <c r="AX169" i="1"/>
  <c r="AY169" i="1"/>
  <c r="AW170" i="1"/>
  <c r="AX170" i="1"/>
  <c r="AY170" i="1"/>
  <c r="AW171" i="1"/>
  <c r="AX171" i="1"/>
  <c r="AY171" i="1"/>
  <c r="AW172" i="1"/>
  <c r="AX172" i="1"/>
  <c r="AY172" i="1"/>
  <c r="AW173" i="1"/>
  <c r="AX173" i="1"/>
  <c r="AY173" i="1"/>
  <c r="AW174" i="1"/>
  <c r="AX174" i="1"/>
  <c r="AY174" i="1"/>
  <c r="AW175" i="1"/>
  <c r="AX175" i="1"/>
  <c r="AY175" i="1"/>
  <c r="AW176" i="1"/>
  <c r="AX176" i="1"/>
  <c r="AY176" i="1"/>
  <c r="AW177" i="1"/>
  <c r="AX177" i="1"/>
  <c r="AY177" i="1"/>
  <c r="AW178" i="1"/>
  <c r="AX178" i="1"/>
  <c r="AY178" i="1"/>
  <c r="AW179" i="1"/>
  <c r="AX179" i="1"/>
  <c r="AY179" i="1"/>
  <c r="AW180" i="1"/>
  <c r="AX180" i="1"/>
  <c r="AY180" i="1"/>
  <c r="AW181" i="1"/>
  <c r="AX181" i="1"/>
  <c r="AY181" i="1"/>
  <c r="AW182" i="1"/>
  <c r="AX182" i="1"/>
  <c r="AY182" i="1"/>
  <c r="AW183" i="1"/>
  <c r="AX183" i="1"/>
  <c r="AY183" i="1"/>
  <c r="AW184" i="1"/>
  <c r="AX184" i="1"/>
  <c r="AY184" i="1"/>
  <c r="AW185" i="1"/>
  <c r="AX185" i="1"/>
  <c r="AY185" i="1"/>
  <c r="AW186" i="1"/>
  <c r="AX186" i="1"/>
  <c r="AY186" i="1"/>
  <c r="AW187" i="1"/>
  <c r="AX187" i="1"/>
  <c r="AY187" i="1"/>
  <c r="AW188" i="1"/>
  <c r="AX188" i="1"/>
  <c r="AY188" i="1"/>
  <c r="AW189" i="1"/>
  <c r="AX189" i="1"/>
  <c r="AY189" i="1"/>
  <c r="AW190" i="1"/>
  <c r="AX190" i="1"/>
  <c r="AY190" i="1"/>
  <c r="AW191" i="1"/>
  <c r="AX191" i="1"/>
  <c r="AY191" i="1"/>
  <c r="AW192" i="1"/>
  <c r="AX192" i="1"/>
  <c r="AY192" i="1"/>
  <c r="AW193" i="1"/>
  <c r="AX193" i="1"/>
  <c r="AY193" i="1"/>
  <c r="AW194" i="1"/>
  <c r="AX194" i="1"/>
  <c r="AY194" i="1"/>
  <c r="AW195" i="1"/>
  <c r="AX195" i="1"/>
  <c r="AY195" i="1"/>
  <c r="AW196" i="1"/>
  <c r="AX196" i="1"/>
  <c r="AY196" i="1"/>
  <c r="AW197" i="1"/>
  <c r="AX197" i="1"/>
  <c r="AY197" i="1"/>
  <c r="AW198" i="1"/>
  <c r="AX198" i="1"/>
  <c r="AY198" i="1"/>
  <c r="AW199" i="1"/>
  <c r="AX199" i="1"/>
  <c r="AY199" i="1"/>
  <c r="AW200" i="1"/>
  <c r="AX200" i="1"/>
  <c r="AY200" i="1"/>
  <c r="AW201" i="1"/>
  <c r="AX201" i="1"/>
  <c r="AY201" i="1"/>
  <c r="AW202" i="1"/>
  <c r="AX202" i="1"/>
  <c r="AY202" i="1"/>
  <c r="AW203" i="1"/>
  <c r="AX203" i="1"/>
  <c r="AY203" i="1"/>
  <c r="AW204" i="1"/>
  <c r="AX204" i="1"/>
  <c r="AY204" i="1"/>
  <c r="AW205" i="1"/>
  <c r="AX205" i="1"/>
  <c r="AY205" i="1"/>
  <c r="AW206" i="1"/>
  <c r="AX206" i="1"/>
  <c r="AY206" i="1"/>
  <c r="AW207" i="1"/>
  <c r="AX207" i="1"/>
  <c r="AY207" i="1"/>
  <c r="AW208" i="1"/>
  <c r="AX208" i="1"/>
  <c r="AY208" i="1"/>
  <c r="AW209" i="1"/>
  <c r="AX209" i="1"/>
  <c r="AY209" i="1"/>
  <c r="AW210" i="1"/>
  <c r="AX210" i="1"/>
  <c r="AY210" i="1"/>
  <c r="AW211" i="1"/>
  <c r="AX211" i="1"/>
  <c r="AY211" i="1"/>
  <c r="AW212" i="1"/>
  <c r="AX212" i="1"/>
  <c r="AY212" i="1"/>
  <c r="AW213" i="1"/>
  <c r="AX213" i="1"/>
  <c r="AY213" i="1"/>
  <c r="AW214" i="1"/>
  <c r="AX214" i="1"/>
  <c r="AY214" i="1"/>
  <c r="AW215" i="1"/>
  <c r="AX215" i="1"/>
  <c r="AY215" i="1"/>
  <c r="AW216" i="1"/>
  <c r="AX216" i="1"/>
  <c r="AY216" i="1"/>
  <c r="AW217" i="1"/>
  <c r="AX217" i="1"/>
  <c r="AY217" i="1"/>
  <c r="AW218" i="1"/>
  <c r="AX218" i="1"/>
  <c r="AY218" i="1"/>
  <c r="AW219" i="1"/>
  <c r="AX219" i="1"/>
  <c r="AY219" i="1"/>
  <c r="AW220" i="1"/>
  <c r="AX220" i="1"/>
  <c r="AY220" i="1"/>
  <c r="AW221" i="1"/>
  <c r="AX221" i="1"/>
  <c r="AY221" i="1"/>
  <c r="AW222" i="1"/>
  <c r="AX222" i="1"/>
  <c r="AY222" i="1"/>
  <c r="AW223" i="1"/>
  <c r="AX223" i="1"/>
  <c r="AY223" i="1"/>
  <c r="AW224" i="1"/>
  <c r="AX224" i="1"/>
  <c r="AY224" i="1"/>
  <c r="AW225" i="1"/>
  <c r="AX225" i="1"/>
  <c r="AY225" i="1"/>
  <c r="AW226" i="1"/>
  <c r="AX226" i="1"/>
  <c r="AY226" i="1"/>
  <c r="AW227" i="1"/>
  <c r="AX227" i="1"/>
  <c r="AY227" i="1"/>
  <c r="AW228" i="1"/>
  <c r="AX228" i="1"/>
  <c r="AY228" i="1"/>
  <c r="AW229" i="1"/>
  <c r="AX229" i="1"/>
  <c r="AY229" i="1"/>
  <c r="AW230" i="1"/>
  <c r="AX230" i="1"/>
  <c r="AY230" i="1"/>
  <c r="AW231" i="1"/>
  <c r="AX231" i="1"/>
  <c r="AY231" i="1"/>
  <c r="AW232" i="1"/>
  <c r="AX232" i="1"/>
  <c r="AY232" i="1"/>
  <c r="AW233" i="1"/>
  <c r="AX233" i="1"/>
  <c r="AY233" i="1"/>
  <c r="AW234" i="1"/>
  <c r="AX234" i="1"/>
  <c r="AY234" i="1"/>
  <c r="AW235" i="1"/>
  <c r="AX235" i="1"/>
  <c r="AY235" i="1"/>
  <c r="AW236" i="1"/>
  <c r="AX236" i="1"/>
  <c r="AY236" i="1"/>
  <c r="AW237" i="1"/>
  <c r="AX237" i="1"/>
  <c r="AY237" i="1"/>
  <c r="AW238" i="1"/>
  <c r="AX238" i="1"/>
  <c r="AY238" i="1"/>
  <c r="AW239" i="1"/>
  <c r="AX239" i="1"/>
  <c r="AY239" i="1"/>
  <c r="AW240" i="1"/>
  <c r="AX240" i="1"/>
  <c r="AY240" i="1"/>
  <c r="AW241" i="1"/>
  <c r="AX241" i="1"/>
  <c r="AY241" i="1"/>
  <c r="AW242" i="1"/>
  <c r="AX242" i="1"/>
  <c r="AY242" i="1"/>
  <c r="AW243" i="1"/>
  <c r="AX243" i="1"/>
  <c r="AY243" i="1"/>
  <c r="AW244" i="1"/>
  <c r="AX244" i="1"/>
  <c r="AY244" i="1"/>
  <c r="AW245" i="1"/>
  <c r="AX245" i="1"/>
  <c r="AY245" i="1"/>
  <c r="AW246" i="1"/>
  <c r="AX246" i="1"/>
  <c r="AY246" i="1"/>
  <c r="AW247" i="1"/>
  <c r="AX247" i="1"/>
  <c r="AY247" i="1"/>
  <c r="AW248" i="1"/>
  <c r="AX248" i="1"/>
  <c r="AY248" i="1"/>
  <c r="AW249" i="1"/>
  <c r="AX249" i="1"/>
  <c r="AY249" i="1"/>
  <c r="AW250" i="1"/>
  <c r="AX250" i="1"/>
  <c r="AY250" i="1"/>
  <c r="AW251" i="1"/>
  <c r="AX251" i="1"/>
  <c r="AY251" i="1"/>
  <c r="AW252" i="1"/>
  <c r="AX252" i="1"/>
  <c r="AY252" i="1"/>
  <c r="AW253" i="1"/>
  <c r="AX253" i="1"/>
  <c r="AY253" i="1"/>
  <c r="AW254" i="1"/>
  <c r="AX254" i="1"/>
  <c r="AY254" i="1"/>
  <c r="AW255" i="1"/>
  <c r="AX255" i="1"/>
  <c r="AY255" i="1"/>
  <c r="AW256" i="1"/>
  <c r="AX256" i="1"/>
  <c r="AY256" i="1"/>
  <c r="AW257" i="1"/>
  <c r="AX257" i="1"/>
  <c r="AY257" i="1"/>
  <c r="AW258" i="1"/>
  <c r="AX258" i="1"/>
  <c r="AY258" i="1"/>
  <c r="AW259" i="1"/>
  <c r="AX259" i="1"/>
  <c r="AY259" i="1"/>
  <c r="AW260" i="1"/>
  <c r="AX260" i="1"/>
  <c r="AY260" i="1"/>
  <c r="AW261" i="1"/>
  <c r="AX261" i="1"/>
  <c r="AY261" i="1"/>
  <c r="AW262" i="1"/>
  <c r="AX262" i="1"/>
  <c r="AY262" i="1"/>
  <c r="AW263" i="1"/>
  <c r="AX263" i="1"/>
  <c r="AY263" i="1"/>
  <c r="AW264" i="1"/>
  <c r="AX264" i="1"/>
  <c r="AY264" i="1"/>
  <c r="AW265" i="1"/>
  <c r="AX265" i="1"/>
  <c r="AY265" i="1"/>
  <c r="AW266" i="1"/>
  <c r="AX266" i="1"/>
  <c r="AY266" i="1"/>
  <c r="AW267" i="1"/>
  <c r="AX267" i="1"/>
  <c r="AY267" i="1"/>
  <c r="AW268" i="1"/>
  <c r="AX268" i="1"/>
  <c r="AY268" i="1"/>
  <c r="AW269" i="1"/>
  <c r="AX269" i="1"/>
  <c r="AY269" i="1"/>
  <c r="AW270" i="1"/>
  <c r="AX270" i="1"/>
  <c r="AY270" i="1"/>
  <c r="AW271" i="1"/>
  <c r="AX271" i="1"/>
  <c r="AY271" i="1"/>
  <c r="AW272" i="1"/>
  <c r="AX272" i="1"/>
  <c r="AY272" i="1"/>
  <c r="AW273" i="1"/>
  <c r="AX273" i="1"/>
  <c r="AY273" i="1"/>
  <c r="AW274" i="1"/>
  <c r="AX274" i="1"/>
  <c r="AY274" i="1"/>
  <c r="AW275" i="1"/>
  <c r="AX275" i="1"/>
  <c r="AY275" i="1"/>
  <c r="AW276" i="1"/>
  <c r="AX276" i="1"/>
  <c r="AY276" i="1"/>
  <c r="AW277" i="1"/>
  <c r="AX277" i="1"/>
  <c r="AY277" i="1"/>
  <c r="AW278" i="1"/>
  <c r="AX278" i="1"/>
  <c r="AY278" i="1"/>
  <c r="AW279" i="1"/>
  <c r="AX279" i="1"/>
  <c r="AY279" i="1"/>
  <c r="AW280" i="1"/>
  <c r="AX280" i="1"/>
  <c r="AY280" i="1"/>
  <c r="AW281" i="1"/>
  <c r="AX281" i="1"/>
  <c r="AY281" i="1"/>
  <c r="AW282" i="1"/>
  <c r="AX282" i="1"/>
  <c r="AY282" i="1"/>
  <c r="AW283" i="1"/>
  <c r="AX283" i="1"/>
  <c r="AY283" i="1"/>
  <c r="AW284" i="1"/>
  <c r="AX284" i="1"/>
  <c r="AY284" i="1"/>
  <c r="AW285" i="1"/>
  <c r="AX285" i="1"/>
  <c r="AY285" i="1"/>
  <c r="AW286" i="1"/>
  <c r="AX286" i="1"/>
  <c r="AY286" i="1"/>
  <c r="AW287" i="1"/>
  <c r="AX287" i="1"/>
  <c r="AY287" i="1"/>
  <c r="AW288" i="1"/>
  <c r="AX288" i="1"/>
  <c r="AY288" i="1"/>
  <c r="AW289" i="1"/>
  <c r="AX289" i="1"/>
  <c r="AY289" i="1"/>
  <c r="AW290" i="1"/>
  <c r="AX290" i="1"/>
  <c r="AY290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W315" i="1"/>
  <c r="AX315" i="1"/>
  <c r="AY315" i="1"/>
  <c r="AW316" i="1"/>
  <c r="AX316" i="1"/>
  <c r="AY316" i="1"/>
  <c r="AW317" i="1"/>
  <c r="AX317" i="1"/>
  <c r="AY317" i="1"/>
  <c r="AW318" i="1"/>
  <c r="AX318" i="1"/>
  <c r="AY318" i="1"/>
  <c r="AW319" i="1"/>
  <c r="AX319" i="1"/>
  <c r="AY319" i="1"/>
  <c r="AW320" i="1"/>
  <c r="AX320" i="1"/>
  <c r="AY320" i="1"/>
  <c r="AW321" i="1"/>
  <c r="AX321" i="1"/>
  <c r="AY321" i="1"/>
  <c r="AW322" i="1"/>
  <c r="AX322" i="1"/>
  <c r="AY322" i="1"/>
  <c r="AW323" i="1"/>
  <c r="AX323" i="1"/>
  <c r="AY323" i="1"/>
  <c r="AW324" i="1"/>
  <c r="AX324" i="1"/>
  <c r="AY324" i="1"/>
  <c r="AW325" i="1"/>
  <c r="AX325" i="1"/>
  <c r="AY325" i="1"/>
  <c r="AW326" i="1"/>
  <c r="AX326" i="1"/>
  <c r="AY326" i="1"/>
  <c r="AW327" i="1"/>
  <c r="AX327" i="1"/>
  <c r="AY327" i="1"/>
  <c r="AW328" i="1"/>
  <c r="AX328" i="1"/>
  <c r="AY328" i="1"/>
  <c r="AW329" i="1"/>
  <c r="AX329" i="1"/>
  <c r="AY329" i="1"/>
  <c r="AW330" i="1"/>
  <c r="AX330" i="1"/>
  <c r="AY330" i="1"/>
  <c r="AW331" i="1"/>
  <c r="AX331" i="1"/>
  <c r="AY331" i="1"/>
  <c r="AW332" i="1"/>
  <c r="AX332" i="1"/>
  <c r="AY332" i="1"/>
  <c r="AW333" i="1"/>
  <c r="AX333" i="1"/>
  <c r="AY333" i="1"/>
  <c r="AW334" i="1"/>
  <c r="AX334" i="1"/>
  <c r="AY334" i="1"/>
  <c r="AW335" i="1"/>
  <c r="AX335" i="1"/>
  <c r="AY335" i="1"/>
  <c r="AW336" i="1"/>
  <c r="AX336" i="1"/>
  <c r="AY336" i="1"/>
  <c r="AW337" i="1"/>
  <c r="AX337" i="1"/>
  <c r="AY337" i="1"/>
  <c r="AW338" i="1"/>
  <c r="AX338" i="1"/>
  <c r="AY338" i="1"/>
  <c r="AW339" i="1"/>
  <c r="AX339" i="1"/>
  <c r="AY339" i="1"/>
  <c r="AW340" i="1"/>
  <c r="AX340" i="1"/>
  <c r="AY340" i="1"/>
  <c r="AW341" i="1"/>
  <c r="AX341" i="1"/>
  <c r="AY341" i="1"/>
  <c r="AW342" i="1"/>
  <c r="AX342" i="1"/>
  <c r="AY342" i="1"/>
  <c r="AW343" i="1"/>
  <c r="AX343" i="1"/>
  <c r="AY343" i="1"/>
  <c r="AW344" i="1"/>
  <c r="AX344" i="1"/>
  <c r="AY344" i="1"/>
  <c r="AW345" i="1"/>
  <c r="AX345" i="1"/>
  <c r="AY345" i="1"/>
  <c r="AW346" i="1"/>
  <c r="AX346" i="1"/>
  <c r="AY346" i="1"/>
  <c r="AW347" i="1"/>
  <c r="AX347" i="1"/>
  <c r="AY347" i="1"/>
  <c r="AW348" i="1"/>
  <c r="AX348" i="1"/>
  <c r="AY348" i="1"/>
  <c r="AW349" i="1"/>
  <c r="AX349" i="1"/>
  <c r="AY349" i="1"/>
  <c r="AW350" i="1"/>
  <c r="AX350" i="1"/>
  <c r="AY350" i="1"/>
  <c r="AW351" i="1"/>
  <c r="AX351" i="1"/>
  <c r="AY351" i="1"/>
  <c r="AW352" i="1"/>
  <c r="AX352" i="1"/>
  <c r="AY352" i="1"/>
  <c r="AW353" i="1"/>
  <c r="AX353" i="1"/>
  <c r="AY353" i="1"/>
  <c r="AW354" i="1"/>
  <c r="AX354" i="1"/>
  <c r="AY354" i="1"/>
  <c r="AW355" i="1"/>
  <c r="AX355" i="1"/>
  <c r="AY355" i="1"/>
  <c r="AW356" i="1"/>
  <c r="AX356" i="1"/>
  <c r="AY356" i="1"/>
  <c r="AW357" i="1"/>
  <c r="AX357" i="1"/>
  <c r="AY357" i="1"/>
  <c r="AW358" i="1"/>
  <c r="AX358" i="1"/>
  <c r="AY358" i="1"/>
  <c r="AW359" i="1"/>
  <c r="AX359" i="1"/>
  <c r="AY359" i="1"/>
  <c r="AW360" i="1"/>
  <c r="AX360" i="1"/>
  <c r="AY360" i="1"/>
  <c r="AW361" i="1"/>
  <c r="AX361" i="1"/>
  <c r="AY361" i="1"/>
  <c r="AW362" i="1"/>
  <c r="AX362" i="1"/>
  <c r="AY362" i="1"/>
  <c r="AW363" i="1"/>
  <c r="AX363" i="1"/>
  <c r="AY363" i="1"/>
  <c r="AW364" i="1"/>
  <c r="AX364" i="1"/>
  <c r="AY364" i="1"/>
  <c r="AW365" i="1"/>
  <c r="AX365" i="1"/>
  <c r="AY365" i="1"/>
  <c r="AW366" i="1"/>
  <c r="AX366" i="1"/>
  <c r="AY366" i="1"/>
  <c r="AW367" i="1"/>
  <c r="AX367" i="1"/>
  <c r="AY367" i="1"/>
  <c r="AW368" i="1"/>
  <c r="AX368" i="1"/>
  <c r="AY368" i="1"/>
  <c r="AW369" i="1"/>
  <c r="AX369" i="1"/>
  <c r="AY369" i="1"/>
  <c r="AW370" i="1"/>
  <c r="AX370" i="1"/>
  <c r="AY370" i="1"/>
  <c r="AW371" i="1"/>
  <c r="AX371" i="1"/>
  <c r="AY371" i="1"/>
  <c r="AW372" i="1"/>
  <c r="AX372" i="1"/>
  <c r="AY372" i="1"/>
  <c r="AW373" i="1"/>
  <c r="AX373" i="1"/>
  <c r="AY373" i="1"/>
  <c r="AW374" i="1"/>
  <c r="AX374" i="1"/>
  <c r="AY374" i="1"/>
  <c r="AW375" i="1"/>
  <c r="AX375" i="1"/>
  <c r="AY375" i="1"/>
  <c r="AW376" i="1"/>
  <c r="AX376" i="1"/>
  <c r="AY376" i="1"/>
  <c r="AW377" i="1"/>
  <c r="AX377" i="1"/>
  <c r="AY377" i="1"/>
  <c r="AW378" i="1"/>
  <c r="AX378" i="1"/>
  <c r="AY378" i="1"/>
  <c r="AW379" i="1"/>
  <c r="AX379" i="1"/>
  <c r="AY379" i="1"/>
  <c r="AW380" i="1"/>
  <c r="AX380" i="1"/>
  <c r="AY380" i="1"/>
  <c r="AW381" i="1"/>
  <c r="AX381" i="1"/>
  <c r="AY381" i="1"/>
  <c r="AW382" i="1"/>
  <c r="AX382" i="1"/>
  <c r="AY382" i="1"/>
  <c r="AW383" i="1"/>
  <c r="AX383" i="1"/>
  <c r="AY383" i="1"/>
  <c r="AW384" i="1"/>
  <c r="AX384" i="1"/>
  <c r="AY384" i="1"/>
  <c r="AW385" i="1"/>
  <c r="AX385" i="1"/>
  <c r="AY385" i="1"/>
  <c r="AW386" i="1"/>
  <c r="AX386" i="1"/>
  <c r="AY386" i="1"/>
  <c r="AW387" i="1"/>
  <c r="AX387" i="1"/>
  <c r="AY387" i="1"/>
  <c r="AW388" i="1"/>
  <c r="AX388" i="1"/>
  <c r="AY388" i="1"/>
  <c r="AW389" i="1"/>
  <c r="AX389" i="1"/>
  <c r="AY389" i="1"/>
  <c r="AW390" i="1"/>
  <c r="AX390" i="1"/>
  <c r="AY390" i="1"/>
  <c r="AW391" i="1"/>
  <c r="AX391" i="1"/>
  <c r="AY391" i="1"/>
  <c r="AW392" i="1"/>
  <c r="AX392" i="1"/>
  <c r="AY392" i="1"/>
  <c r="AW393" i="1"/>
  <c r="AX393" i="1"/>
  <c r="AY393" i="1"/>
  <c r="AW394" i="1"/>
  <c r="AX394" i="1"/>
  <c r="AY394" i="1"/>
  <c r="AW395" i="1"/>
  <c r="AX395" i="1"/>
  <c r="AY395" i="1"/>
  <c r="AW396" i="1"/>
  <c r="AX396" i="1"/>
  <c r="AY396" i="1"/>
  <c r="AW397" i="1"/>
  <c r="AX397" i="1"/>
  <c r="AY397" i="1"/>
  <c r="AW398" i="1"/>
  <c r="AX398" i="1"/>
  <c r="AY398" i="1"/>
  <c r="AW399" i="1"/>
  <c r="AX399" i="1"/>
  <c r="AY399" i="1"/>
  <c r="AW400" i="1"/>
  <c r="AX400" i="1"/>
  <c r="AY400" i="1"/>
  <c r="AW401" i="1"/>
  <c r="AX401" i="1"/>
  <c r="AY401" i="1"/>
  <c r="AW402" i="1"/>
  <c r="AX402" i="1"/>
  <c r="AY402" i="1"/>
  <c r="AW403" i="1"/>
  <c r="AX403" i="1"/>
  <c r="AY403" i="1"/>
  <c r="AW404" i="1"/>
  <c r="AX404" i="1"/>
  <c r="AY404" i="1"/>
  <c r="AW405" i="1"/>
  <c r="AX405" i="1"/>
  <c r="AY405" i="1"/>
  <c r="AW406" i="1"/>
  <c r="AX406" i="1"/>
  <c r="AY406" i="1"/>
  <c r="AW407" i="1"/>
  <c r="AX407" i="1"/>
  <c r="AY407" i="1"/>
  <c r="AW408" i="1"/>
  <c r="AX408" i="1"/>
  <c r="AY408" i="1"/>
  <c r="AW409" i="1"/>
  <c r="AX409" i="1"/>
  <c r="AY409" i="1"/>
  <c r="AW410" i="1"/>
  <c r="AX410" i="1"/>
  <c r="AY410" i="1"/>
  <c r="AW411" i="1"/>
  <c r="AX411" i="1"/>
  <c r="AY411" i="1"/>
  <c r="AW412" i="1"/>
  <c r="AX412" i="1"/>
  <c r="AY412" i="1"/>
  <c r="AW413" i="1"/>
  <c r="AX413" i="1"/>
  <c r="AY413" i="1"/>
  <c r="AW414" i="1"/>
  <c r="AX414" i="1"/>
  <c r="AY414" i="1"/>
  <c r="AW415" i="1"/>
  <c r="AX415" i="1"/>
  <c r="AY415" i="1"/>
  <c r="AW416" i="1"/>
  <c r="AX416" i="1"/>
  <c r="AY416" i="1"/>
  <c r="AW417" i="1"/>
  <c r="AX417" i="1"/>
  <c r="AY417" i="1"/>
  <c r="AW418" i="1"/>
  <c r="AX418" i="1"/>
  <c r="AY418" i="1"/>
  <c r="AW419" i="1"/>
  <c r="AX419" i="1"/>
  <c r="AY419" i="1"/>
  <c r="AW420" i="1"/>
  <c r="AX420" i="1"/>
  <c r="AY420" i="1"/>
  <c r="AW421" i="1"/>
  <c r="AX421" i="1"/>
  <c r="AY421" i="1"/>
  <c r="AW422" i="1"/>
  <c r="AX422" i="1"/>
  <c r="AY422" i="1"/>
  <c r="AW423" i="1"/>
  <c r="AX423" i="1"/>
  <c r="AY423" i="1"/>
  <c r="AW424" i="1"/>
  <c r="AX424" i="1"/>
  <c r="AY424" i="1"/>
  <c r="AW425" i="1"/>
  <c r="AX425" i="1"/>
  <c r="AY425" i="1"/>
  <c r="AW426" i="1"/>
  <c r="AX426" i="1"/>
  <c r="AY426" i="1"/>
  <c r="AW427" i="1"/>
  <c r="AX427" i="1"/>
  <c r="AY427" i="1"/>
  <c r="AW428" i="1"/>
  <c r="AX428" i="1"/>
  <c r="AY428" i="1"/>
  <c r="AW429" i="1"/>
  <c r="AX429" i="1"/>
  <c r="AY429" i="1"/>
  <c r="AW430" i="1"/>
  <c r="AX430" i="1"/>
  <c r="AY430" i="1"/>
  <c r="AW431" i="1"/>
  <c r="AX431" i="1"/>
  <c r="AY431" i="1"/>
  <c r="AW432" i="1"/>
  <c r="AX432" i="1"/>
  <c r="AY432" i="1"/>
  <c r="AW433" i="1"/>
  <c r="AX433" i="1"/>
  <c r="AY433" i="1"/>
  <c r="AW434" i="1"/>
  <c r="AX434" i="1"/>
  <c r="AY434" i="1"/>
  <c r="AW435" i="1"/>
  <c r="AX435" i="1"/>
  <c r="AY435" i="1"/>
  <c r="AW436" i="1"/>
  <c r="AX436" i="1"/>
  <c r="AY436" i="1"/>
  <c r="AW437" i="1"/>
  <c r="AX437" i="1"/>
  <c r="AY437" i="1"/>
  <c r="AW438" i="1"/>
  <c r="AX438" i="1"/>
  <c r="AY438" i="1"/>
  <c r="AW439" i="1"/>
  <c r="AX439" i="1"/>
  <c r="AY439" i="1"/>
  <c r="AW440" i="1"/>
  <c r="AX440" i="1"/>
  <c r="AY440" i="1"/>
  <c r="AW441" i="1"/>
  <c r="AX441" i="1"/>
  <c r="AY441" i="1"/>
  <c r="AW442" i="1"/>
  <c r="AX442" i="1"/>
  <c r="AY442" i="1"/>
  <c r="AW443" i="1"/>
  <c r="AX443" i="1"/>
  <c r="AY443" i="1"/>
  <c r="AW444" i="1"/>
  <c r="AX444" i="1"/>
  <c r="AY444" i="1"/>
  <c r="AW445" i="1"/>
  <c r="AX445" i="1"/>
  <c r="AY445" i="1"/>
  <c r="AW446" i="1"/>
  <c r="AX446" i="1"/>
  <c r="AY446" i="1"/>
  <c r="AW447" i="1"/>
  <c r="AX447" i="1"/>
  <c r="AY447" i="1"/>
  <c r="AW448" i="1"/>
  <c r="AX448" i="1"/>
  <c r="AY448" i="1"/>
  <c r="AW449" i="1"/>
  <c r="AX449" i="1"/>
  <c r="AY449" i="1"/>
  <c r="AW450" i="1"/>
  <c r="AX450" i="1"/>
  <c r="AY450" i="1"/>
  <c r="AW451" i="1"/>
  <c r="AX451" i="1"/>
  <c r="AY451" i="1"/>
  <c r="AW452" i="1"/>
  <c r="AX452" i="1"/>
  <c r="AY452" i="1"/>
  <c r="AW453" i="1"/>
  <c r="AX453" i="1"/>
  <c r="AY453" i="1"/>
  <c r="AW454" i="1"/>
  <c r="AX454" i="1"/>
  <c r="AY454" i="1"/>
  <c r="AW455" i="1"/>
  <c r="AX455" i="1"/>
  <c r="AY455" i="1"/>
  <c r="AW456" i="1"/>
  <c r="AX456" i="1"/>
  <c r="AY456" i="1"/>
  <c r="AW457" i="1"/>
  <c r="AX457" i="1"/>
  <c r="AY457" i="1"/>
  <c r="AW458" i="1"/>
  <c r="AX458" i="1"/>
  <c r="AY458" i="1"/>
  <c r="AW459" i="1"/>
  <c r="AX459" i="1"/>
  <c r="AY459" i="1"/>
  <c r="AW460" i="1"/>
  <c r="AX460" i="1"/>
  <c r="AY460" i="1"/>
  <c r="AW461" i="1"/>
  <c r="AX461" i="1"/>
  <c r="AY461" i="1"/>
  <c r="AW462" i="1"/>
  <c r="AX462" i="1"/>
  <c r="AY462" i="1"/>
  <c r="AW463" i="1"/>
  <c r="AX463" i="1"/>
  <c r="AY463" i="1"/>
  <c r="AW464" i="1"/>
  <c r="AX464" i="1"/>
  <c r="AY464" i="1"/>
  <c r="AW465" i="1"/>
  <c r="AX465" i="1"/>
  <c r="AY465" i="1"/>
  <c r="AW466" i="1"/>
  <c r="AX466" i="1"/>
  <c r="AY466" i="1"/>
  <c r="AW467" i="1"/>
  <c r="AX467" i="1"/>
  <c r="AY467" i="1"/>
  <c r="AW468" i="1"/>
  <c r="AX468" i="1"/>
  <c r="AY468" i="1"/>
  <c r="AW469" i="1"/>
  <c r="AX469" i="1"/>
  <c r="AY469" i="1"/>
  <c r="AW470" i="1"/>
  <c r="AX470" i="1"/>
  <c r="AY470" i="1"/>
  <c r="AW471" i="1"/>
  <c r="AX471" i="1"/>
  <c r="AY471" i="1"/>
  <c r="AW472" i="1"/>
  <c r="AX472" i="1"/>
  <c r="AY472" i="1"/>
  <c r="AW473" i="1"/>
  <c r="AX473" i="1"/>
  <c r="AY473" i="1"/>
  <c r="AW474" i="1"/>
  <c r="AX474" i="1"/>
  <c r="AY474" i="1"/>
  <c r="AW475" i="1"/>
  <c r="AX475" i="1"/>
  <c r="AY475" i="1"/>
  <c r="AW476" i="1"/>
  <c r="AX476" i="1"/>
  <c r="AY476" i="1"/>
  <c r="AW477" i="1"/>
  <c r="AX477" i="1"/>
  <c r="AY477" i="1"/>
  <c r="AW478" i="1"/>
  <c r="AX478" i="1"/>
  <c r="AY478" i="1"/>
  <c r="AW479" i="1"/>
  <c r="AX479" i="1"/>
  <c r="AY479" i="1"/>
  <c r="AW480" i="1"/>
  <c r="AX480" i="1"/>
  <c r="AY480" i="1"/>
  <c r="AW481" i="1"/>
  <c r="AX481" i="1"/>
  <c r="AY481" i="1"/>
  <c r="AW482" i="1"/>
  <c r="AX482" i="1"/>
  <c r="AY482" i="1"/>
  <c r="AW483" i="1"/>
  <c r="AX483" i="1"/>
  <c r="AY483" i="1"/>
  <c r="AW484" i="1"/>
  <c r="AX484" i="1"/>
  <c r="AY484" i="1"/>
  <c r="AW485" i="1"/>
  <c r="AX485" i="1"/>
  <c r="AY485" i="1"/>
  <c r="AW486" i="1"/>
  <c r="AX486" i="1"/>
  <c r="AY486" i="1"/>
  <c r="AW487" i="1"/>
  <c r="AX487" i="1"/>
  <c r="AY487" i="1"/>
  <c r="AW488" i="1"/>
  <c r="AX488" i="1"/>
  <c r="AY488" i="1"/>
  <c r="AW489" i="1"/>
  <c r="AX489" i="1"/>
  <c r="AY489" i="1"/>
  <c r="AW490" i="1"/>
  <c r="AX490" i="1"/>
  <c r="AY490" i="1"/>
  <c r="AW491" i="1"/>
  <c r="AX491" i="1"/>
  <c r="AY491" i="1"/>
  <c r="AW492" i="1"/>
  <c r="AX492" i="1"/>
  <c r="AY492" i="1"/>
  <c r="AW493" i="1"/>
  <c r="AX493" i="1"/>
  <c r="AY493" i="1"/>
  <c r="AW494" i="1"/>
  <c r="AX494" i="1"/>
  <c r="AY494" i="1"/>
  <c r="AW495" i="1"/>
  <c r="AX495" i="1"/>
  <c r="AY495" i="1"/>
  <c r="AW496" i="1"/>
  <c r="AX496" i="1"/>
  <c r="AY496" i="1"/>
  <c r="AW497" i="1"/>
  <c r="AX497" i="1"/>
  <c r="AY497" i="1"/>
  <c r="AW498" i="1"/>
  <c r="AX498" i="1"/>
  <c r="AY498" i="1"/>
  <c r="AW499" i="1"/>
  <c r="AX499" i="1"/>
  <c r="AY499" i="1"/>
  <c r="AW500" i="1"/>
  <c r="AX500" i="1"/>
  <c r="AY500" i="1"/>
  <c r="AW501" i="1"/>
  <c r="AX501" i="1"/>
  <c r="AY501" i="1"/>
  <c r="AW502" i="1"/>
  <c r="AX502" i="1"/>
  <c r="AY502" i="1"/>
  <c r="AW503" i="1"/>
  <c r="AX503" i="1"/>
  <c r="AY503" i="1"/>
  <c r="AW504" i="1"/>
  <c r="AX504" i="1"/>
  <c r="AY504" i="1"/>
  <c r="AW505" i="1"/>
  <c r="AX505" i="1"/>
  <c r="AY505" i="1"/>
  <c r="AW506" i="1"/>
  <c r="AX506" i="1"/>
  <c r="AY506" i="1"/>
  <c r="AW507" i="1"/>
  <c r="AX507" i="1"/>
  <c r="AY507" i="1"/>
  <c r="AW508" i="1"/>
  <c r="AX508" i="1"/>
  <c r="AY508" i="1"/>
  <c r="AW509" i="1"/>
  <c r="AX509" i="1"/>
  <c r="AY509" i="1"/>
  <c r="AW510" i="1"/>
  <c r="AX510" i="1"/>
  <c r="AY510" i="1"/>
  <c r="AW511" i="1"/>
  <c r="AX511" i="1"/>
  <c r="AY511" i="1"/>
  <c r="AW512" i="1"/>
  <c r="AX512" i="1"/>
  <c r="AY512" i="1"/>
  <c r="AW513" i="1"/>
  <c r="AX513" i="1"/>
  <c r="AY513" i="1"/>
  <c r="AW514" i="1"/>
  <c r="AX514" i="1"/>
  <c r="AY514" i="1"/>
  <c r="AW515" i="1"/>
  <c r="AX515" i="1"/>
  <c r="AY515" i="1"/>
  <c r="AW516" i="1"/>
  <c r="AX516" i="1"/>
  <c r="AY516" i="1"/>
  <c r="AW517" i="1"/>
  <c r="AX517" i="1"/>
  <c r="AY517" i="1"/>
  <c r="AW518" i="1"/>
  <c r="AX518" i="1"/>
  <c r="AY518" i="1"/>
  <c r="AW519" i="1"/>
  <c r="AX519" i="1"/>
  <c r="AY519" i="1"/>
  <c r="AW520" i="1"/>
  <c r="AX520" i="1"/>
  <c r="AY520" i="1"/>
  <c r="AW521" i="1"/>
  <c r="AX521" i="1"/>
  <c r="AY521" i="1"/>
  <c r="AW522" i="1"/>
  <c r="AX522" i="1"/>
  <c r="AY522" i="1"/>
  <c r="AW523" i="1"/>
  <c r="AX523" i="1"/>
  <c r="AY523" i="1"/>
  <c r="AW524" i="1"/>
  <c r="AX524" i="1"/>
  <c r="AY524" i="1"/>
  <c r="AW525" i="1"/>
  <c r="AX525" i="1"/>
  <c r="AY525" i="1"/>
  <c r="AW526" i="1"/>
  <c r="AX526" i="1"/>
  <c r="AY526" i="1"/>
  <c r="AW527" i="1"/>
  <c r="AX527" i="1"/>
  <c r="AY527" i="1"/>
  <c r="AW528" i="1"/>
  <c r="AX528" i="1"/>
  <c r="AY528" i="1"/>
  <c r="AW529" i="1"/>
  <c r="AX529" i="1"/>
  <c r="AY529" i="1"/>
  <c r="AW530" i="1"/>
  <c r="AX530" i="1"/>
  <c r="AY530" i="1"/>
  <c r="AW531" i="1"/>
  <c r="AX531" i="1"/>
  <c r="AY531" i="1"/>
  <c r="AW532" i="1"/>
  <c r="AX532" i="1"/>
  <c r="AY532" i="1"/>
  <c r="AW533" i="1"/>
  <c r="AX533" i="1"/>
  <c r="AY533" i="1"/>
  <c r="AW534" i="1"/>
  <c r="AX534" i="1"/>
  <c r="AY534" i="1"/>
  <c r="AW535" i="1"/>
  <c r="AX535" i="1"/>
  <c r="AY535" i="1"/>
  <c r="AW536" i="1"/>
  <c r="AX536" i="1"/>
  <c r="AY536" i="1"/>
  <c r="AW537" i="1"/>
  <c r="AX537" i="1"/>
  <c r="AY537" i="1"/>
  <c r="AW538" i="1"/>
  <c r="AX538" i="1"/>
  <c r="AY538" i="1"/>
  <c r="AW539" i="1"/>
  <c r="AX539" i="1"/>
  <c r="AY539" i="1"/>
  <c r="AW540" i="1"/>
  <c r="AX540" i="1"/>
  <c r="AY540" i="1"/>
  <c r="AW541" i="1"/>
  <c r="AX541" i="1"/>
  <c r="AY541" i="1"/>
  <c r="AW542" i="1"/>
  <c r="AX542" i="1"/>
  <c r="AY542" i="1"/>
  <c r="AW543" i="1"/>
  <c r="AX543" i="1"/>
  <c r="AY543" i="1"/>
  <c r="AW544" i="1"/>
  <c r="AX544" i="1"/>
  <c r="AY544" i="1"/>
  <c r="AW545" i="1"/>
  <c r="AX545" i="1"/>
  <c r="AY545" i="1"/>
  <c r="AW546" i="1"/>
  <c r="AX546" i="1"/>
  <c r="AY546" i="1"/>
  <c r="AW547" i="1"/>
  <c r="AX547" i="1"/>
  <c r="AY547" i="1"/>
  <c r="AW548" i="1"/>
  <c r="AX548" i="1"/>
  <c r="AY548" i="1"/>
  <c r="AW549" i="1"/>
  <c r="AX549" i="1"/>
  <c r="AY549" i="1"/>
  <c r="AW550" i="1"/>
  <c r="AX550" i="1"/>
  <c r="AY550" i="1"/>
  <c r="AW551" i="1"/>
  <c r="AX551" i="1"/>
  <c r="AY551" i="1"/>
  <c r="AW552" i="1"/>
  <c r="AX552" i="1"/>
  <c r="AY552" i="1"/>
  <c r="AW553" i="1"/>
  <c r="AX553" i="1"/>
  <c r="AY553" i="1"/>
  <c r="AW554" i="1"/>
  <c r="AX554" i="1"/>
  <c r="AY554" i="1"/>
  <c r="AW555" i="1"/>
  <c r="AX555" i="1"/>
  <c r="AY555" i="1"/>
  <c r="AW556" i="1"/>
  <c r="AX556" i="1"/>
  <c r="AY556" i="1"/>
  <c r="AW557" i="1"/>
  <c r="AX557" i="1"/>
  <c r="AY557" i="1"/>
  <c r="AW558" i="1"/>
  <c r="AX558" i="1"/>
  <c r="AY558" i="1"/>
  <c r="AW559" i="1"/>
  <c r="AX559" i="1"/>
  <c r="AY559" i="1"/>
  <c r="AW560" i="1"/>
  <c r="AX560" i="1"/>
  <c r="AY560" i="1"/>
  <c r="AW561" i="1"/>
  <c r="AX561" i="1"/>
  <c r="AY561" i="1"/>
  <c r="AW562" i="1"/>
  <c r="AX562" i="1"/>
  <c r="AY562" i="1"/>
  <c r="AW563" i="1"/>
  <c r="AX563" i="1"/>
  <c r="AY563" i="1"/>
  <c r="AW564" i="1"/>
  <c r="AX564" i="1"/>
  <c r="AY564" i="1"/>
  <c r="AW565" i="1"/>
  <c r="AX565" i="1"/>
  <c r="AY565" i="1"/>
  <c r="AW566" i="1"/>
  <c r="AX566" i="1"/>
  <c r="AY566" i="1"/>
  <c r="AW567" i="1"/>
  <c r="AX567" i="1"/>
  <c r="AY567" i="1"/>
  <c r="AW568" i="1"/>
  <c r="AX568" i="1"/>
  <c r="AY568" i="1"/>
  <c r="AW569" i="1"/>
  <c r="AX569" i="1"/>
  <c r="AY569" i="1"/>
  <c r="AW570" i="1"/>
  <c r="AX570" i="1"/>
  <c r="AY570" i="1"/>
  <c r="AW571" i="1"/>
  <c r="AX571" i="1"/>
  <c r="AY571" i="1"/>
  <c r="AW572" i="1"/>
  <c r="AX572" i="1"/>
  <c r="AY572" i="1"/>
  <c r="AW573" i="1"/>
  <c r="AX573" i="1"/>
  <c r="AY573" i="1"/>
  <c r="AW574" i="1"/>
  <c r="AX574" i="1"/>
  <c r="AY574" i="1"/>
  <c r="AW575" i="1"/>
  <c r="AX575" i="1"/>
  <c r="AY575" i="1"/>
  <c r="AW576" i="1"/>
  <c r="AX576" i="1"/>
  <c r="AY576" i="1"/>
  <c r="AW577" i="1"/>
  <c r="AX577" i="1"/>
  <c r="AY577" i="1"/>
  <c r="AW578" i="1"/>
  <c r="AX578" i="1"/>
  <c r="AY578" i="1"/>
  <c r="AW579" i="1"/>
  <c r="AX579" i="1"/>
  <c r="AY579" i="1"/>
  <c r="AW580" i="1"/>
  <c r="AX580" i="1"/>
  <c r="AY580" i="1"/>
  <c r="AW581" i="1"/>
  <c r="AX581" i="1"/>
  <c r="AY581" i="1"/>
  <c r="AW582" i="1"/>
  <c r="AX582" i="1"/>
  <c r="AY582" i="1"/>
  <c r="AW583" i="1"/>
  <c r="AX583" i="1"/>
  <c r="AY583" i="1"/>
  <c r="AW584" i="1"/>
  <c r="AX584" i="1"/>
  <c r="AY584" i="1"/>
  <c r="AW585" i="1"/>
  <c r="AX585" i="1"/>
  <c r="AY585" i="1"/>
  <c r="AW586" i="1"/>
  <c r="AX586" i="1"/>
  <c r="AY586" i="1"/>
  <c r="AW587" i="1"/>
  <c r="AX587" i="1"/>
  <c r="AY587" i="1"/>
  <c r="AW588" i="1"/>
  <c r="AX588" i="1"/>
  <c r="AY588" i="1"/>
  <c r="AW589" i="1"/>
  <c r="AX589" i="1"/>
  <c r="AY589" i="1"/>
  <c r="AW590" i="1"/>
  <c r="AX590" i="1"/>
  <c r="AY590" i="1"/>
  <c r="AW591" i="1"/>
  <c r="AX591" i="1"/>
  <c r="AY591" i="1"/>
  <c r="AW592" i="1"/>
  <c r="AX592" i="1"/>
  <c r="AY592" i="1"/>
  <c r="AW593" i="1"/>
  <c r="AX593" i="1"/>
  <c r="AY593" i="1"/>
  <c r="AW594" i="1"/>
  <c r="AX594" i="1"/>
  <c r="AY594" i="1"/>
  <c r="AW595" i="1"/>
  <c r="AX595" i="1"/>
  <c r="AY595" i="1"/>
  <c r="AW596" i="1"/>
  <c r="AX596" i="1"/>
  <c r="AY596" i="1"/>
  <c r="AW597" i="1"/>
  <c r="AX597" i="1"/>
  <c r="AY597" i="1"/>
  <c r="AW598" i="1"/>
  <c r="AX598" i="1"/>
  <c r="AY598" i="1"/>
  <c r="AW599" i="1"/>
  <c r="AX599" i="1"/>
  <c r="AY599" i="1"/>
  <c r="AW600" i="1"/>
  <c r="AX600" i="1"/>
  <c r="AY600" i="1"/>
  <c r="AW601" i="1"/>
  <c r="AX601" i="1"/>
  <c r="AY601" i="1"/>
  <c r="AW602" i="1"/>
  <c r="AX602" i="1"/>
  <c r="AY602" i="1"/>
  <c r="AW603" i="1"/>
  <c r="AX603" i="1"/>
  <c r="AY603" i="1"/>
  <c r="AW604" i="1"/>
  <c r="AX604" i="1"/>
  <c r="AY604" i="1"/>
  <c r="AW605" i="1"/>
  <c r="AX605" i="1"/>
  <c r="AY605" i="1"/>
  <c r="AW606" i="1"/>
  <c r="AX606" i="1"/>
  <c r="AY606" i="1"/>
  <c r="AW607" i="1"/>
  <c r="AX607" i="1"/>
  <c r="AY607" i="1"/>
  <c r="AW608" i="1"/>
  <c r="AX608" i="1"/>
  <c r="AY608" i="1"/>
  <c r="AW609" i="1"/>
  <c r="AX609" i="1"/>
  <c r="AY609" i="1"/>
  <c r="AW610" i="1"/>
  <c r="AX610" i="1"/>
  <c r="AY610" i="1"/>
  <c r="AW611" i="1"/>
  <c r="AX611" i="1"/>
  <c r="AY611" i="1"/>
  <c r="AW612" i="1"/>
  <c r="AX612" i="1"/>
  <c r="AY612" i="1"/>
  <c r="AW613" i="1"/>
  <c r="AX613" i="1"/>
  <c r="AY613" i="1"/>
  <c r="AW614" i="1"/>
  <c r="AX614" i="1"/>
  <c r="AY614" i="1"/>
  <c r="AW615" i="1"/>
  <c r="AX615" i="1"/>
  <c r="AY615" i="1"/>
  <c r="AW616" i="1"/>
  <c r="AX616" i="1"/>
  <c r="AY616" i="1"/>
  <c r="AW617" i="1"/>
  <c r="AX617" i="1"/>
  <c r="AY617" i="1"/>
  <c r="AW618" i="1"/>
  <c r="AX618" i="1"/>
  <c r="AY618" i="1"/>
  <c r="AW619" i="1"/>
  <c r="AX619" i="1"/>
  <c r="AY619" i="1"/>
  <c r="AW620" i="1"/>
  <c r="AX620" i="1"/>
  <c r="AY620" i="1"/>
  <c r="AW621" i="1"/>
  <c r="AX621" i="1"/>
  <c r="AY621" i="1"/>
  <c r="AW622" i="1"/>
  <c r="AX622" i="1"/>
  <c r="AY622" i="1"/>
  <c r="AW623" i="1"/>
  <c r="AX623" i="1"/>
  <c r="AY623" i="1"/>
  <c r="AW624" i="1"/>
  <c r="AX624" i="1"/>
  <c r="AY624" i="1"/>
  <c r="AW625" i="1"/>
  <c r="AX625" i="1"/>
  <c r="AY625" i="1"/>
  <c r="AW626" i="1"/>
  <c r="AX626" i="1"/>
  <c r="AY626" i="1"/>
  <c r="AW627" i="1"/>
  <c r="AX627" i="1"/>
  <c r="AY627" i="1"/>
  <c r="AW628" i="1"/>
  <c r="AX628" i="1"/>
  <c r="AY628" i="1"/>
  <c r="AW629" i="1"/>
  <c r="AX629" i="1"/>
  <c r="AY629" i="1"/>
  <c r="AW630" i="1"/>
  <c r="AX630" i="1"/>
  <c r="AY630" i="1"/>
  <c r="AW631" i="1"/>
  <c r="AX631" i="1"/>
  <c r="AY631" i="1"/>
  <c r="AW632" i="1"/>
  <c r="AX632" i="1"/>
  <c r="AY632" i="1"/>
  <c r="AW633" i="1"/>
  <c r="AX633" i="1"/>
  <c r="AY633" i="1"/>
  <c r="AW634" i="1"/>
  <c r="AX634" i="1"/>
  <c r="AY634" i="1"/>
  <c r="AW635" i="1"/>
  <c r="AX635" i="1"/>
  <c r="AY635" i="1"/>
  <c r="AW636" i="1"/>
  <c r="AX636" i="1"/>
  <c r="AY636" i="1"/>
  <c r="AW637" i="1"/>
  <c r="AX637" i="1"/>
  <c r="AY637" i="1"/>
  <c r="AW638" i="1"/>
  <c r="AX638" i="1"/>
  <c r="AY638" i="1"/>
  <c r="AW639" i="1"/>
  <c r="AX639" i="1"/>
  <c r="AY639" i="1"/>
  <c r="AW640" i="1"/>
  <c r="AX640" i="1"/>
  <c r="AY640" i="1"/>
  <c r="AW641" i="1"/>
  <c r="AX641" i="1"/>
  <c r="AY641" i="1"/>
  <c r="AW642" i="1"/>
  <c r="AX642" i="1"/>
  <c r="AY642" i="1"/>
  <c r="AW643" i="1"/>
  <c r="AX643" i="1"/>
  <c r="AY643" i="1"/>
  <c r="AW644" i="1"/>
  <c r="AX644" i="1"/>
  <c r="AY644" i="1"/>
  <c r="AW645" i="1"/>
  <c r="AX645" i="1"/>
  <c r="AY645" i="1"/>
  <c r="AW646" i="1"/>
  <c r="AX646" i="1"/>
  <c r="AY646" i="1"/>
  <c r="AW647" i="1"/>
  <c r="AX647" i="1"/>
  <c r="AY647" i="1"/>
  <c r="AW648" i="1"/>
  <c r="AX648" i="1"/>
  <c r="AY648" i="1"/>
  <c r="AW649" i="1"/>
  <c r="AX649" i="1"/>
  <c r="AY649" i="1"/>
  <c r="AW650" i="1"/>
  <c r="AX650" i="1"/>
  <c r="AY650" i="1"/>
  <c r="AW651" i="1"/>
  <c r="AX651" i="1"/>
  <c r="AY651" i="1"/>
  <c r="AW652" i="1"/>
  <c r="AX652" i="1"/>
  <c r="AY652" i="1"/>
  <c r="AW653" i="1"/>
  <c r="AX653" i="1"/>
  <c r="AY653" i="1"/>
  <c r="AW654" i="1"/>
  <c r="AX654" i="1"/>
  <c r="AY654" i="1"/>
  <c r="AW655" i="1"/>
  <c r="AX655" i="1"/>
  <c r="AY655" i="1"/>
  <c r="AW656" i="1"/>
  <c r="AX656" i="1"/>
  <c r="AY656" i="1"/>
  <c r="AW657" i="1"/>
  <c r="AX657" i="1"/>
  <c r="AY657" i="1"/>
  <c r="AW658" i="1"/>
  <c r="AX658" i="1"/>
  <c r="AY658" i="1"/>
  <c r="AW659" i="1"/>
  <c r="AX659" i="1"/>
  <c r="AY659" i="1"/>
  <c r="AW660" i="1"/>
  <c r="AX660" i="1"/>
  <c r="AY660" i="1"/>
  <c r="AW661" i="1"/>
  <c r="AX661" i="1"/>
  <c r="AY661" i="1"/>
  <c r="AW662" i="1"/>
  <c r="AX662" i="1"/>
  <c r="AY662" i="1"/>
  <c r="AW663" i="1"/>
  <c r="AX663" i="1"/>
  <c r="AY663" i="1"/>
  <c r="AW664" i="1"/>
  <c r="AX664" i="1"/>
  <c r="AY664" i="1"/>
  <c r="AW665" i="1"/>
  <c r="AX665" i="1"/>
  <c r="AY665" i="1"/>
  <c r="AW666" i="1"/>
  <c r="AX666" i="1"/>
  <c r="AY666" i="1"/>
  <c r="AW667" i="1"/>
  <c r="AX667" i="1"/>
  <c r="AY667" i="1"/>
  <c r="AW668" i="1"/>
  <c r="AX668" i="1"/>
  <c r="AY668" i="1"/>
  <c r="AW669" i="1"/>
  <c r="AX669" i="1"/>
  <c r="AY669" i="1"/>
  <c r="AW670" i="1"/>
  <c r="AX670" i="1"/>
  <c r="AY670" i="1"/>
  <c r="AW671" i="1"/>
  <c r="AX671" i="1"/>
  <c r="AY671" i="1"/>
  <c r="AW672" i="1"/>
  <c r="AX672" i="1"/>
  <c r="AY672" i="1"/>
  <c r="AW673" i="1"/>
  <c r="AX673" i="1"/>
  <c r="AY673" i="1"/>
  <c r="AW674" i="1"/>
  <c r="AX674" i="1"/>
  <c r="AY674" i="1"/>
  <c r="AW675" i="1"/>
  <c r="AX675" i="1"/>
  <c r="AY675" i="1"/>
  <c r="AW676" i="1"/>
  <c r="AX676" i="1"/>
  <c r="AY676" i="1"/>
  <c r="AW677" i="1"/>
  <c r="AX677" i="1"/>
  <c r="AY677" i="1"/>
  <c r="AW678" i="1"/>
  <c r="AX678" i="1"/>
  <c r="AY678" i="1"/>
  <c r="AW679" i="1"/>
  <c r="AX679" i="1"/>
  <c r="AY679" i="1"/>
  <c r="AW680" i="1"/>
  <c r="AX680" i="1"/>
  <c r="AY680" i="1"/>
  <c r="AW681" i="1"/>
  <c r="AX681" i="1"/>
  <c r="AY681" i="1"/>
  <c r="AW682" i="1"/>
  <c r="AX682" i="1"/>
  <c r="AY682" i="1"/>
  <c r="AW683" i="1"/>
  <c r="AX683" i="1"/>
  <c r="AY683" i="1"/>
  <c r="AW684" i="1"/>
  <c r="AX684" i="1"/>
  <c r="AY684" i="1"/>
  <c r="AW685" i="1"/>
  <c r="AX685" i="1"/>
  <c r="AY685" i="1"/>
  <c r="AW686" i="1"/>
  <c r="AX686" i="1"/>
  <c r="AY686" i="1"/>
  <c r="AW687" i="1"/>
  <c r="AX687" i="1"/>
  <c r="AY687" i="1"/>
  <c r="AW688" i="1"/>
  <c r="AX688" i="1"/>
  <c r="AY688" i="1"/>
  <c r="AW689" i="1"/>
  <c r="AX689" i="1"/>
  <c r="AY689" i="1"/>
  <c r="AW690" i="1"/>
  <c r="AX690" i="1"/>
  <c r="AY690" i="1"/>
  <c r="AW691" i="1"/>
  <c r="AX691" i="1"/>
  <c r="AY691" i="1"/>
  <c r="AW692" i="1"/>
  <c r="AX692" i="1"/>
  <c r="AY692" i="1"/>
  <c r="AW693" i="1"/>
  <c r="AX693" i="1"/>
  <c r="AY693" i="1"/>
  <c r="AW694" i="1"/>
  <c r="AX694" i="1"/>
  <c r="AY694" i="1"/>
  <c r="AW695" i="1"/>
  <c r="AX695" i="1"/>
  <c r="AY695" i="1"/>
  <c r="AW696" i="1"/>
  <c r="AX696" i="1"/>
  <c r="AY696" i="1"/>
  <c r="AW697" i="1"/>
  <c r="AX697" i="1"/>
  <c r="AY697" i="1"/>
  <c r="AW698" i="1"/>
  <c r="AX698" i="1"/>
  <c r="AY698" i="1"/>
  <c r="AW699" i="1"/>
  <c r="AX699" i="1"/>
  <c r="AY699" i="1"/>
  <c r="AW700" i="1"/>
  <c r="AX700" i="1"/>
  <c r="AY700" i="1"/>
  <c r="AW701" i="1"/>
  <c r="AX701" i="1"/>
  <c r="AY701" i="1"/>
  <c r="AW702" i="1"/>
  <c r="AX702" i="1"/>
  <c r="AY702" i="1"/>
  <c r="AW703" i="1"/>
  <c r="AX703" i="1"/>
  <c r="AY703" i="1"/>
  <c r="AW704" i="1"/>
  <c r="AX704" i="1"/>
  <c r="AY704" i="1"/>
  <c r="AW705" i="1"/>
  <c r="AX705" i="1"/>
  <c r="AY705" i="1"/>
  <c r="AW706" i="1"/>
  <c r="AX706" i="1"/>
  <c r="AY706" i="1"/>
  <c r="AW707" i="1"/>
  <c r="AX707" i="1"/>
  <c r="AY707" i="1"/>
  <c r="AW708" i="1"/>
  <c r="AX708" i="1"/>
  <c r="AY708" i="1"/>
  <c r="AW709" i="1"/>
  <c r="AX709" i="1"/>
  <c r="AY709" i="1"/>
  <c r="AW710" i="1"/>
  <c r="AX710" i="1"/>
  <c r="AY710" i="1"/>
  <c r="AW711" i="1"/>
  <c r="AX711" i="1"/>
  <c r="AY711" i="1"/>
  <c r="AW712" i="1"/>
  <c r="AX712" i="1"/>
  <c r="AY712" i="1"/>
  <c r="AW713" i="1"/>
  <c r="AX713" i="1"/>
  <c r="AY713" i="1"/>
  <c r="AW714" i="1"/>
  <c r="AX714" i="1"/>
  <c r="AY714" i="1"/>
  <c r="AW715" i="1"/>
  <c r="AX715" i="1"/>
  <c r="AY715" i="1"/>
  <c r="AW716" i="1"/>
  <c r="AX716" i="1"/>
  <c r="AY716" i="1"/>
  <c r="AW717" i="1"/>
  <c r="AX717" i="1"/>
  <c r="AY717" i="1"/>
  <c r="AW718" i="1"/>
  <c r="AX718" i="1"/>
  <c r="AY718" i="1"/>
  <c r="AW719" i="1"/>
  <c r="AX719" i="1"/>
  <c r="AY719" i="1"/>
  <c r="AW720" i="1"/>
  <c r="AX720" i="1"/>
  <c r="AY720" i="1"/>
  <c r="AW721" i="1"/>
  <c r="AX721" i="1"/>
  <c r="AY721" i="1"/>
  <c r="AW722" i="1"/>
  <c r="AX722" i="1"/>
  <c r="AY722" i="1"/>
  <c r="AW723" i="1"/>
  <c r="AX723" i="1"/>
  <c r="AY723" i="1"/>
  <c r="AW724" i="1"/>
  <c r="AX724" i="1"/>
  <c r="AY724" i="1"/>
  <c r="AW725" i="1"/>
  <c r="AX725" i="1"/>
  <c r="AY725" i="1"/>
  <c r="AW726" i="1"/>
  <c r="AX726" i="1"/>
  <c r="AY726" i="1"/>
  <c r="AW727" i="1"/>
  <c r="AX727" i="1"/>
  <c r="AY727" i="1"/>
  <c r="AW728" i="1"/>
  <c r="AX728" i="1"/>
  <c r="AY728" i="1"/>
  <c r="AW729" i="1"/>
  <c r="AX729" i="1"/>
  <c r="AY729" i="1"/>
  <c r="AW730" i="1"/>
  <c r="AX730" i="1"/>
  <c r="AY730" i="1"/>
  <c r="AW731" i="1"/>
  <c r="AX731" i="1"/>
  <c r="AY731" i="1"/>
  <c r="AW732" i="1"/>
  <c r="AX732" i="1"/>
  <c r="AY732" i="1"/>
  <c r="AW733" i="1"/>
  <c r="AX733" i="1"/>
  <c r="AY733" i="1"/>
  <c r="AW734" i="1"/>
  <c r="AX734" i="1"/>
  <c r="AY734" i="1"/>
  <c r="AW735" i="1"/>
  <c r="AX735" i="1"/>
  <c r="AY735" i="1"/>
  <c r="AW736" i="1"/>
  <c r="AX736" i="1"/>
  <c r="AY736" i="1"/>
  <c r="AW737" i="1"/>
  <c r="AX737" i="1"/>
  <c r="AY737" i="1"/>
  <c r="AW738" i="1"/>
  <c r="AX738" i="1"/>
  <c r="AY738" i="1"/>
  <c r="AW739" i="1"/>
  <c r="AX739" i="1"/>
  <c r="AY739" i="1"/>
  <c r="AW740" i="1"/>
  <c r="AX740" i="1"/>
  <c r="AY740" i="1"/>
  <c r="AW741" i="1"/>
  <c r="AX741" i="1"/>
  <c r="AY741" i="1"/>
  <c r="AW742" i="1"/>
  <c r="AX742" i="1"/>
  <c r="AY742" i="1"/>
  <c r="AW743" i="1"/>
  <c r="AX743" i="1"/>
  <c r="AY743" i="1"/>
  <c r="AW744" i="1"/>
  <c r="AX744" i="1"/>
  <c r="AY744" i="1"/>
  <c r="AW745" i="1"/>
  <c r="AX745" i="1"/>
  <c r="AY745" i="1"/>
  <c r="AW746" i="1"/>
  <c r="AX746" i="1"/>
  <c r="AY746" i="1"/>
  <c r="AW747" i="1"/>
  <c r="AX747" i="1"/>
  <c r="AY747" i="1"/>
  <c r="AW748" i="1"/>
  <c r="AX748" i="1"/>
  <c r="AY748" i="1"/>
  <c r="AW749" i="1"/>
  <c r="AX749" i="1"/>
  <c r="AY749" i="1"/>
  <c r="AW750" i="1"/>
  <c r="AX750" i="1"/>
  <c r="AY750" i="1"/>
  <c r="AW751" i="1"/>
  <c r="AX751" i="1"/>
  <c r="AY751" i="1"/>
  <c r="AW752" i="1"/>
  <c r="AX752" i="1"/>
  <c r="AY752" i="1"/>
  <c r="AW753" i="1"/>
  <c r="AX753" i="1"/>
  <c r="AY753" i="1"/>
  <c r="AW754" i="1"/>
  <c r="AX754" i="1"/>
  <c r="AY754" i="1"/>
  <c r="AW755" i="1"/>
  <c r="AX755" i="1"/>
  <c r="AY755" i="1"/>
  <c r="AW756" i="1"/>
  <c r="AX756" i="1"/>
  <c r="AY756" i="1"/>
  <c r="AW757" i="1"/>
  <c r="AX757" i="1"/>
  <c r="AY757" i="1"/>
  <c r="AW758" i="1"/>
  <c r="AX758" i="1"/>
  <c r="AY758" i="1"/>
  <c r="AW759" i="1"/>
  <c r="AX759" i="1"/>
  <c r="AY759" i="1"/>
  <c r="AW760" i="1"/>
  <c r="AX760" i="1"/>
  <c r="AY760" i="1"/>
  <c r="AW761" i="1"/>
  <c r="AX761" i="1"/>
  <c r="AY761" i="1"/>
  <c r="AW762" i="1"/>
  <c r="AX762" i="1"/>
  <c r="AY762" i="1"/>
  <c r="AW763" i="1"/>
  <c r="AX763" i="1"/>
  <c r="AY763" i="1"/>
  <c r="AW764" i="1"/>
  <c r="AX764" i="1"/>
  <c r="AY764" i="1"/>
  <c r="AW765" i="1"/>
  <c r="AX765" i="1"/>
  <c r="AY765" i="1"/>
  <c r="AW766" i="1"/>
  <c r="AX766" i="1"/>
  <c r="AY766" i="1"/>
  <c r="AW767" i="1"/>
  <c r="AX767" i="1"/>
  <c r="AY767" i="1"/>
  <c r="AW768" i="1"/>
  <c r="AX768" i="1"/>
  <c r="AY768" i="1"/>
  <c r="AW769" i="1"/>
  <c r="AX769" i="1"/>
  <c r="AY769" i="1"/>
  <c r="AW770" i="1"/>
  <c r="AX770" i="1"/>
  <c r="AY770" i="1"/>
  <c r="AW771" i="1"/>
  <c r="AX771" i="1"/>
  <c r="AY771" i="1"/>
  <c r="AW772" i="1"/>
  <c r="AX772" i="1"/>
  <c r="AY772" i="1"/>
  <c r="AW773" i="1"/>
  <c r="AX773" i="1"/>
  <c r="AY773" i="1"/>
  <c r="AW774" i="1"/>
  <c r="AX774" i="1"/>
  <c r="AY774" i="1"/>
  <c r="AW775" i="1"/>
  <c r="AX775" i="1"/>
  <c r="AY775" i="1"/>
  <c r="AW776" i="1"/>
  <c r="AX776" i="1"/>
  <c r="AY776" i="1"/>
  <c r="AW777" i="1"/>
  <c r="AX777" i="1"/>
  <c r="AY777" i="1"/>
  <c r="AW778" i="1"/>
  <c r="AX778" i="1"/>
  <c r="AY778" i="1"/>
  <c r="AW779" i="1"/>
  <c r="AX779" i="1"/>
  <c r="AY779" i="1"/>
  <c r="AW780" i="1"/>
  <c r="AX780" i="1"/>
  <c r="AY780" i="1"/>
  <c r="AW781" i="1"/>
  <c r="AX781" i="1"/>
  <c r="AY781" i="1"/>
  <c r="AW782" i="1"/>
  <c r="AX782" i="1"/>
  <c r="AY782" i="1"/>
  <c r="AW783" i="1"/>
  <c r="AX783" i="1"/>
  <c r="AY783" i="1"/>
  <c r="AW784" i="1"/>
  <c r="AX784" i="1"/>
  <c r="AY784" i="1"/>
  <c r="AW785" i="1"/>
  <c r="AX785" i="1"/>
  <c r="AY785" i="1"/>
  <c r="AW786" i="1"/>
  <c r="AX786" i="1"/>
  <c r="AY786" i="1"/>
  <c r="AW787" i="1"/>
  <c r="AX787" i="1"/>
  <c r="AY787" i="1"/>
  <c r="AW788" i="1"/>
  <c r="AX788" i="1"/>
  <c r="AY788" i="1"/>
  <c r="AW789" i="1"/>
  <c r="AX789" i="1"/>
  <c r="AY789" i="1"/>
  <c r="AW790" i="1"/>
  <c r="AX790" i="1"/>
  <c r="AY790" i="1"/>
  <c r="AW791" i="1"/>
  <c r="AX791" i="1"/>
  <c r="AY791" i="1"/>
  <c r="AW792" i="1"/>
  <c r="AX792" i="1"/>
  <c r="AY792" i="1"/>
  <c r="AW793" i="1"/>
  <c r="AX793" i="1"/>
  <c r="AY793" i="1"/>
  <c r="AW794" i="1"/>
  <c r="AX794" i="1"/>
  <c r="AY794" i="1"/>
  <c r="AW795" i="1"/>
  <c r="AX795" i="1"/>
  <c r="AY795" i="1"/>
  <c r="AW796" i="1"/>
  <c r="AX796" i="1"/>
  <c r="AY796" i="1"/>
  <c r="AW797" i="1"/>
  <c r="AX797" i="1"/>
  <c r="AY797" i="1"/>
  <c r="AW798" i="1"/>
  <c r="AX798" i="1"/>
  <c r="AY798" i="1"/>
  <c r="AW799" i="1"/>
  <c r="AX799" i="1"/>
  <c r="AY799" i="1"/>
  <c r="AW800" i="1"/>
  <c r="AX800" i="1"/>
  <c r="AY800" i="1"/>
  <c r="AW801" i="1"/>
  <c r="AX801" i="1"/>
  <c r="AY801" i="1"/>
  <c r="AW802" i="1"/>
  <c r="AX802" i="1"/>
  <c r="AY802" i="1"/>
  <c r="AW803" i="1"/>
  <c r="AX803" i="1"/>
  <c r="AY803" i="1"/>
  <c r="AW804" i="1"/>
  <c r="AX804" i="1"/>
  <c r="AY804" i="1"/>
  <c r="AW805" i="1"/>
  <c r="AX805" i="1"/>
  <c r="AY805" i="1"/>
  <c r="AW806" i="1"/>
  <c r="AX806" i="1"/>
  <c r="AY806" i="1"/>
  <c r="AW807" i="1"/>
  <c r="AX807" i="1"/>
  <c r="AY807" i="1"/>
  <c r="AW808" i="1"/>
  <c r="AX808" i="1"/>
  <c r="AY808" i="1"/>
  <c r="AW809" i="1"/>
  <c r="AX809" i="1"/>
  <c r="AY809" i="1"/>
  <c r="AW810" i="1"/>
  <c r="AX810" i="1"/>
  <c r="AY810" i="1"/>
  <c r="AW811" i="1"/>
  <c r="AX811" i="1"/>
  <c r="AY811" i="1"/>
  <c r="AW812" i="1"/>
  <c r="AX812" i="1"/>
  <c r="AY812" i="1"/>
  <c r="AW813" i="1"/>
  <c r="AX813" i="1"/>
  <c r="AY813" i="1"/>
  <c r="AW814" i="1"/>
  <c r="AX814" i="1"/>
  <c r="AY814" i="1"/>
  <c r="AW815" i="1"/>
  <c r="AX815" i="1"/>
  <c r="AY815" i="1"/>
  <c r="AW816" i="1"/>
  <c r="AX816" i="1"/>
  <c r="AY816" i="1"/>
  <c r="AW817" i="1"/>
  <c r="AX817" i="1"/>
  <c r="AY817" i="1"/>
  <c r="AW818" i="1"/>
  <c r="AX818" i="1"/>
  <c r="AY818" i="1"/>
  <c r="AW819" i="1"/>
  <c r="AX819" i="1"/>
  <c r="AY819" i="1"/>
  <c r="AW820" i="1"/>
  <c r="AX820" i="1"/>
  <c r="AY820" i="1"/>
  <c r="AW821" i="1"/>
  <c r="AX821" i="1"/>
  <c r="AY821" i="1"/>
  <c r="AW822" i="1"/>
  <c r="AX822" i="1"/>
  <c r="AY822" i="1"/>
  <c r="AW823" i="1"/>
  <c r="AX823" i="1"/>
  <c r="AY823" i="1"/>
  <c r="AW824" i="1"/>
  <c r="AX824" i="1"/>
  <c r="AY824" i="1"/>
  <c r="AW825" i="1"/>
  <c r="AX825" i="1"/>
  <c r="AY825" i="1"/>
  <c r="AW826" i="1"/>
  <c r="AX826" i="1"/>
  <c r="AY826" i="1"/>
  <c r="AW827" i="1"/>
  <c r="AX827" i="1"/>
  <c r="AY827" i="1"/>
  <c r="AW828" i="1"/>
  <c r="AX828" i="1"/>
  <c r="AY828" i="1"/>
  <c r="AW829" i="1"/>
  <c r="AX829" i="1"/>
  <c r="AY829" i="1"/>
  <c r="AW830" i="1"/>
  <c r="AX830" i="1"/>
  <c r="AY830" i="1"/>
  <c r="AW831" i="1"/>
  <c r="AX831" i="1"/>
  <c r="AY831" i="1"/>
  <c r="AW832" i="1"/>
  <c r="AX832" i="1"/>
  <c r="AY832" i="1"/>
  <c r="AW833" i="1"/>
  <c r="AX833" i="1"/>
  <c r="AY833" i="1"/>
  <c r="AW834" i="1"/>
  <c r="AX834" i="1"/>
  <c r="AY834" i="1"/>
  <c r="AW835" i="1"/>
  <c r="AX835" i="1"/>
  <c r="AY835" i="1"/>
  <c r="AW836" i="1"/>
  <c r="AX836" i="1"/>
  <c r="AY836" i="1"/>
  <c r="AW837" i="1"/>
  <c r="AX837" i="1"/>
  <c r="AY837" i="1"/>
  <c r="AW838" i="1"/>
  <c r="AX838" i="1"/>
  <c r="AY838" i="1"/>
  <c r="AW839" i="1"/>
  <c r="AX839" i="1"/>
  <c r="AY839" i="1"/>
  <c r="AW840" i="1"/>
  <c r="AX840" i="1"/>
  <c r="AY840" i="1"/>
  <c r="AW841" i="1"/>
  <c r="AX841" i="1"/>
  <c r="AY841" i="1"/>
  <c r="AW842" i="1"/>
  <c r="AX842" i="1"/>
  <c r="AY842" i="1"/>
  <c r="AW843" i="1"/>
  <c r="AX843" i="1"/>
  <c r="AY843" i="1"/>
  <c r="AW844" i="1"/>
  <c r="AX844" i="1"/>
  <c r="AY844" i="1"/>
  <c r="AW845" i="1"/>
  <c r="AX845" i="1"/>
  <c r="AY845" i="1"/>
  <c r="AW846" i="1"/>
  <c r="AX846" i="1"/>
  <c r="AY846" i="1"/>
  <c r="AW847" i="1"/>
  <c r="AX847" i="1"/>
  <c r="AY847" i="1"/>
  <c r="AW848" i="1"/>
  <c r="AX848" i="1"/>
  <c r="AY848" i="1"/>
  <c r="AW849" i="1"/>
  <c r="AX849" i="1"/>
  <c r="AY849" i="1"/>
  <c r="AW850" i="1"/>
  <c r="AX850" i="1"/>
  <c r="AY850" i="1"/>
  <c r="AW851" i="1"/>
  <c r="AX851" i="1"/>
  <c r="AY851" i="1"/>
  <c r="AW852" i="1"/>
  <c r="AX852" i="1"/>
  <c r="AY852" i="1"/>
  <c r="AW853" i="1"/>
  <c r="AX853" i="1"/>
  <c r="AY853" i="1"/>
  <c r="AW854" i="1"/>
  <c r="AX854" i="1"/>
  <c r="AY854" i="1"/>
  <c r="AW855" i="1"/>
  <c r="AX855" i="1"/>
  <c r="AY855" i="1"/>
  <c r="AW856" i="1"/>
  <c r="AX856" i="1"/>
  <c r="AY856" i="1"/>
  <c r="AW857" i="1"/>
  <c r="AX857" i="1"/>
  <c r="AY857" i="1"/>
  <c r="AW858" i="1"/>
  <c r="AX858" i="1"/>
  <c r="AY858" i="1"/>
  <c r="AW859" i="1"/>
  <c r="AX859" i="1"/>
  <c r="AY859" i="1"/>
  <c r="AW860" i="1"/>
  <c r="AX860" i="1"/>
  <c r="AY860" i="1"/>
  <c r="AW861" i="1"/>
  <c r="AX861" i="1"/>
  <c r="AY861" i="1"/>
  <c r="AW862" i="1"/>
  <c r="AX862" i="1"/>
  <c r="AY862" i="1"/>
  <c r="AW863" i="1"/>
  <c r="AX863" i="1"/>
  <c r="AY863" i="1"/>
  <c r="AW864" i="1"/>
  <c r="AX864" i="1"/>
  <c r="AY864" i="1"/>
  <c r="AW865" i="1"/>
  <c r="AX865" i="1"/>
  <c r="AY865" i="1"/>
  <c r="AW866" i="1"/>
  <c r="AX866" i="1"/>
  <c r="AY866" i="1"/>
  <c r="AW867" i="1"/>
  <c r="AX867" i="1"/>
  <c r="AY867" i="1"/>
  <c r="AW868" i="1"/>
  <c r="AX868" i="1"/>
  <c r="AY868" i="1"/>
  <c r="AW869" i="1"/>
  <c r="AX869" i="1"/>
  <c r="AY869" i="1"/>
  <c r="AW870" i="1"/>
  <c r="AX870" i="1"/>
  <c r="AY870" i="1"/>
  <c r="AW871" i="1"/>
  <c r="AX871" i="1"/>
  <c r="AY871" i="1"/>
  <c r="AW872" i="1"/>
  <c r="AX872" i="1"/>
  <c r="AY872" i="1"/>
  <c r="AW873" i="1"/>
  <c r="AX873" i="1"/>
  <c r="AY873" i="1"/>
  <c r="AW874" i="1"/>
  <c r="AX874" i="1"/>
  <c r="AY874" i="1"/>
  <c r="AW875" i="1"/>
  <c r="AX875" i="1"/>
  <c r="AY875" i="1"/>
  <c r="AW876" i="1"/>
  <c r="AX876" i="1"/>
  <c r="AY876" i="1"/>
  <c r="AW877" i="1"/>
  <c r="AX877" i="1"/>
  <c r="AY877" i="1"/>
  <c r="AW878" i="1"/>
  <c r="AX878" i="1"/>
  <c r="AY878" i="1"/>
  <c r="AW879" i="1"/>
  <c r="AX879" i="1"/>
  <c r="AY879" i="1"/>
  <c r="AW880" i="1"/>
  <c r="AX880" i="1"/>
  <c r="AY880" i="1"/>
  <c r="AW881" i="1"/>
  <c r="AX881" i="1"/>
  <c r="AY881" i="1"/>
  <c r="AW882" i="1"/>
  <c r="AX882" i="1"/>
  <c r="AY882" i="1"/>
  <c r="AW883" i="1"/>
  <c r="AX883" i="1"/>
  <c r="AY883" i="1"/>
  <c r="AW884" i="1"/>
  <c r="AX884" i="1"/>
  <c r="AY884" i="1"/>
  <c r="AW885" i="1"/>
  <c r="AX885" i="1"/>
  <c r="AY885" i="1"/>
  <c r="AW886" i="1"/>
  <c r="AX886" i="1"/>
  <c r="AY886" i="1"/>
  <c r="AW887" i="1"/>
  <c r="AX887" i="1"/>
  <c r="AY887" i="1"/>
  <c r="AW888" i="1"/>
  <c r="AX888" i="1"/>
  <c r="AY888" i="1"/>
  <c r="AW889" i="1"/>
  <c r="AX889" i="1"/>
  <c r="AY889" i="1"/>
  <c r="AW890" i="1"/>
  <c r="AX890" i="1"/>
  <c r="AY890" i="1"/>
  <c r="AW891" i="1"/>
  <c r="AX891" i="1"/>
  <c r="AY891" i="1"/>
  <c r="AW892" i="1"/>
  <c r="AX892" i="1"/>
  <c r="AY892" i="1"/>
  <c r="AW893" i="1"/>
  <c r="AX893" i="1"/>
  <c r="AY893" i="1"/>
  <c r="AW894" i="1"/>
  <c r="AX894" i="1"/>
  <c r="AY894" i="1"/>
  <c r="AW895" i="1"/>
  <c r="AX895" i="1"/>
  <c r="AY895" i="1"/>
  <c r="AW896" i="1"/>
  <c r="AX896" i="1"/>
  <c r="AY896" i="1"/>
  <c r="AW897" i="1"/>
  <c r="AX897" i="1"/>
  <c r="AY897" i="1"/>
  <c r="AW898" i="1"/>
  <c r="AX898" i="1"/>
  <c r="AY898" i="1"/>
  <c r="AW899" i="1"/>
  <c r="AX899" i="1"/>
  <c r="AY899" i="1"/>
  <c r="AW900" i="1"/>
  <c r="AX900" i="1"/>
  <c r="AY900" i="1"/>
  <c r="AW901" i="1"/>
  <c r="AX901" i="1"/>
  <c r="AY901" i="1"/>
  <c r="AW902" i="1"/>
  <c r="AX902" i="1"/>
  <c r="AY902" i="1"/>
  <c r="AW903" i="1"/>
  <c r="AX903" i="1"/>
  <c r="AY903" i="1"/>
  <c r="AW904" i="1"/>
  <c r="AX904" i="1"/>
  <c r="AY904" i="1"/>
  <c r="AW905" i="1"/>
  <c r="AX905" i="1"/>
  <c r="AY905" i="1"/>
  <c r="AW906" i="1"/>
  <c r="AX906" i="1"/>
  <c r="AY906" i="1"/>
  <c r="AW907" i="1"/>
  <c r="AX907" i="1"/>
  <c r="AY907" i="1"/>
  <c r="AW908" i="1"/>
  <c r="AX908" i="1"/>
  <c r="AY908" i="1"/>
  <c r="AW909" i="1"/>
  <c r="AX909" i="1"/>
  <c r="AY909" i="1"/>
  <c r="AW910" i="1"/>
  <c r="AX910" i="1"/>
  <c r="AY910" i="1"/>
  <c r="AW911" i="1"/>
  <c r="AX911" i="1"/>
  <c r="AY911" i="1"/>
  <c r="AW912" i="1"/>
  <c r="AX912" i="1"/>
  <c r="AY912" i="1"/>
  <c r="AW913" i="1"/>
  <c r="AX913" i="1"/>
  <c r="AY913" i="1"/>
  <c r="AW914" i="1"/>
  <c r="AX914" i="1"/>
  <c r="AY914" i="1"/>
  <c r="AW915" i="1"/>
  <c r="AX915" i="1"/>
  <c r="AY915" i="1"/>
  <c r="AW916" i="1"/>
  <c r="AX916" i="1"/>
  <c r="AY916" i="1"/>
  <c r="AW917" i="1"/>
  <c r="AX917" i="1"/>
  <c r="AY917" i="1"/>
  <c r="AW918" i="1"/>
  <c r="AX918" i="1"/>
  <c r="AY918" i="1"/>
  <c r="AW919" i="1"/>
  <c r="AX919" i="1"/>
  <c r="AY919" i="1"/>
  <c r="AW920" i="1"/>
  <c r="AX920" i="1"/>
  <c r="AY920" i="1"/>
  <c r="AW921" i="1"/>
  <c r="AX921" i="1"/>
  <c r="AY921" i="1"/>
  <c r="AW922" i="1"/>
  <c r="AX922" i="1"/>
  <c r="AY922" i="1"/>
  <c r="AW923" i="1"/>
  <c r="AX923" i="1"/>
  <c r="AY923" i="1"/>
  <c r="AW924" i="1"/>
  <c r="AX924" i="1"/>
  <c r="AY924" i="1"/>
  <c r="AW925" i="1"/>
  <c r="AX925" i="1"/>
  <c r="AY925" i="1"/>
  <c r="AW926" i="1"/>
  <c r="AX926" i="1"/>
  <c r="AY926" i="1"/>
  <c r="AW927" i="1"/>
  <c r="AX927" i="1"/>
  <c r="AY927" i="1"/>
  <c r="AW928" i="1"/>
  <c r="AX928" i="1"/>
  <c r="AY928" i="1"/>
  <c r="AW929" i="1"/>
  <c r="AX929" i="1"/>
  <c r="AY929" i="1"/>
  <c r="AW930" i="1"/>
  <c r="AX930" i="1"/>
  <c r="AY930" i="1"/>
  <c r="AW931" i="1"/>
  <c r="AX931" i="1"/>
  <c r="AY931" i="1"/>
  <c r="AW932" i="1"/>
  <c r="AX932" i="1"/>
  <c r="AY932" i="1"/>
  <c r="AW933" i="1"/>
  <c r="AX933" i="1"/>
  <c r="AY933" i="1"/>
  <c r="AW934" i="1"/>
  <c r="AX934" i="1"/>
  <c r="AY934" i="1"/>
  <c r="AW935" i="1"/>
  <c r="AX935" i="1"/>
  <c r="AY935" i="1"/>
  <c r="AW936" i="1"/>
  <c r="AX936" i="1"/>
  <c r="AY936" i="1"/>
  <c r="AW937" i="1"/>
  <c r="AX937" i="1"/>
  <c r="AY937" i="1"/>
  <c r="AW938" i="1"/>
  <c r="AX938" i="1"/>
  <c r="AY938" i="1"/>
  <c r="AW939" i="1"/>
  <c r="AX939" i="1"/>
  <c r="AY939" i="1"/>
  <c r="AW940" i="1"/>
  <c r="AX940" i="1"/>
  <c r="AY940" i="1"/>
  <c r="AW941" i="1"/>
  <c r="AX941" i="1"/>
  <c r="AY941" i="1"/>
  <c r="AW942" i="1"/>
  <c r="AX942" i="1"/>
  <c r="AY942" i="1"/>
  <c r="AW943" i="1"/>
  <c r="AX943" i="1"/>
  <c r="AY943" i="1"/>
  <c r="AW944" i="1"/>
  <c r="AX944" i="1"/>
  <c r="AY944" i="1"/>
  <c r="AW945" i="1"/>
  <c r="AX945" i="1"/>
  <c r="AY945" i="1"/>
  <c r="AW946" i="1"/>
  <c r="AX946" i="1"/>
  <c r="AY946" i="1"/>
  <c r="AW947" i="1"/>
  <c r="AX947" i="1"/>
  <c r="AY947" i="1"/>
  <c r="AW948" i="1"/>
  <c r="AX948" i="1"/>
  <c r="AY948" i="1"/>
  <c r="AW949" i="1"/>
  <c r="AX949" i="1"/>
  <c r="AY949" i="1"/>
  <c r="AW950" i="1"/>
  <c r="AX950" i="1"/>
  <c r="AY950" i="1"/>
  <c r="AW951" i="1"/>
  <c r="AX951" i="1"/>
  <c r="AY951" i="1"/>
  <c r="AW952" i="1"/>
  <c r="AX952" i="1"/>
  <c r="AY952" i="1"/>
  <c r="AW953" i="1"/>
  <c r="AX953" i="1"/>
  <c r="AY953" i="1"/>
  <c r="AW954" i="1"/>
  <c r="AX954" i="1"/>
  <c r="AY954" i="1"/>
  <c r="AW955" i="1"/>
  <c r="AX955" i="1"/>
  <c r="AY955" i="1"/>
  <c r="AW956" i="1"/>
  <c r="AX956" i="1"/>
  <c r="AY956" i="1"/>
  <c r="AW957" i="1"/>
  <c r="AX957" i="1"/>
  <c r="AY957" i="1"/>
  <c r="AW958" i="1"/>
  <c r="AX958" i="1"/>
  <c r="AY958" i="1"/>
  <c r="AW959" i="1"/>
  <c r="AX959" i="1"/>
  <c r="AY959" i="1"/>
  <c r="AW960" i="1"/>
  <c r="AX960" i="1"/>
  <c r="AY960" i="1"/>
  <c r="AW961" i="1"/>
  <c r="AX961" i="1"/>
  <c r="AY961" i="1"/>
  <c r="AW962" i="1"/>
  <c r="AX962" i="1"/>
  <c r="AY962" i="1"/>
  <c r="AW963" i="1"/>
  <c r="AX963" i="1"/>
  <c r="AY963" i="1"/>
  <c r="AW964" i="1"/>
  <c r="AX964" i="1"/>
  <c r="AY964" i="1"/>
  <c r="AW965" i="1"/>
  <c r="AX965" i="1"/>
  <c r="AY965" i="1"/>
  <c r="AW966" i="1"/>
  <c r="AX966" i="1"/>
  <c r="AY966" i="1"/>
  <c r="AW967" i="1"/>
  <c r="AX967" i="1"/>
  <c r="AY967" i="1"/>
  <c r="AW968" i="1"/>
  <c r="AX968" i="1"/>
  <c r="AY968" i="1"/>
  <c r="AW969" i="1"/>
  <c r="AX969" i="1"/>
  <c r="AY969" i="1"/>
  <c r="AW970" i="1"/>
  <c r="AX970" i="1"/>
  <c r="AY970" i="1"/>
  <c r="AW971" i="1"/>
  <c r="AX971" i="1"/>
  <c r="AY971" i="1"/>
  <c r="AW972" i="1"/>
  <c r="AX972" i="1"/>
  <c r="AY972" i="1"/>
  <c r="AW973" i="1"/>
  <c r="AX973" i="1"/>
  <c r="AY973" i="1"/>
  <c r="AW974" i="1"/>
  <c r="AX974" i="1"/>
  <c r="AY974" i="1"/>
  <c r="AW975" i="1"/>
  <c r="AX975" i="1"/>
  <c r="AY975" i="1"/>
  <c r="AW976" i="1"/>
  <c r="AX976" i="1"/>
  <c r="AY976" i="1"/>
  <c r="AW977" i="1"/>
  <c r="AX977" i="1"/>
  <c r="AY977" i="1"/>
  <c r="AW978" i="1"/>
  <c r="AX978" i="1"/>
  <c r="AY978" i="1"/>
  <c r="AW979" i="1"/>
  <c r="AX979" i="1"/>
  <c r="AY979" i="1"/>
  <c r="AW980" i="1"/>
  <c r="AX980" i="1"/>
  <c r="AY980" i="1"/>
  <c r="AW981" i="1"/>
  <c r="AX981" i="1"/>
  <c r="AY981" i="1"/>
  <c r="AW982" i="1"/>
  <c r="AX982" i="1"/>
  <c r="AY982" i="1"/>
  <c r="AW983" i="1"/>
  <c r="AX983" i="1"/>
  <c r="AY983" i="1"/>
  <c r="AW984" i="1"/>
  <c r="AX984" i="1"/>
  <c r="AY984" i="1"/>
  <c r="AW985" i="1"/>
  <c r="AX985" i="1"/>
  <c r="AY985" i="1"/>
  <c r="AW986" i="1"/>
  <c r="AX986" i="1"/>
  <c r="AY986" i="1"/>
  <c r="AW987" i="1"/>
  <c r="AX987" i="1"/>
  <c r="AY987" i="1"/>
  <c r="AW988" i="1"/>
  <c r="AX988" i="1"/>
  <c r="AY988" i="1"/>
  <c r="AW989" i="1"/>
  <c r="AX989" i="1"/>
  <c r="AY989" i="1"/>
  <c r="AW990" i="1"/>
  <c r="AX990" i="1"/>
  <c r="AY990" i="1"/>
  <c r="AW991" i="1"/>
  <c r="AX991" i="1"/>
  <c r="AY991" i="1"/>
  <c r="AW992" i="1"/>
  <c r="AX992" i="1"/>
  <c r="AY992" i="1"/>
  <c r="AW993" i="1"/>
  <c r="AX993" i="1"/>
  <c r="AY993" i="1"/>
  <c r="AW994" i="1"/>
  <c r="AX994" i="1"/>
  <c r="AY994" i="1"/>
  <c r="AW995" i="1"/>
  <c r="AX995" i="1"/>
  <c r="AY995" i="1"/>
  <c r="AW996" i="1"/>
  <c r="AX996" i="1"/>
  <c r="AY996" i="1"/>
  <c r="AW997" i="1"/>
  <c r="AX997" i="1"/>
  <c r="AY997" i="1"/>
  <c r="AW998" i="1"/>
  <c r="AX998" i="1"/>
  <c r="AY998" i="1"/>
  <c r="AW999" i="1"/>
  <c r="AX999" i="1"/>
  <c r="AY999" i="1"/>
  <c r="AW1000" i="1"/>
  <c r="AX1000" i="1"/>
  <c r="AY1000" i="1"/>
  <c r="AW1001" i="1"/>
  <c r="AX1001" i="1"/>
  <c r="AY1001" i="1"/>
  <c r="AW1002" i="1"/>
  <c r="AX1002" i="1"/>
  <c r="AY1002" i="1"/>
  <c r="AW1003" i="1"/>
  <c r="AX1003" i="1"/>
  <c r="AY1003" i="1"/>
  <c r="AW1004" i="1"/>
  <c r="AX1004" i="1"/>
  <c r="AY1004" i="1"/>
  <c r="AW1005" i="1"/>
  <c r="AX1005" i="1"/>
  <c r="AY1005" i="1"/>
  <c r="AW1006" i="1"/>
  <c r="AX1006" i="1"/>
  <c r="AY1006" i="1"/>
  <c r="AW1007" i="1"/>
  <c r="AX1007" i="1"/>
  <c r="AY1007" i="1"/>
  <c r="AW1008" i="1"/>
  <c r="AX1008" i="1"/>
  <c r="AY1008" i="1"/>
  <c r="AW1009" i="1"/>
  <c r="AX1009" i="1"/>
  <c r="AY1009" i="1"/>
  <c r="AW1010" i="1"/>
  <c r="AX1010" i="1"/>
  <c r="AY1010" i="1"/>
  <c r="AW1011" i="1"/>
  <c r="AX1011" i="1"/>
  <c r="AY1011" i="1"/>
  <c r="AW1012" i="1"/>
  <c r="AX1012" i="1"/>
  <c r="AY1012" i="1"/>
  <c r="AW1013" i="1"/>
  <c r="AX1013" i="1"/>
  <c r="AY1013" i="1"/>
  <c r="AW1014" i="1"/>
  <c r="AX1014" i="1"/>
  <c r="AY1014" i="1"/>
  <c r="AW1015" i="1"/>
  <c r="AX1015" i="1"/>
  <c r="AY1015" i="1"/>
  <c r="AW1016" i="1"/>
  <c r="AX1016" i="1"/>
  <c r="AY1016" i="1"/>
  <c r="AW1017" i="1"/>
  <c r="AX1017" i="1"/>
  <c r="AY1017" i="1"/>
  <c r="AW1018" i="1"/>
  <c r="AX1018" i="1"/>
  <c r="AY1018" i="1"/>
  <c r="AW1019" i="1"/>
  <c r="AX1019" i="1"/>
  <c r="AY1019" i="1"/>
  <c r="AW1020" i="1"/>
  <c r="AX1020" i="1"/>
  <c r="AY1020" i="1"/>
  <c r="AW1021" i="1"/>
  <c r="AX1021" i="1"/>
  <c r="AY1021" i="1"/>
  <c r="AW1022" i="1"/>
  <c r="AX1022" i="1"/>
  <c r="AY1022" i="1"/>
  <c r="AW1023" i="1"/>
  <c r="AX1023" i="1"/>
  <c r="AY1023" i="1"/>
  <c r="AW1024" i="1"/>
  <c r="AX1024" i="1"/>
  <c r="AY1024" i="1"/>
  <c r="AW1025" i="1"/>
  <c r="AX1025" i="1"/>
  <c r="AY1025" i="1"/>
  <c r="AW1026" i="1"/>
  <c r="AX1026" i="1"/>
  <c r="AY1026" i="1"/>
  <c r="AW1027" i="1"/>
  <c r="AX1027" i="1"/>
  <c r="AY1027" i="1"/>
  <c r="AW1028" i="1"/>
  <c r="AX1028" i="1"/>
  <c r="AY1028" i="1"/>
  <c r="AW1029" i="1"/>
  <c r="AX1029" i="1"/>
  <c r="AY1029" i="1"/>
  <c r="AW1030" i="1"/>
  <c r="AX1030" i="1"/>
  <c r="AY1030" i="1"/>
  <c r="AW1031" i="1"/>
  <c r="AX1031" i="1"/>
  <c r="AY1031" i="1"/>
  <c r="AW1032" i="1"/>
  <c r="AX1032" i="1"/>
  <c r="AY1032" i="1"/>
  <c r="AW1033" i="1"/>
  <c r="AX1033" i="1"/>
  <c r="AY1033" i="1"/>
  <c r="AW1034" i="1"/>
  <c r="AX1034" i="1"/>
  <c r="AY1034" i="1"/>
  <c r="AW1035" i="1"/>
  <c r="AX1035" i="1"/>
  <c r="AY1035" i="1"/>
  <c r="AW1036" i="1"/>
  <c r="AX1036" i="1"/>
  <c r="AY1036" i="1"/>
  <c r="AW1037" i="1"/>
  <c r="AX1037" i="1"/>
  <c r="AY1037" i="1"/>
  <c r="AW1038" i="1"/>
  <c r="AX1038" i="1"/>
  <c r="AY1038" i="1"/>
  <c r="AW1039" i="1"/>
  <c r="AX1039" i="1"/>
  <c r="AY1039" i="1"/>
  <c r="AW1040" i="1"/>
  <c r="AX1040" i="1"/>
  <c r="AY1040" i="1"/>
  <c r="AW1041" i="1"/>
  <c r="AX1041" i="1"/>
  <c r="AY1041" i="1"/>
  <c r="AW1042" i="1"/>
  <c r="AX1042" i="1"/>
  <c r="AY1042" i="1"/>
  <c r="AW1043" i="1"/>
  <c r="AX1043" i="1"/>
  <c r="AY1043" i="1"/>
  <c r="AW1044" i="1"/>
  <c r="AX1044" i="1"/>
  <c r="AY1044" i="1"/>
  <c r="AW1045" i="1"/>
  <c r="AX1045" i="1"/>
  <c r="AY1045" i="1"/>
  <c r="AW1046" i="1"/>
  <c r="AX1046" i="1"/>
  <c r="AY1046" i="1"/>
  <c r="AW1047" i="1"/>
  <c r="AX1047" i="1"/>
  <c r="AY1047" i="1"/>
  <c r="AW1048" i="1"/>
  <c r="AX1048" i="1"/>
  <c r="AY1048" i="1"/>
  <c r="AW1049" i="1"/>
  <c r="AX1049" i="1"/>
  <c r="AY1049" i="1"/>
  <c r="AW1050" i="1"/>
  <c r="AX1050" i="1"/>
  <c r="AY1050" i="1"/>
  <c r="AW1051" i="1"/>
  <c r="AX1051" i="1"/>
  <c r="AY1051" i="1"/>
  <c r="AW1052" i="1"/>
  <c r="AX1052" i="1"/>
  <c r="AY1052" i="1"/>
  <c r="AW1053" i="1"/>
  <c r="AX1053" i="1"/>
  <c r="AY1053" i="1"/>
  <c r="AW1054" i="1"/>
  <c r="AX1054" i="1"/>
  <c r="AY1054" i="1"/>
  <c r="AW1055" i="1"/>
  <c r="AX1055" i="1"/>
  <c r="AY1055" i="1"/>
  <c r="AW1056" i="1"/>
  <c r="AX1056" i="1"/>
  <c r="AY1056" i="1"/>
  <c r="AW1057" i="1"/>
  <c r="AX1057" i="1"/>
  <c r="AY1057" i="1"/>
  <c r="AW1058" i="1"/>
  <c r="AX1058" i="1"/>
  <c r="AY1058" i="1"/>
  <c r="AW1059" i="1"/>
  <c r="AX1059" i="1"/>
  <c r="AY1059" i="1"/>
  <c r="AW1060" i="1"/>
  <c r="AX1060" i="1"/>
  <c r="AY1060" i="1"/>
  <c r="AW1061" i="1"/>
  <c r="AX1061" i="1"/>
  <c r="AY1061" i="1"/>
  <c r="AW1062" i="1"/>
  <c r="AX1062" i="1"/>
  <c r="AY1062" i="1"/>
  <c r="AW1063" i="1"/>
  <c r="AX1063" i="1"/>
  <c r="AY1063" i="1"/>
  <c r="AW1064" i="1"/>
  <c r="AX1064" i="1"/>
  <c r="AY1064" i="1"/>
  <c r="AW1065" i="1"/>
  <c r="AX1065" i="1"/>
  <c r="AY1065" i="1"/>
  <c r="AW1066" i="1"/>
  <c r="AX1066" i="1"/>
  <c r="AY1066" i="1"/>
  <c r="AW1067" i="1"/>
  <c r="AX1067" i="1"/>
  <c r="AY1067" i="1"/>
  <c r="AW1068" i="1"/>
  <c r="AX1068" i="1"/>
  <c r="AY1068" i="1"/>
  <c r="AW1069" i="1"/>
  <c r="AX1069" i="1"/>
  <c r="AY1069" i="1"/>
  <c r="AW1070" i="1"/>
  <c r="AX1070" i="1"/>
  <c r="AY1070" i="1"/>
  <c r="AW1071" i="1"/>
  <c r="AX1071" i="1"/>
  <c r="AY1071" i="1"/>
  <c r="AW1072" i="1"/>
  <c r="AX1072" i="1"/>
  <c r="AY1072" i="1"/>
  <c r="AW1073" i="1"/>
  <c r="AX1073" i="1"/>
  <c r="AY1073" i="1"/>
  <c r="AW1074" i="1"/>
  <c r="AX1074" i="1"/>
  <c r="AY1074" i="1"/>
  <c r="AW1075" i="1"/>
  <c r="AX1075" i="1"/>
  <c r="AY1075" i="1"/>
  <c r="AW1076" i="1"/>
  <c r="AX1076" i="1"/>
  <c r="AY1076" i="1"/>
  <c r="AW1077" i="1"/>
  <c r="AX1077" i="1"/>
  <c r="AY1077" i="1"/>
  <c r="AW1078" i="1"/>
  <c r="AX1078" i="1"/>
  <c r="AY1078" i="1"/>
  <c r="AW1079" i="1"/>
  <c r="AX1079" i="1"/>
  <c r="AY1079" i="1"/>
  <c r="AW1080" i="1"/>
  <c r="AX1080" i="1"/>
  <c r="AY1080" i="1"/>
  <c r="AW1081" i="1"/>
  <c r="AX1081" i="1"/>
  <c r="AY1081" i="1"/>
  <c r="AW1082" i="1"/>
  <c r="AX1082" i="1"/>
  <c r="AY1082" i="1"/>
  <c r="AW1083" i="1"/>
  <c r="AX1083" i="1"/>
  <c r="AY1083" i="1"/>
  <c r="AW1084" i="1"/>
  <c r="AX1084" i="1"/>
  <c r="AY1084" i="1"/>
  <c r="AW1085" i="1"/>
  <c r="AX1085" i="1"/>
  <c r="AY1085" i="1"/>
  <c r="AW1086" i="1"/>
  <c r="AX1086" i="1"/>
  <c r="AY1086" i="1"/>
  <c r="AW1087" i="1"/>
  <c r="AX1087" i="1"/>
  <c r="AY1087" i="1"/>
  <c r="AW1088" i="1"/>
  <c r="AX1088" i="1"/>
  <c r="AY1088" i="1"/>
  <c r="AW1089" i="1"/>
  <c r="AX1089" i="1"/>
  <c r="AY1089" i="1"/>
  <c r="AW1090" i="1"/>
  <c r="AX1090" i="1"/>
  <c r="AY1090" i="1"/>
  <c r="AW1091" i="1"/>
  <c r="AX1091" i="1"/>
  <c r="AY1091" i="1"/>
  <c r="AW1092" i="1"/>
  <c r="AX1092" i="1"/>
  <c r="AY1092" i="1"/>
  <c r="AW1093" i="1"/>
  <c r="AX1093" i="1"/>
  <c r="AY1093" i="1"/>
  <c r="AW1094" i="1"/>
  <c r="AX1094" i="1"/>
  <c r="AY1094" i="1"/>
  <c r="AW1095" i="1"/>
  <c r="AX1095" i="1"/>
  <c r="AY1095" i="1"/>
  <c r="AW1096" i="1"/>
  <c r="AX1096" i="1"/>
  <c r="AY1096" i="1"/>
  <c r="AW1097" i="1"/>
  <c r="AX1097" i="1"/>
  <c r="AY1097" i="1"/>
  <c r="AW1098" i="1"/>
  <c r="AX1098" i="1"/>
  <c r="AY1098" i="1"/>
  <c r="AW1099" i="1"/>
  <c r="AX1099" i="1"/>
  <c r="AY1099" i="1"/>
  <c r="AW1100" i="1"/>
  <c r="AX1100" i="1"/>
  <c r="AY1100" i="1"/>
  <c r="AW1101" i="1"/>
  <c r="AX1101" i="1"/>
  <c r="AY1101" i="1"/>
  <c r="AW1102" i="1"/>
  <c r="AX1102" i="1"/>
  <c r="AY1102" i="1"/>
  <c r="AW1103" i="1"/>
  <c r="AX1103" i="1"/>
  <c r="AY1103" i="1"/>
  <c r="AW1104" i="1"/>
  <c r="AX1104" i="1"/>
  <c r="AY1104" i="1"/>
  <c r="AW1105" i="1"/>
  <c r="AX1105" i="1"/>
  <c r="AY1105" i="1"/>
  <c r="AW1106" i="1"/>
  <c r="AX1106" i="1"/>
  <c r="AY1106" i="1"/>
  <c r="AW1107" i="1"/>
  <c r="AX1107" i="1"/>
  <c r="AY1107" i="1"/>
  <c r="AW1108" i="1"/>
  <c r="AX1108" i="1"/>
  <c r="AY1108" i="1"/>
  <c r="AW1109" i="1"/>
  <c r="AX1109" i="1"/>
  <c r="AY1109" i="1"/>
  <c r="AW1110" i="1"/>
  <c r="AX1110" i="1"/>
  <c r="AY1110" i="1"/>
  <c r="AW1111" i="1"/>
  <c r="AX1111" i="1"/>
  <c r="AY1111" i="1"/>
  <c r="AW1112" i="1"/>
  <c r="AX1112" i="1"/>
  <c r="AY1112" i="1"/>
  <c r="AW1113" i="1"/>
  <c r="AX1113" i="1"/>
  <c r="AY1113" i="1"/>
  <c r="AW1114" i="1"/>
  <c r="AX1114" i="1"/>
  <c r="AY1114" i="1"/>
  <c r="AW1115" i="1"/>
  <c r="AX1115" i="1"/>
  <c r="AY1115" i="1"/>
  <c r="AW1116" i="1"/>
  <c r="AX1116" i="1"/>
  <c r="AY1116" i="1"/>
  <c r="AW1117" i="1"/>
  <c r="AX1117" i="1"/>
  <c r="AY1117" i="1"/>
  <c r="AW1118" i="1"/>
  <c r="AX1118" i="1"/>
  <c r="AY1118" i="1"/>
  <c r="AW1119" i="1"/>
  <c r="AX1119" i="1"/>
  <c r="AY1119" i="1"/>
  <c r="AW1120" i="1"/>
  <c r="AX1120" i="1"/>
  <c r="AY1120" i="1"/>
  <c r="AW1121" i="1"/>
  <c r="AX1121" i="1"/>
  <c r="AY1121" i="1"/>
  <c r="AW1122" i="1"/>
  <c r="AX1122" i="1"/>
  <c r="AY1122" i="1"/>
  <c r="AW1123" i="1"/>
  <c r="AX1123" i="1"/>
  <c r="AY1123" i="1"/>
  <c r="AW1124" i="1"/>
  <c r="AX1124" i="1"/>
  <c r="AY1124" i="1"/>
  <c r="AW1125" i="1"/>
  <c r="AX1125" i="1"/>
  <c r="AY1125" i="1"/>
  <c r="AW1126" i="1"/>
  <c r="AX1126" i="1"/>
  <c r="AY1126" i="1"/>
  <c r="AW1127" i="1"/>
  <c r="AX1127" i="1"/>
  <c r="AY1127" i="1"/>
  <c r="AW1128" i="1"/>
  <c r="AX1128" i="1"/>
  <c r="AY1128" i="1"/>
  <c r="AW1129" i="1"/>
  <c r="AX1129" i="1"/>
  <c r="AY1129" i="1"/>
  <c r="AW1130" i="1"/>
  <c r="AX1130" i="1"/>
  <c r="AY1130" i="1"/>
  <c r="AW1131" i="1"/>
  <c r="AX1131" i="1"/>
  <c r="AY1131" i="1"/>
  <c r="AW1132" i="1"/>
  <c r="AX1132" i="1"/>
  <c r="AY1132" i="1"/>
  <c r="AW1133" i="1"/>
  <c r="AX1133" i="1"/>
  <c r="AY1133" i="1"/>
  <c r="AW1134" i="1"/>
  <c r="AX1134" i="1"/>
  <c r="AY1134" i="1"/>
  <c r="AW1135" i="1"/>
  <c r="AX1135" i="1"/>
  <c r="AY1135" i="1"/>
  <c r="AW1136" i="1"/>
  <c r="AX1136" i="1"/>
  <c r="AY1136" i="1"/>
  <c r="AW1137" i="1"/>
  <c r="AX1137" i="1"/>
  <c r="AY1137" i="1"/>
  <c r="AW1138" i="1"/>
  <c r="AX1138" i="1"/>
  <c r="AY1138" i="1"/>
  <c r="AW1139" i="1"/>
  <c r="AX1139" i="1"/>
  <c r="AY1139" i="1"/>
  <c r="AW1140" i="1"/>
  <c r="AX1140" i="1"/>
  <c r="AY1140" i="1"/>
  <c r="AW1141" i="1"/>
  <c r="AX1141" i="1"/>
  <c r="AY1141" i="1"/>
  <c r="AW1142" i="1"/>
  <c r="AX1142" i="1"/>
  <c r="AY1142" i="1"/>
  <c r="AW1143" i="1"/>
  <c r="AX1143" i="1"/>
  <c r="AY1143" i="1"/>
  <c r="AW1144" i="1"/>
  <c r="AX1144" i="1"/>
  <c r="AY1144" i="1"/>
  <c r="AW1145" i="1"/>
  <c r="AX1145" i="1"/>
  <c r="AY1145" i="1"/>
  <c r="AW1146" i="1"/>
  <c r="AX1146" i="1"/>
  <c r="AY1146" i="1"/>
  <c r="AW1147" i="1"/>
  <c r="AX1147" i="1"/>
  <c r="AY1147" i="1"/>
  <c r="AW1148" i="1"/>
  <c r="AX1148" i="1"/>
  <c r="AY1148" i="1"/>
  <c r="AW1149" i="1"/>
  <c r="AX1149" i="1"/>
  <c r="AY1149" i="1"/>
  <c r="AW1150" i="1"/>
  <c r="AX1150" i="1"/>
  <c r="AY1150" i="1"/>
  <c r="AW1151" i="1"/>
  <c r="AX1151" i="1"/>
  <c r="AY1151" i="1"/>
  <c r="AW1152" i="1"/>
  <c r="AX1152" i="1"/>
  <c r="AY1152" i="1"/>
  <c r="AW1153" i="1"/>
  <c r="AX1153" i="1"/>
  <c r="AY1153" i="1"/>
  <c r="AW1154" i="1"/>
  <c r="AX1154" i="1"/>
  <c r="AY1154" i="1"/>
  <c r="AW1155" i="1"/>
  <c r="AX1155" i="1"/>
  <c r="AY1155" i="1"/>
  <c r="AW1156" i="1"/>
  <c r="AX1156" i="1"/>
  <c r="AY1156" i="1"/>
  <c r="AW1157" i="1"/>
  <c r="AX1157" i="1"/>
  <c r="AY1157" i="1"/>
  <c r="AW1158" i="1"/>
  <c r="AX1158" i="1"/>
  <c r="AY1158" i="1"/>
  <c r="AW1159" i="1"/>
  <c r="AX1159" i="1"/>
  <c r="AY1159" i="1"/>
  <c r="AW1160" i="1"/>
  <c r="AX1160" i="1"/>
  <c r="AY1160" i="1"/>
  <c r="AW1161" i="1"/>
  <c r="AX1161" i="1"/>
  <c r="AY1161" i="1"/>
  <c r="AW1162" i="1"/>
  <c r="AX1162" i="1"/>
  <c r="AY1162" i="1"/>
  <c r="AW1163" i="1"/>
  <c r="AX1163" i="1"/>
  <c r="AY1163" i="1"/>
  <c r="AW1164" i="1"/>
  <c r="AX1164" i="1"/>
  <c r="AY1164" i="1"/>
  <c r="AW1165" i="1"/>
  <c r="AX1165" i="1"/>
  <c r="AY1165" i="1"/>
  <c r="AW1166" i="1"/>
  <c r="AX1166" i="1"/>
  <c r="AY1166" i="1"/>
  <c r="AW1167" i="1"/>
  <c r="AX1167" i="1"/>
  <c r="AY1167" i="1"/>
  <c r="AW1168" i="1"/>
  <c r="AX1168" i="1"/>
  <c r="AY1168" i="1"/>
  <c r="AW1169" i="1"/>
  <c r="AX1169" i="1"/>
  <c r="AY1169" i="1"/>
  <c r="AW1170" i="1"/>
  <c r="AX1170" i="1"/>
  <c r="AY1170" i="1"/>
  <c r="AW1171" i="1"/>
  <c r="AX1171" i="1"/>
  <c r="AY1171" i="1"/>
  <c r="AW1172" i="1"/>
  <c r="AX1172" i="1"/>
  <c r="AY1172" i="1"/>
  <c r="AW1173" i="1"/>
  <c r="AX1173" i="1"/>
  <c r="AY1173" i="1"/>
  <c r="AW1174" i="1"/>
  <c r="AX1174" i="1"/>
  <c r="AY1174" i="1"/>
  <c r="AW1175" i="1"/>
  <c r="AX1175" i="1"/>
  <c r="AY1175" i="1"/>
  <c r="AW1176" i="1"/>
  <c r="AX1176" i="1"/>
  <c r="AY1176" i="1"/>
  <c r="AW1177" i="1"/>
  <c r="AX1177" i="1"/>
  <c r="AY1177" i="1"/>
  <c r="AW1178" i="1"/>
  <c r="AX1178" i="1"/>
  <c r="AY1178" i="1"/>
  <c r="AW1179" i="1"/>
  <c r="AX1179" i="1"/>
  <c r="AY1179" i="1"/>
  <c r="AW1180" i="1"/>
  <c r="AX1180" i="1"/>
  <c r="AY1180" i="1"/>
  <c r="AW1181" i="1"/>
  <c r="AX1181" i="1"/>
  <c r="AY1181" i="1"/>
  <c r="AW1182" i="1"/>
  <c r="AX1182" i="1"/>
  <c r="AY1182" i="1"/>
  <c r="AW1183" i="1"/>
  <c r="AX1183" i="1"/>
  <c r="AY1183" i="1"/>
  <c r="AW1184" i="1"/>
  <c r="AX1184" i="1"/>
  <c r="AY1184" i="1"/>
  <c r="AW1185" i="1"/>
  <c r="AX1185" i="1"/>
  <c r="AY1185" i="1"/>
  <c r="AW1186" i="1"/>
  <c r="AX1186" i="1"/>
  <c r="AY1186" i="1"/>
  <c r="AW1187" i="1"/>
  <c r="AX1187" i="1"/>
  <c r="AY1187" i="1"/>
  <c r="AW1188" i="1"/>
  <c r="AX1188" i="1"/>
  <c r="AY1188" i="1"/>
  <c r="AW1189" i="1"/>
  <c r="AX1189" i="1"/>
  <c r="AY1189" i="1"/>
  <c r="AW1190" i="1"/>
  <c r="AX1190" i="1"/>
  <c r="AY1190" i="1"/>
  <c r="AW1191" i="1"/>
  <c r="AX1191" i="1"/>
  <c r="AY1191" i="1"/>
  <c r="AW1192" i="1"/>
  <c r="AX1192" i="1"/>
  <c r="AY1192" i="1"/>
  <c r="AW1193" i="1"/>
  <c r="AX1193" i="1"/>
  <c r="AY1193" i="1"/>
  <c r="AW1194" i="1"/>
  <c r="AX1194" i="1"/>
  <c r="AY1194" i="1"/>
  <c r="AW1195" i="1"/>
  <c r="AX1195" i="1"/>
  <c r="AY1195" i="1"/>
  <c r="AW1196" i="1"/>
  <c r="AX1196" i="1"/>
  <c r="AY1196" i="1"/>
  <c r="AW1197" i="1"/>
  <c r="AX1197" i="1"/>
  <c r="AY1197" i="1"/>
  <c r="AW1198" i="1"/>
  <c r="AX1198" i="1"/>
  <c r="AY1198" i="1"/>
  <c r="AW1199" i="1"/>
  <c r="AX1199" i="1"/>
  <c r="AY1199" i="1"/>
  <c r="AW1200" i="1"/>
  <c r="AX1200" i="1"/>
  <c r="AY1200" i="1"/>
  <c r="AW1201" i="1"/>
  <c r="AX1201" i="1"/>
  <c r="AY1201" i="1"/>
  <c r="AW1202" i="1"/>
  <c r="AX1202" i="1"/>
  <c r="AY1202" i="1"/>
  <c r="AW1203" i="1"/>
  <c r="AX1203" i="1"/>
  <c r="AY1203" i="1"/>
  <c r="AW1204" i="1"/>
  <c r="AX1204" i="1"/>
  <c r="AY1204" i="1"/>
  <c r="AW1205" i="1"/>
  <c r="AX1205" i="1"/>
  <c r="AY1205" i="1"/>
  <c r="AW1206" i="1"/>
  <c r="AX1206" i="1"/>
  <c r="AY1206" i="1"/>
  <c r="AW1207" i="1"/>
  <c r="AX1207" i="1"/>
  <c r="AY1207" i="1"/>
  <c r="AW1208" i="1"/>
  <c r="AX1208" i="1"/>
  <c r="AY1208" i="1"/>
  <c r="AW1209" i="1"/>
  <c r="AX1209" i="1"/>
  <c r="AY1209" i="1"/>
  <c r="AW1210" i="1"/>
  <c r="AX1210" i="1"/>
  <c r="AY1210" i="1"/>
  <c r="AW1211" i="1"/>
  <c r="AX1211" i="1"/>
  <c r="AY1211" i="1"/>
  <c r="AW1212" i="1"/>
  <c r="AX1212" i="1"/>
  <c r="AY1212" i="1"/>
  <c r="AW1213" i="1"/>
  <c r="AX1213" i="1"/>
  <c r="AY1213" i="1"/>
  <c r="AW1214" i="1"/>
  <c r="AX1214" i="1"/>
  <c r="AY1214" i="1"/>
  <c r="AW1215" i="1"/>
  <c r="AX1215" i="1"/>
  <c r="AY1215" i="1"/>
  <c r="AW1216" i="1"/>
  <c r="AX1216" i="1"/>
  <c r="AY1216" i="1"/>
  <c r="AW1217" i="1"/>
  <c r="AX1217" i="1"/>
  <c r="AY1217" i="1"/>
  <c r="AW1218" i="1"/>
  <c r="AX1218" i="1"/>
  <c r="AY1218" i="1"/>
  <c r="AW1219" i="1"/>
  <c r="AX1219" i="1"/>
  <c r="AY1219" i="1"/>
  <c r="AW1220" i="1"/>
  <c r="AX1220" i="1"/>
  <c r="AY1220" i="1"/>
  <c r="AW1221" i="1"/>
  <c r="AX1221" i="1"/>
  <c r="AY1221" i="1"/>
  <c r="AW1222" i="1"/>
  <c r="AX1222" i="1"/>
  <c r="AY1222" i="1"/>
  <c r="AW1223" i="1"/>
  <c r="AX1223" i="1"/>
  <c r="AY1223" i="1"/>
  <c r="AW1224" i="1"/>
  <c r="AX1224" i="1"/>
  <c r="AY1224" i="1"/>
  <c r="AW1225" i="1"/>
  <c r="AX1225" i="1"/>
  <c r="AY1225" i="1"/>
  <c r="AW1226" i="1"/>
  <c r="AX1226" i="1"/>
  <c r="AY1226" i="1"/>
  <c r="AW1227" i="1"/>
  <c r="AX1227" i="1"/>
  <c r="AY1227" i="1"/>
  <c r="AW1228" i="1"/>
  <c r="AX1228" i="1"/>
  <c r="AY1228" i="1"/>
  <c r="AW1229" i="1"/>
  <c r="AX1229" i="1"/>
  <c r="AY1229" i="1"/>
  <c r="AW1230" i="1"/>
  <c r="AX1230" i="1"/>
  <c r="AY1230" i="1"/>
  <c r="AW1231" i="1"/>
  <c r="AX1231" i="1"/>
  <c r="AY1231" i="1"/>
  <c r="AW1232" i="1"/>
  <c r="AX1232" i="1"/>
  <c r="AY1232" i="1"/>
  <c r="AW1233" i="1"/>
  <c r="AX1233" i="1"/>
  <c r="AY1233" i="1"/>
  <c r="AW1234" i="1"/>
  <c r="AX1234" i="1"/>
  <c r="AY1234" i="1"/>
  <c r="AW1235" i="1"/>
  <c r="AX1235" i="1"/>
  <c r="AY1235" i="1"/>
  <c r="AW1236" i="1"/>
  <c r="AX1236" i="1"/>
  <c r="AY1236" i="1"/>
  <c r="AW1237" i="1"/>
  <c r="AX1237" i="1"/>
  <c r="AY1237" i="1"/>
  <c r="AW1238" i="1"/>
  <c r="AX1238" i="1"/>
  <c r="AY1238" i="1"/>
  <c r="AW1239" i="1"/>
  <c r="AX1239" i="1"/>
  <c r="AY1239" i="1"/>
  <c r="AW1240" i="1"/>
  <c r="AX1240" i="1"/>
  <c r="AY1240" i="1"/>
  <c r="AW1241" i="1"/>
  <c r="AX1241" i="1"/>
  <c r="AY1241" i="1"/>
  <c r="AW1242" i="1"/>
  <c r="AX1242" i="1"/>
  <c r="AY1242" i="1"/>
  <c r="AW1243" i="1"/>
  <c r="AX1243" i="1"/>
  <c r="AY1243" i="1"/>
  <c r="AW1244" i="1"/>
  <c r="AX1244" i="1"/>
  <c r="AY1244" i="1"/>
  <c r="AW1245" i="1"/>
  <c r="AX1245" i="1"/>
  <c r="AY1245" i="1"/>
  <c r="AW1246" i="1"/>
  <c r="AX1246" i="1"/>
  <c r="AY1246" i="1"/>
  <c r="AW1247" i="1"/>
  <c r="AX1247" i="1"/>
  <c r="AY1247" i="1"/>
  <c r="AW1248" i="1"/>
  <c r="AX1248" i="1"/>
  <c r="AY1248" i="1"/>
  <c r="AW1249" i="1"/>
  <c r="AX1249" i="1"/>
  <c r="AY1249" i="1"/>
  <c r="AW1250" i="1"/>
  <c r="AX1250" i="1"/>
  <c r="AY1250" i="1"/>
  <c r="AW1251" i="1"/>
  <c r="AX1251" i="1"/>
  <c r="AY1251" i="1"/>
  <c r="AW1252" i="1"/>
  <c r="AX1252" i="1"/>
  <c r="AY1252" i="1"/>
  <c r="AW1253" i="1"/>
  <c r="AX1253" i="1"/>
  <c r="AY1253" i="1"/>
  <c r="AW1254" i="1"/>
  <c r="AX1254" i="1"/>
  <c r="AY1254" i="1"/>
  <c r="AW1255" i="1"/>
  <c r="AX1255" i="1"/>
  <c r="AY1255" i="1"/>
  <c r="AW1256" i="1"/>
  <c r="AX1256" i="1"/>
  <c r="AY1256" i="1"/>
  <c r="AW1257" i="1"/>
  <c r="AX1257" i="1"/>
  <c r="AY1257" i="1"/>
  <c r="AW1258" i="1"/>
  <c r="AX1258" i="1"/>
  <c r="AY1258" i="1"/>
  <c r="AW1259" i="1"/>
  <c r="AX1259" i="1"/>
  <c r="AY1259" i="1"/>
  <c r="AW1260" i="1"/>
  <c r="AX1260" i="1"/>
  <c r="AY1260" i="1"/>
  <c r="AW1261" i="1"/>
  <c r="AX1261" i="1"/>
  <c r="AY1261" i="1"/>
  <c r="AW1262" i="1"/>
  <c r="AX1262" i="1"/>
  <c r="AY1262" i="1"/>
  <c r="AW1263" i="1"/>
  <c r="AX1263" i="1"/>
  <c r="AY1263" i="1"/>
  <c r="AW1264" i="1"/>
  <c r="AX1264" i="1"/>
  <c r="AY1264" i="1"/>
  <c r="AW1265" i="1"/>
  <c r="AX1265" i="1"/>
  <c r="AY1265" i="1"/>
  <c r="AW1266" i="1"/>
  <c r="AX1266" i="1"/>
  <c r="AY1266" i="1"/>
  <c r="AW1267" i="1"/>
  <c r="AX1267" i="1"/>
  <c r="AY1267" i="1"/>
  <c r="AW1268" i="1"/>
  <c r="AX1268" i="1"/>
  <c r="AY1268" i="1"/>
  <c r="AW1269" i="1"/>
  <c r="AX1269" i="1"/>
  <c r="AY1269" i="1"/>
  <c r="AW1270" i="1"/>
  <c r="AX1270" i="1"/>
  <c r="AY1270" i="1"/>
  <c r="AW1271" i="1"/>
  <c r="AX1271" i="1"/>
  <c r="AY1271" i="1"/>
  <c r="AW1272" i="1"/>
  <c r="AX1272" i="1"/>
  <c r="AY1272" i="1"/>
  <c r="AW1273" i="1"/>
  <c r="AX1273" i="1"/>
  <c r="AY1273" i="1"/>
  <c r="AW1274" i="1"/>
  <c r="AX1274" i="1"/>
  <c r="AY1274" i="1"/>
  <c r="AW1275" i="1"/>
  <c r="AX1275" i="1"/>
  <c r="AY1275" i="1"/>
  <c r="AW1276" i="1"/>
  <c r="AX1276" i="1"/>
  <c r="AY1276" i="1"/>
  <c r="AW1277" i="1"/>
  <c r="AX1277" i="1"/>
  <c r="AY1277" i="1"/>
  <c r="AW1278" i="1"/>
  <c r="AX1278" i="1"/>
  <c r="AY1278" i="1"/>
  <c r="AW1279" i="1"/>
  <c r="AX1279" i="1"/>
  <c r="AY1279" i="1"/>
  <c r="AW1280" i="1"/>
  <c r="AX1280" i="1"/>
  <c r="AY1280" i="1"/>
  <c r="AW1281" i="1"/>
  <c r="AX1281" i="1"/>
  <c r="AY1281" i="1"/>
  <c r="AW1282" i="1"/>
  <c r="AX1282" i="1"/>
  <c r="AY1282" i="1"/>
  <c r="AW1283" i="1"/>
  <c r="AX1283" i="1"/>
  <c r="AY1283" i="1"/>
  <c r="AW1284" i="1"/>
  <c r="AX1284" i="1"/>
  <c r="AY1284" i="1"/>
  <c r="AW1285" i="1"/>
  <c r="AX1285" i="1"/>
  <c r="AY1285" i="1"/>
  <c r="AW1286" i="1"/>
  <c r="AX1286" i="1"/>
  <c r="AY1286" i="1"/>
  <c r="AW1287" i="1"/>
  <c r="AX1287" i="1"/>
  <c r="AY1287" i="1"/>
  <c r="AW1288" i="1"/>
  <c r="AX1288" i="1"/>
  <c r="AY1288" i="1"/>
  <c r="AW1289" i="1"/>
  <c r="AX1289" i="1"/>
  <c r="AY1289" i="1"/>
  <c r="AW1290" i="1"/>
  <c r="AX1290" i="1"/>
  <c r="AY1290" i="1"/>
  <c r="AW1291" i="1"/>
  <c r="AX1291" i="1"/>
  <c r="AY1291" i="1"/>
  <c r="AW1292" i="1"/>
  <c r="AX1292" i="1"/>
  <c r="AY1292" i="1"/>
  <c r="AW1293" i="1"/>
  <c r="AX1293" i="1"/>
  <c r="AY1293" i="1"/>
  <c r="AW1294" i="1"/>
  <c r="AX1294" i="1"/>
  <c r="AY1294" i="1"/>
  <c r="AW1295" i="1"/>
  <c r="AX1295" i="1"/>
  <c r="AY1295" i="1"/>
  <c r="AW1296" i="1"/>
  <c r="AX1296" i="1"/>
  <c r="AY1296" i="1"/>
  <c r="AW1297" i="1"/>
  <c r="AX1297" i="1"/>
  <c r="AY1297" i="1"/>
  <c r="AW1298" i="1"/>
  <c r="AX1298" i="1"/>
  <c r="AY1298" i="1"/>
  <c r="AW1299" i="1"/>
  <c r="AX1299" i="1"/>
  <c r="AY1299" i="1"/>
  <c r="AW1300" i="1"/>
  <c r="AX1300" i="1"/>
  <c r="AY1300" i="1"/>
  <c r="AW1301" i="1"/>
  <c r="AX1301" i="1"/>
  <c r="AY1301" i="1"/>
  <c r="AW1302" i="1"/>
  <c r="AX1302" i="1"/>
  <c r="AY1302" i="1"/>
  <c r="AW1303" i="1"/>
  <c r="AX1303" i="1"/>
  <c r="AY1303" i="1"/>
  <c r="AW1304" i="1"/>
  <c r="AX1304" i="1"/>
  <c r="AY1304" i="1"/>
  <c r="AW1305" i="1"/>
  <c r="AX1305" i="1"/>
  <c r="AY1305" i="1"/>
  <c r="AW1306" i="1"/>
  <c r="AX1306" i="1"/>
  <c r="AY1306" i="1"/>
  <c r="AW1307" i="1"/>
  <c r="AX1307" i="1"/>
  <c r="AY1307" i="1"/>
  <c r="AW1308" i="1"/>
  <c r="AX1308" i="1"/>
  <c r="AY1308" i="1"/>
  <c r="AW1309" i="1"/>
  <c r="AX1309" i="1"/>
  <c r="AY1309" i="1"/>
  <c r="AW1310" i="1"/>
  <c r="AX1310" i="1"/>
  <c r="AY1310" i="1"/>
  <c r="AW1311" i="1"/>
  <c r="AX1311" i="1"/>
  <c r="AY1311" i="1"/>
  <c r="AW1312" i="1"/>
  <c r="AX1312" i="1"/>
  <c r="AY1312" i="1"/>
  <c r="AW1313" i="1"/>
  <c r="AX1313" i="1"/>
  <c r="AY1313" i="1"/>
  <c r="AW1314" i="1"/>
  <c r="AX1314" i="1"/>
  <c r="AY1314" i="1"/>
  <c r="AW1315" i="1"/>
  <c r="AX1315" i="1"/>
  <c r="AY1315" i="1"/>
  <c r="AW1316" i="1"/>
  <c r="AX1316" i="1"/>
  <c r="AY1316" i="1"/>
  <c r="AW1317" i="1"/>
  <c r="AX1317" i="1"/>
  <c r="AY1317" i="1"/>
  <c r="AW1318" i="1"/>
  <c r="AX1318" i="1"/>
  <c r="AY1318" i="1"/>
  <c r="AW1319" i="1"/>
  <c r="AX1319" i="1"/>
  <c r="AY1319" i="1"/>
  <c r="AW1320" i="1"/>
  <c r="AX1320" i="1"/>
  <c r="AY1320" i="1"/>
  <c r="AW1321" i="1"/>
  <c r="AX1321" i="1"/>
  <c r="AY1321" i="1"/>
  <c r="AW1322" i="1"/>
  <c r="AX1322" i="1"/>
  <c r="AY1322" i="1"/>
  <c r="AW1323" i="1"/>
  <c r="AX1323" i="1"/>
  <c r="AY1323" i="1"/>
  <c r="AW1324" i="1"/>
  <c r="AX1324" i="1"/>
  <c r="AY1324" i="1"/>
  <c r="AW1325" i="1"/>
  <c r="AX1325" i="1"/>
  <c r="AY1325" i="1"/>
  <c r="AW1326" i="1"/>
  <c r="AX1326" i="1"/>
  <c r="AY1326" i="1"/>
  <c r="AW1327" i="1"/>
  <c r="AX1327" i="1"/>
  <c r="AY1327" i="1"/>
  <c r="AW1328" i="1"/>
  <c r="AX1328" i="1"/>
  <c r="AY1328" i="1"/>
  <c r="AW1329" i="1"/>
  <c r="AX1329" i="1"/>
  <c r="AY1329" i="1"/>
  <c r="AW1330" i="1"/>
  <c r="AX1330" i="1"/>
  <c r="AY1330" i="1"/>
  <c r="AW1331" i="1"/>
  <c r="AX1331" i="1"/>
  <c r="AY1331" i="1"/>
  <c r="AW1332" i="1"/>
  <c r="AX1332" i="1"/>
  <c r="AY1332" i="1"/>
  <c r="AW1333" i="1"/>
  <c r="AX1333" i="1"/>
  <c r="AY1333" i="1"/>
  <c r="AW1334" i="1"/>
  <c r="AX1334" i="1"/>
  <c r="AY1334" i="1"/>
  <c r="AW1335" i="1"/>
  <c r="AX1335" i="1"/>
  <c r="AY1335" i="1"/>
  <c r="AW1336" i="1"/>
  <c r="AX1336" i="1"/>
  <c r="AY1336" i="1"/>
  <c r="AW1337" i="1"/>
  <c r="AX1337" i="1"/>
  <c r="AY1337" i="1"/>
  <c r="AW1338" i="1"/>
  <c r="AX1338" i="1"/>
  <c r="AY1338" i="1"/>
  <c r="AW1339" i="1"/>
  <c r="AX1339" i="1"/>
  <c r="AY1339" i="1"/>
  <c r="AW1340" i="1"/>
  <c r="AX1340" i="1"/>
  <c r="AY1340" i="1"/>
  <c r="AW1341" i="1"/>
  <c r="AX1341" i="1"/>
  <c r="AY1341" i="1"/>
  <c r="AW1342" i="1"/>
  <c r="AX1342" i="1"/>
  <c r="AY1342" i="1"/>
  <c r="AW1343" i="1"/>
  <c r="AX1343" i="1"/>
  <c r="AY1343" i="1"/>
  <c r="AW1344" i="1"/>
  <c r="AX1344" i="1"/>
  <c r="AY1344" i="1"/>
  <c r="AW1345" i="1"/>
  <c r="AX1345" i="1"/>
  <c r="AY1345" i="1"/>
  <c r="AW1346" i="1"/>
  <c r="AX1346" i="1"/>
  <c r="AY1346" i="1"/>
  <c r="AW1347" i="1"/>
  <c r="AX1347" i="1"/>
  <c r="AY1347" i="1"/>
  <c r="AW1348" i="1"/>
  <c r="AX1348" i="1"/>
  <c r="AY1348" i="1"/>
  <c r="AW1349" i="1"/>
  <c r="AX1349" i="1"/>
  <c r="AY1349" i="1"/>
  <c r="AW1350" i="1"/>
  <c r="AX1350" i="1"/>
  <c r="AY1350" i="1"/>
  <c r="AW1351" i="1"/>
  <c r="AX1351" i="1"/>
  <c r="AY1351" i="1"/>
  <c r="AW1352" i="1"/>
  <c r="AX1352" i="1"/>
  <c r="AY1352" i="1"/>
  <c r="AW1353" i="1"/>
  <c r="AX1353" i="1"/>
  <c r="AY1353" i="1"/>
  <c r="AW1354" i="1"/>
  <c r="AX1354" i="1"/>
  <c r="AY1354" i="1"/>
  <c r="AW1355" i="1"/>
  <c r="AX1355" i="1"/>
  <c r="AY1355" i="1"/>
  <c r="AW1356" i="1"/>
  <c r="AX1356" i="1"/>
  <c r="AY1356" i="1"/>
  <c r="AW1357" i="1"/>
  <c r="AX1357" i="1"/>
  <c r="AY1357" i="1"/>
  <c r="AW1358" i="1"/>
  <c r="AX1358" i="1"/>
  <c r="AY1358" i="1"/>
  <c r="AW1359" i="1"/>
  <c r="AX1359" i="1"/>
  <c r="AY1359" i="1"/>
  <c r="AW1360" i="1"/>
  <c r="AX1360" i="1"/>
  <c r="AY1360" i="1"/>
  <c r="AW1361" i="1"/>
  <c r="AX1361" i="1"/>
  <c r="AY1361" i="1"/>
  <c r="AW1362" i="1"/>
  <c r="AX1362" i="1"/>
  <c r="AY1362" i="1"/>
  <c r="AW1363" i="1"/>
  <c r="AX1363" i="1"/>
  <c r="AY1363" i="1"/>
  <c r="AW1364" i="1"/>
  <c r="AX1364" i="1"/>
  <c r="AY1364" i="1"/>
  <c r="AW1365" i="1"/>
  <c r="AX1365" i="1"/>
  <c r="AY1365" i="1"/>
  <c r="AW1366" i="1"/>
  <c r="AX1366" i="1"/>
  <c r="AY1366" i="1"/>
  <c r="AW1367" i="1"/>
  <c r="AX1367" i="1"/>
  <c r="AY1367" i="1"/>
  <c r="AW1368" i="1"/>
  <c r="AX1368" i="1"/>
  <c r="AY1368" i="1"/>
  <c r="AW1369" i="1"/>
  <c r="AX1369" i="1"/>
  <c r="AY1369" i="1"/>
  <c r="AW1370" i="1"/>
  <c r="AX1370" i="1"/>
  <c r="AY1370" i="1"/>
  <c r="AW1371" i="1"/>
  <c r="AX1371" i="1"/>
  <c r="AY1371" i="1"/>
  <c r="AW1372" i="1"/>
  <c r="AX1372" i="1"/>
  <c r="AY1372" i="1"/>
  <c r="AW1373" i="1"/>
  <c r="AX1373" i="1"/>
  <c r="AY1373" i="1"/>
  <c r="AW1374" i="1"/>
  <c r="AX1374" i="1"/>
  <c r="AY1374" i="1"/>
  <c r="AW1375" i="1"/>
  <c r="AX1375" i="1"/>
  <c r="AY1375" i="1"/>
  <c r="AW1376" i="1"/>
  <c r="AX1376" i="1"/>
  <c r="AY1376" i="1"/>
  <c r="AW1377" i="1"/>
  <c r="AX1377" i="1"/>
  <c r="AY1377" i="1"/>
  <c r="AW1378" i="1"/>
  <c r="AX1378" i="1"/>
  <c r="AY1378" i="1"/>
  <c r="AW1379" i="1"/>
  <c r="AX1379" i="1"/>
  <c r="AY1379" i="1"/>
  <c r="AW1380" i="1"/>
  <c r="AX1380" i="1"/>
  <c r="AY1380" i="1"/>
  <c r="AW1381" i="1"/>
  <c r="AX1381" i="1"/>
  <c r="AY1381" i="1"/>
  <c r="AW1382" i="1"/>
  <c r="AX1382" i="1"/>
  <c r="AY1382" i="1"/>
  <c r="AW1383" i="1"/>
  <c r="AX1383" i="1"/>
  <c r="AY1383" i="1"/>
  <c r="AW1384" i="1"/>
  <c r="AX1384" i="1"/>
  <c r="AY1384" i="1"/>
  <c r="AW1385" i="1"/>
  <c r="AX1385" i="1"/>
  <c r="AY1385" i="1"/>
  <c r="AW1386" i="1"/>
  <c r="AX1386" i="1"/>
  <c r="AY1386" i="1"/>
  <c r="AW1387" i="1"/>
  <c r="AX1387" i="1"/>
  <c r="AY1387" i="1"/>
  <c r="AW1388" i="1"/>
  <c r="AX1388" i="1"/>
  <c r="AY1388" i="1"/>
  <c r="AW1389" i="1"/>
  <c r="AX1389" i="1"/>
  <c r="AY1389" i="1"/>
  <c r="AW1390" i="1"/>
  <c r="AX1390" i="1"/>
  <c r="AY1390" i="1"/>
  <c r="AW1391" i="1"/>
  <c r="AX1391" i="1"/>
  <c r="AY1391" i="1"/>
  <c r="AW1392" i="1"/>
  <c r="AX1392" i="1"/>
  <c r="AY1392" i="1"/>
  <c r="AW1393" i="1"/>
  <c r="AX1393" i="1"/>
  <c r="AY1393" i="1"/>
  <c r="AW1394" i="1"/>
  <c r="AX1394" i="1"/>
  <c r="AY1394" i="1"/>
  <c r="AW1395" i="1"/>
  <c r="AX1395" i="1"/>
  <c r="AY1395" i="1"/>
  <c r="AW1396" i="1"/>
  <c r="AX1396" i="1"/>
  <c r="AY1396" i="1"/>
  <c r="AW1397" i="1"/>
  <c r="AX1397" i="1"/>
  <c r="AY1397" i="1"/>
  <c r="AW1398" i="1"/>
  <c r="AX1398" i="1"/>
  <c r="AY1398" i="1"/>
  <c r="AW1399" i="1"/>
  <c r="AX1399" i="1"/>
  <c r="AY1399" i="1"/>
  <c r="AW1400" i="1"/>
  <c r="AX1400" i="1"/>
  <c r="AY1400" i="1"/>
  <c r="AW1401" i="1"/>
  <c r="AX1401" i="1"/>
  <c r="AY1401" i="1"/>
  <c r="AW1402" i="1"/>
  <c r="AX1402" i="1"/>
  <c r="AY1402" i="1"/>
  <c r="AW1403" i="1"/>
  <c r="AX1403" i="1"/>
  <c r="AY1403" i="1"/>
  <c r="AW1404" i="1"/>
  <c r="AX1404" i="1"/>
  <c r="AY1404" i="1"/>
  <c r="AW1405" i="1"/>
  <c r="AX1405" i="1"/>
  <c r="AY1405" i="1"/>
  <c r="AW1406" i="1"/>
  <c r="AX1406" i="1"/>
  <c r="AY1406" i="1"/>
  <c r="AW1407" i="1"/>
  <c r="AX1407" i="1"/>
  <c r="AY1407" i="1"/>
  <c r="AW1408" i="1"/>
  <c r="AX1408" i="1"/>
  <c r="AY1408" i="1"/>
  <c r="AW1409" i="1"/>
  <c r="AX1409" i="1"/>
  <c r="AY1409" i="1"/>
  <c r="AW1410" i="1"/>
  <c r="AX1410" i="1"/>
  <c r="AY1410" i="1"/>
  <c r="AW1411" i="1"/>
  <c r="AX1411" i="1"/>
  <c r="AY1411" i="1"/>
  <c r="AW1412" i="1"/>
  <c r="AX1412" i="1"/>
  <c r="AY1412" i="1"/>
  <c r="AW1413" i="1"/>
  <c r="AX1413" i="1"/>
  <c r="AY1413" i="1"/>
  <c r="AW1414" i="1"/>
  <c r="AX1414" i="1"/>
  <c r="AY1414" i="1"/>
  <c r="AW1415" i="1"/>
  <c r="AX1415" i="1"/>
  <c r="AY1415" i="1"/>
  <c r="AW1416" i="1"/>
  <c r="AX1416" i="1"/>
  <c r="AY1416" i="1"/>
  <c r="AW1417" i="1"/>
  <c r="AX1417" i="1"/>
  <c r="AY1417" i="1"/>
  <c r="AW1418" i="1"/>
  <c r="AX1418" i="1"/>
  <c r="AY1418" i="1"/>
  <c r="AW1419" i="1"/>
  <c r="AX1419" i="1"/>
  <c r="AY1419" i="1"/>
  <c r="AW1420" i="1"/>
  <c r="AX1420" i="1"/>
  <c r="AY1420" i="1"/>
  <c r="AW1421" i="1"/>
  <c r="AX1421" i="1"/>
  <c r="AY1421" i="1"/>
  <c r="AW1422" i="1"/>
  <c r="AX1422" i="1"/>
  <c r="AY1422" i="1"/>
  <c r="AW1423" i="1"/>
  <c r="AX1423" i="1"/>
  <c r="AY1423" i="1"/>
  <c r="AW1424" i="1"/>
  <c r="AX1424" i="1"/>
  <c r="AY1424" i="1"/>
  <c r="AW1425" i="1"/>
  <c r="AX1425" i="1"/>
  <c r="AY1425" i="1"/>
  <c r="AW1426" i="1"/>
  <c r="AX1426" i="1"/>
  <c r="AY1426" i="1"/>
  <c r="AW1427" i="1"/>
  <c r="AX1427" i="1"/>
  <c r="AY1427" i="1"/>
  <c r="AW1428" i="1"/>
  <c r="AX1428" i="1"/>
  <c r="AY1428" i="1"/>
  <c r="AW1429" i="1"/>
  <c r="AX1429" i="1"/>
  <c r="AY1429" i="1"/>
  <c r="AW1430" i="1"/>
  <c r="AX1430" i="1"/>
  <c r="AY1430" i="1"/>
  <c r="AW1431" i="1"/>
  <c r="AX1431" i="1"/>
  <c r="AY1431" i="1"/>
  <c r="AW1432" i="1"/>
  <c r="AX1432" i="1"/>
  <c r="AY1432" i="1"/>
  <c r="AW1433" i="1"/>
  <c r="AX1433" i="1"/>
  <c r="AY1433" i="1"/>
  <c r="AW1434" i="1"/>
  <c r="AX1434" i="1"/>
  <c r="AY1434" i="1"/>
  <c r="AW1435" i="1"/>
  <c r="AX1435" i="1"/>
  <c r="AY1435" i="1"/>
  <c r="AW1436" i="1"/>
  <c r="AX1436" i="1"/>
  <c r="AY1436" i="1"/>
  <c r="AW1437" i="1"/>
  <c r="AX1437" i="1"/>
  <c r="AY1437" i="1"/>
  <c r="AW1438" i="1"/>
  <c r="AX1438" i="1"/>
  <c r="AY1438" i="1"/>
  <c r="AW1439" i="1"/>
  <c r="AX1439" i="1"/>
  <c r="AY1439" i="1"/>
  <c r="AW1440" i="1"/>
  <c r="AX1440" i="1"/>
  <c r="AY1440" i="1"/>
  <c r="AW1441" i="1"/>
  <c r="AX1441" i="1"/>
  <c r="AY1441" i="1"/>
  <c r="AW1442" i="1"/>
  <c r="AX1442" i="1"/>
  <c r="AY1442" i="1"/>
  <c r="AW1443" i="1"/>
  <c r="AX1443" i="1"/>
  <c r="AY1443" i="1"/>
  <c r="AW1444" i="1"/>
  <c r="AX1444" i="1"/>
  <c r="AY1444" i="1"/>
  <c r="AW1445" i="1"/>
  <c r="AX1445" i="1"/>
  <c r="AY1445" i="1"/>
  <c r="AW1446" i="1"/>
  <c r="AX1446" i="1"/>
  <c r="AY1446" i="1"/>
  <c r="AW1447" i="1"/>
  <c r="AX1447" i="1"/>
  <c r="AY1447" i="1"/>
  <c r="AW1448" i="1"/>
  <c r="AX1448" i="1"/>
  <c r="AY1448" i="1"/>
  <c r="AW1449" i="1"/>
  <c r="AX1449" i="1"/>
  <c r="AY1449" i="1"/>
  <c r="AW1450" i="1"/>
  <c r="AX1450" i="1"/>
  <c r="AY1450" i="1"/>
  <c r="AW1451" i="1"/>
  <c r="AX1451" i="1"/>
  <c r="AY1451" i="1"/>
  <c r="AW1452" i="1"/>
  <c r="AX1452" i="1"/>
  <c r="AY1452" i="1"/>
  <c r="AW1453" i="1"/>
  <c r="AX1453" i="1"/>
  <c r="AY1453" i="1"/>
  <c r="AW1454" i="1"/>
  <c r="AX1454" i="1"/>
  <c r="AY1454" i="1"/>
  <c r="AW1455" i="1"/>
  <c r="AX1455" i="1"/>
  <c r="AY1455" i="1"/>
  <c r="AW1456" i="1"/>
  <c r="AX1456" i="1"/>
  <c r="AY1456" i="1"/>
  <c r="AW1457" i="1"/>
  <c r="AX1457" i="1"/>
  <c r="AY1457" i="1"/>
  <c r="AW1458" i="1"/>
  <c r="AX1458" i="1"/>
  <c r="AY1458" i="1"/>
  <c r="AW1459" i="1"/>
  <c r="AX1459" i="1"/>
  <c r="AY1459" i="1"/>
  <c r="AW1460" i="1"/>
  <c r="AX1460" i="1"/>
  <c r="AY1460" i="1"/>
  <c r="AW1461" i="1"/>
  <c r="AX1461" i="1"/>
  <c r="AY1461" i="1"/>
  <c r="AW1462" i="1"/>
  <c r="AX1462" i="1"/>
  <c r="AY1462" i="1"/>
  <c r="AW1463" i="1"/>
  <c r="AX1463" i="1"/>
  <c r="AY1463" i="1"/>
  <c r="AW1464" i="1"/>
  <c r="AX1464" i="1"/>
  <c r="AY1464" i="1"/>
  <c r="AW1465" i="1"/>
  <c r="AX1465" i="1"/>
  <c r="AY1465" i="1"/>
  <c r="AW1466" i="1"/>
  <c r="AX1466" i="1"/>
  <c r="AY1466" i="1"/>
  <c r="AW1467" i="1"/>
  <c r="AX1467" i="1"/>
  <c r="AY1467" i="1"/>
  <c r="AW1468" i="1"/>
  <c r="AX1468" i="1"/>
  <c r="AY1468" i="1"/>
  <c r="AW1469" i="1"/>
  <c r="AX1469" i="1"/>
  <c r="AY1469" i="1"/>
  <c r="AW1470" i="1"/>
  <c r="AX1470" i="1"/>
  <c r="AY1470" i="1"/>
  <c r="AW1471" i="1"/>
  <c r="AX1471" i="1"/>
  <c r="AY1471" i="1"/>
  <c r="AW1472" i="1"/>
  <c r="AX1472" i="1"/>
  <c r="AY1472" i="1"/>
  <c r="AW1473" i="1"/>
  <c r="AX1473" i="1"/>
  <c r="AY1473" i="1"/>
  <c r="AW1474" i="1"/>
  <c r="AX1474" i="1"/>
  <c r="AY1474" i="1"/>
  <c r="AW1475" i="1"/>
  <c r="AX1475" i="1"/>
  <c r="AY1475" i="1"/>
  <c r="AW1476" i="1"/>
  <c r="AX1476" i="1"/>
  <c r="AY1476" i="1"/>
  <c r="AW1477" i="1"/>
  <c r="AX1477" i="1"/>
  <c r="AY1477" i="1"/>
  <c r="AW1478" i="1"/>
  <c r="AX1478" i="1"/>
  <c r="AY1478" i="1"/>
  <c r="AW1479" i="1"/>
  <c r="AX1479" i="1"/>
  <c r="AY1479" i="1"/>
  <c r="AW1480" i="1"/>
  <c r="AX1480" i="1"/>
  <c r="AY1480" i="1"/>
  <c r="AW1481" i="1"/>
  <c r="AX1481" i="1"/>
  <c r="AY1481" i="1"/>
  <c r="AW1482" i="1"/>
  <c r="AX1482" i="1"/>
  <c r="AY1482" i="1"/>
  <c r="AW1483" i="1"/>
  <c r="AX1483" i="1"/>
  <c r="AY1483" i="1"/>
  <c r="AW1484" i="1"/>
  <c r="AX1484" i="1"/>
  <c r="AY1484" i="1"/>
  <c r="AW1485" i="1"/>
  <c r="AX1485" i="1"/>
  <c r="AY1485" i="1"/>
  <c r="AW1486" i="1"/>
  <c r="AX1486" i="1"/>
  <c r="AY1486" i="1"/>
  <c r="AW1487" i="1"/>
  <c r="AX1487" i="1"/>
  <c r="AY1487" i="1"/>
  <c r="AW1488" i="1"/>
  <c r="AX1488" i="1"/>
  <c r="AY1488" i="1"/>
  <c r="AW1489" i="1"/>
  <c r="AX1489" i="1"/>
  <c r="AY1489" i="1"/>
  <c r="AW1490" i="1"/>
  <c r="AX1490" i="1"/>
  <c r="AY1490" i="1"/>
  <c r="AW1491" i="1"/>
  <c r="AX1491" i="1"/>
  <c r="AY1491" i="1"/>
  <c r="AW1492" i="1"/>
  <c r="AX1492" i="1"/>
  <c r="AY1492" i="1"/>
  <c r="AW1493" i="1"/>
  <c r="AX1493" i="1"/>
  <c r="AY1493" i="1"/>
  <c r="AW1494" i="1"/>
  <c r="AX1494" i="1"/>
  <c r="AY1494" i="1"/>
  <c r="AW1495" i="1"/>
  <c r="AX1495" i="1"/>
  <c r="AY1495" i="1"/>
  <c r="AW1496" i="1"/>
  <c r="AX1496" i="1"/>
  <c r="AY1496" i="1"/>
  <c r="AW1497" i="1"/>
  <c r="AX1497" i="1"/>
  <c r="AY1497" i="1"/>
  <c r="AW1498" i="1"/>
  <c r="AX1498" i="1"/>
  <c r="AY1498" i="1"/>
  <c r="AW1499" i="1"/>
  <c r="AX1499" i="1"/>
  <c r="AY1499" i="1"/>
  <c r="AW1500" i="1"/>
  <c r="AX1500" i="1"/>
  <c r="AY1500" i="1"/>
  <c r="AW1501" i="1"/>
  <c r="AX1501" i="1"/>
  <c r="AY1501" i="1"/>
  <c r="AW1502" i="1"/>
  <c r="AX1502" i="1"/>
  <c r="AY1502" i="1"/>
  <c r="AW1503" i="1"/>
  <c r="AX1503" i="1"/>
  <c r="AY1503" i="1"/>
  <c r="AW1504" i="1"/>
  <c r="AX1504" i="1"/>
  <c r="AY1504" i="1"/>
  <c r="AW1505" i="1"/>
  <c r="AX1505" i="1"/>
  <c r="AY1505" i="1"/>
  <c r="AW1506" i="1"/>
  <c r="AX1506" i="1"/>
  <c r="AY1506" i="1"/>
  <c r="AW1507" i="1"/>
  <c r="AX1507" i="1"/>
  <c r="AY1507" i="1"/>
  <c r="AW1508" i="1"/>
  <c r="AX1508" i="1"/>
  <c r="AY1508" i="1"/>
  <c r="AW1509" i="1"/>
  <c r="AX1509" i="1"/>
  <c r="AY1509" i="1"/>
  <c r="AW1510" i="1"/>
  <c r="AX1510" i="1"/>
  <c r="AY1510" i="1"/>
  <c r="AW1511" i="1"/>
  <c r="AX1511" i="1"/>
  <c r="AY1511" i="1"/>
  <c r="AW1512" i="1"/>
  <c r="AX1512" i="1"/>
  <c r="AY1512" i="1"/>
  <c r="AW1513" i="1"/>
  <c r="AX1513" i="1"/>
  <c r="AY1513" i="1"/>
  <c r="AW1514" i="1"/>
  <c r="AX1514" i="1"/>
  <c r="AY1514" i="1"/>
  <c r="AW1515" i="1"/>
  <c r="AX1515" i="1"/>
  <c r="AY1515" i="1"/>
  <c r="AW1516" i="1"/>
  <c r="AX1516" i="1"/>
  <c r="AY1516" i="1"/>
  <c r="AW1517" i="1"/>
  <c r="AX1517" i="1"/>
  <c r="AY1517" i="1"/>
  <c r="AW1518" i="1"/>
  <c r="AX1518" i="1"/>
  <c r="AY1518" i="1"/>
  <c r="AW1519" i="1"/>
  <c r="AX1519" i="1"/>
  <c r="AY1519" i="1"/>
  <c r="AW1520" i="1"/>
  <c r="AX1520" i="1"/>
  <c r="AY1520" i="1"/>
  <c r="AW1521" i="1"/>
  <c r="AX1521" i="1"/>
  <c r="AY1521" i="1"/>
  <c r="AW1522" i="1"/>
  <c r="AX1522" i="1"/>
  <c r="AY1522" i="1"/>
  <c r="AW1523" i="1"/>
  <c r="AX1523" i="1"/>
  <c r="AY1523" i="1"/>
  <c r="AW1524" i="1"/>
  <c r="AX1524" i="1"/>
  <c r="AY1524" i="1"/>
  <c r="AW1525" i="1"/>
  <c r="AX1525" i="1"/>
  <c r="AY1525" i="1"/>
  <c r="AW1526" i="1"/>
  <c r="AX1526" i="1"/>
  <c r="AY1526" i="1"/>
  <c r="AW1527" i="1"/>
  <c r="AX1527" i="1"/>
  <c r="AY1527" i="1"/>
  <c r="AW1528" i="1"/>
  <c r="AX1528" i="1"/>
  <c r="AY1528" i="1"/>
  <c r="AW1529" i="1"/>
  <c r="AX1529" i="1"/>
  <c r="AY1529" i="1"/>
  <c r="AW1530" i="1"/>
  <c r="AX1530" i="1"/>
  <c r="AY1530" i="1"/>
  <c r="AW1531" i="1"/>
  <c r="AX1531" i="1"/>
  <c r="AY1531" i="1"/>
  <c r="AW1532" i="1"/>
  <c r="AX1532" i="1"/>
  <c r="AY1532" i="1"/>
  <c r="AW1533" i="1"/>
  <c r="AX1533" i="1"/>
  <c r="AY1533" i="1"/>
  <c r="AW1534" i="1"/>
  <c r="AX1534" i="1"/>
  <c r="AY1534" i="1"/>
  <c r="AW1535" i="1"/>
  <c r="AX1535" i="1"/>
  <c r="AY1535" i="1"/>
  <c r="AW1536" i="1"/>
  <c r="AX1536" i="1"/>
  <c r="AY1536" i="1"/>
  <c r="AW1537" i="1"/>
  <c r="AX1537" i="1"/>
  <c r="AY1537" i="1"/>
  <c r="AW1538" i="1"/>
  <c r="AX1538" i="1"/>
  <c r="AY1538" i="1"/>
  <c r="AW1539" i="1"/>
  <c r="AX1539" i="1"/>
  <c r="AY1539" i="1"/>
  <c r="AW1540" i="1"/>
  <c r="AX1540" i="1"/>
  <c r="AY1540" i="1"/>
  <c r="AW1541" i="1"/>
  <c r="AX1541" i="1"/>
  <c r="AY1541" i="1"/>
  <c r="AW1542" i="1"/>
  <c r="AX1542" i="1"/>
  <c r="AY1542" i="1"/>
  <c r="AW1543" i="1"/>
  <c r="AX1543" i="1"/>
  <c r="AY1543" i="1"/>
  <c r="AW1544" i="1"/>
  <c r="AX1544" i="1"/>
  <c r="AY1544" i="1"/>
  <c r="AW1545" i="1"/>
  <c r="AX1545" i="1"/>
  <c r="AY1545" i="1"/>
  <c r="AW1546" i="1"/>
  <c r="AX1546" i="1"/>
  <c r="AY1546" i="1"/>
  <c r="AW1547" i="1"/>
  <c r="AX1547" i="1"/>
  <c r="AY1547" i="1"/>
  <c r="AW1548" i="1"/>
  <c r="AX1548" i="1"/>
  <c r="AY1548" i="1"/>
  <c r="AW1549" i="1"/>
  <c r="AX1549" i="1"/>
  <c r="AY1549" i="1"/>
  <c r="AW1550" i="1"/>
  <c r="AX1550" i="1"/>
  <c r="AY1550" i="1"/>
  <c r="AW1551" i="1"/>
  <c r="AX1551" i="1"/>
  <c r="AY1551" i="1"/>
  <c r="AW1552" i="1"/>
  <c r="AX1552" i="1"/>
  <c r="AY1552" i="1"/>
  <c r="AW1553" i="1"/>
  <c r="AX1553" i="1"/>
  <c r="AY1553" i="1"/>
  <c r="AW1554" i="1"/>
  <c r="AX1554" i="1"/>
  <c r="AY1554" i="1"/>
  <c r="AW1555" i="1"/>
  <c r="AX1555" i="1"/>
  <c r="AY1555" i="1"/>
  <c r="AW1556" i="1"/>
  <c r="AX1556" i="1"/>
  <c r="AY1556" i="1"/>
  <c r="AW1557" i="1"/>
  <c r="AX1557" i="1"/>
  <c r="AY1557" i="1"/>
  <c r="AW1558" i="1"/>
  <c r="AX1558" i="1"/>
  <c r="AY1558" i="1"/>
  <c r="AW1559" i="1"/>
  <c r="AX1559" i="1"/>
  <c r="AY1559" i="1"/>
  <c r="AW1560" i="1"/>
  <c r="AX1560" i="1"/>
  <c r="AY1560" i="1"/>
  <c r="AW1561" i="1"/>
  <c r="AX1561" i="1"/>
  <c r="AY1561" i="1"/>
  <c r="AW1562" i="1"/>
  <c r="AX1562" i="1"/>
  <c r="AY1562" i="1"/>
  <c r="AW1563" i="1"/>
  <c r="AX1563" i="1"/>
  <c r="AY1563" i="1"/>
  <c r="AW1564" i="1"/>
  <c r="AX1564" i="1"/>
  <c r="AY1564" i="1"/>
  <c r="AW1565" i="1"/>
  <c r="AX1565" i="1"/>
  <c r="AY1565" i="1"/>
  <c r="AW1566" i="1"/>
  <c r="AX1566" i="1"/>
  <c r="AY1566" i="1"/>
  <c r="AW1567" i="1"/>
  <c r="AX1567" i="1"/>
  <c r="AY1567" i="1"/>
  <c r="AW1568" i="1"/>
  <c r="AX1568" i="1"/>
  <c r="AY1568" i="1"/>
  <c r="AW1569" i="1"/>
  <c r="AX1569" i="1"/>
  <c r="AY1569" i="1"/>
  <c r="AW1570" i="1"/>
  <c r="AX1570" i="1"/>
  <c r="AY1570" i="1"/>
  <c r="AW1571" i="1"/>
  <c r="AX1571" i="1"/>
  <c r="AY1571" i="1"/>
  <c r="AW1572" i="1"/>
  <c r="AX1572" i="1"/>
  <c r="AY1572" i="1"/>
  <c r="AW1573" i="1"/>
  <c r="AX1573" i="1"/>
  <c r="AY1573" i="1"/>
  <c r="AW1574" i="1"/>
  <c r="AX1574" i="1"/>
  <c r="AY1574" i="1"/>
  <c r="AW1575" i="1"/>
  <c r="AX1575" i="1"/>
  <c r="AY1575" i="1"/>
  <c r="AW1576" i="1"/>
  <c r="AX1576" i="1"/>
  <c r="AY1576" i="1"/>
  <c r="AW1577" i="1"/>
  <c r="AX1577" i="1"/>
  <c r="AY1577" i="1"/>
  <c r="AW1578" i="1"/>
  <c r="AX1578" i="1"/>
  <c r="AY1578" i="1"/>
  <c r="AW1579" i="1"/>
  <c r="AX1579" i="1"/>
  <c r="AY1579" i="1"/>
  <c r="AW1580" i="1"/>
  <c r="AX1580" i="1"/>
  <c r="AY1580" i="1"/>
  <c r="AW1581" i="1"/>
  <c r="AX1581" i="1"/>
  <c r="AY1581" i="1"/>
  <c r="AW1582" i="1"/>
  <c r="AX1582" i="1"/>
  <c r="AY1582" i="1"/>
  <c r="AW1583" i="1"/>
  <c r="AX1583" i="1"/>
  <c r="AY1583" i="1"/>
  <c r="AW1584" i="1"/>
  <c r="AX1584" i="1"/>
  <c r="AY1584" i="1"/>
  <c r="AW1585" i="1"/>
  <c r="AX1585" i="1"/>
  <c r="AY1585" i="1"/>
  <c r="AW1586" i="1"/>
  <c r="AX1586" i="1"/>
  <c r="AY1586" i="1"/>
  <c r="AW1587" i="1"/>
  <c r="AX1587" i="1"/>
  <c r="AY1587" i="1"/>
  <c r="AW1588" i="1"/>
  <c r="AX1588" i="1"/>
  <c r="AY1588" i="1"/>
  <c r="AW1589" i="1"/>
  <c r="AX1589" i="1"/>
  <c r="AY1589" i="1"/>
  <c r="AW1590" i="1"/>
  <c r="AX1590" i="1"/>
  <c r="AY1590" i="1"/>
  <c r="AW1591" i="1"/>
  <c r="AX1591" i="1"/>
  <c r="AY1591" i="1"/>
  <c r="AW1592" i="1"/>
  <c r="AX1592" i="1"/>
  <c r="AY1592" i="1"/>
  <c r="AW1593" i="1"/>
  <c r="AX1593" i="1"/>
  <c r="AY1593" i="1"/>
  <c r="AW1594" i="1"/>
  <c r="AX1594" i="1"/>
  <c r="AY1594" i="1"/>
  <c r="AW1595" i="1"/>
  <c r="AX1595" i="1"/>
  <c r="AY1595" i="1"/>
  <c r="AW1596" i="1"/>
  <c r="AX1596" i="1"/>
  <c r="AY1596" i="1"/>
  <c r="AW1597" i="1"/>
  <c r="AX1597" i="1"/>
  <c r="AY1597" i="1"/>
  <c r="AW1598" i="1"/>
  <c r="AX1598" i="1"/>
  <c r="AY1598" i="1"/>
  <c r="AW1599" i="1"/>
  <c r="AX1599" i="1"/>
  <c r="AY1599" i="1"/>
  <c r="AW1600" i="1"/>
  <c r="AX1600" i="1"/>
  <c r="AY1600" i="1"/>
  <c r="AW1601" i="1"/>
  <c r="AX1601" i="1"/>
  <c r="AY1601" i="1"/>
  <c r="AW1602" i="1"/>
  <c r="AX1602" i="1"/>
  <c r="AY1602" i="1"/>
  <c r="AW1603" i="1"/>
  <c r="AX1603" i="1"/>
  <c r="AY1603" i="1"/>
  <c r="AW1604" i="1"/>
  <c r="AX1604" i="1"/>
  <c r="AY1604" i="1"/>
  <c r="AW1605" i="1"/>
  <c r="AX1605" i="1"/>
  <c r="AY1605" i="1"/>
  <c r="AW1606" i="1"/>
  <c r="AX1606" i="1"/>
  <c r="AY1606" i="1"/>
  <c r="AW1607" i="1"/>
  <c r="AX1607" i="1"/>
  <c r="AY1607" i="1"/>
  <c r="AW1608" i="1"/>
  <c r="AX1608" i="1"/>
  <c r="AY1608" i="1"/>
  <c r="AW1609" i="1"/>
  <c r="AX1609" i="1"/>
  <c r="AY1609" i="1"/>
  <c r="AW1610" i="1"/>
  <c r="AX1610" i="1"/>
  <c r="AY1610" i="1"/>
  <c r="AW1611" i="1"/>
  <c r="AX1611" i="1"/>
  <c r="AY1611" i="1"/>
  <c r="AW1612" i="1"/>
  <c r="AX1612" i="1"/>
  <c r="AY1612" i="1"/>
  <c r="AW1613" i="1"/>
  <c r="AX1613" i="1"/>
  <c r="AY1613" i="1"/>
  <c r="AW1614" i="1"/>
  <c r="AX1614" i="1"/>
  <c r="AY1614" i="1"/>
  <c r="AW1615" i="1"/>
  <c r="AX1615" i="1"/>
  <c r="AY1615" i="1"/>
  <c r="AW1616" i="1"/>
  <c r="AX1616" i="1"/>
  <c r="AY1616" i="1"/>
  <c r="AW1617" i="1"/>
  <c r="AX1617" i="1"/>
  <c r="AY1617" i="1"/>
  <c r="AW1618" i="1"/>
  <c r="AX1618" i="1"/>
  <c r="AY1618" i="1"/>
  <c r="AW1619" i="1"/>
  <c r="AX1619" i="1"/>
  <c r="AY1619" i="1"/>
  <c r="AW1620" i="1"/>
  <c r="AX1620" i="1"/>
  <c r="AY1620" i="1"/>
  <c r="AW1621" i="1"/>
  <c r="AX1621" i="1"/>
  <c r="AY1621" i="1"/>
  <c r="AW1622" i="1"/>
  <c r="AX1622" i="1"/>
  <c r="AY1622" i="1"/>
  <c r="AW1623" i="1"/>
  <c r="AX1623" i="1"/>
  <c r="AY1623" i="1"/>
  <c r="AW1624" i="1"/>
  <c r="AX1624" i="1"/>
  <c r="AY1624" i="1"/>
  <c r="AW1625" i="1"/>
  <c r="AX1625" i="1"/>
  <c r="AY1625" i="1"/>
  <c r="AW1626" i="1"/>
  <c r="AX1626" i="1"/>
  <c r="AY1626" i="1"/>
  <c r="AW1627" i="1"/>
  <c r="AX1627" i="1"/>
  <c r="AY1627" i="1"/>
  <c r="AW1628" i="1"/>
  <c r="AX1628" i="1"/>
  <c r="AY1628" i="1"/>
  <c r="AW1629" i="1"/>
  <c r="AX1629" i="1"/>
  <c r="AY1629" i="1"/>
  <c r="AW1630" i="1"/>
  <c r="AX1630" i="1"/>
  <c r="AY1630" i="1"/>
  <c r="AW1631" i="1"/>
  <c r="AX1631" i="1"/>
  <c r="AY1631" i="1"/>
  <c r="AW1632" i="1"/>
  <c r="AX1632" i="1"/>
  <c r="AY1632" i="1"/>
  <c r="AW1633" i="1"/>
  <c r="AX1633" i="1"/>
  <c r="AY1633" i="1"/>
  <c r="AW1634" i="1"/>
  <c r="AX1634" i="1"/>
  <c r="AY1634" i="1"/>
  <c r="AW1635" i="1"/>
  <c r="AX1635" i="1"/>
  <c r="AY1635" i="1"/>
  <c r="AW1636" i="1"/>
  <c r="AX1636" i="1"/>
  <c r="AY1636" i="1"/>
  <c r="AW1637" i="1"/>
  <c r="AX1637" i="1"/>
  <c r="AY1637" i="1"/>
  <c r="AW1638" i="1"/>
  <c r="AX1638" i="1"/>
  <c r="AY1638" i="1"/>
  <c r="AW1639" i="1"/>
  <c r="AX1639" i="1"/>
  <c r="AY1639" i="1"/>
  <c r="AW1640" i="1"/>
  <c r="AX1640" i="1"/>
  <c r="AY1640" i="1"/>
  <c r="AW1641" i="1"/>
  <c r="AX1641" i="1"/>
  <c r="AY1641" i="1"/>
  <c r="AW1642" i="1"/>
  <c r="AX1642" i="1"/>
  <c r="AY1642" i="1"/>
  <c r="AW1643" i="1"/>
  <c r="AX1643" i="1"/>
  <c r="AY1643" i="1"/>
  <c r="AW1644" i="1"/>
  <c r="AX1644" i="1"/>
  <c r="AY1644" i="1"/>
  <c r="AW1645" i="1"/>
  <c r="AX1645" i="1"/>
  <c r="AY1645" i="1"/>
  <c r="AW1646" i="1"/>
  <c r="AX1646" i="1"/>
  <c r="AY1646" i="1"/>
  <c r="AW1647" i="1"/>
  <c r="AX1647" i="1"/>
  <c r="AY1647" i="1"/>
  <c r="AW1648" i="1"/>
  <c r="AX1648" i="1"/>
  <c r="AY1648" i="1"/>
  <c r="AW1649" i="1"/>
  <c r="AX1649" i="1"/>
  <c r="AY1649" i="1"/>
  <c r="AW1650" i="1"/>
  <c r="AX1650" i="1"/>
  <c r="AY1650" i="1"/>
  <c r="AW1651" i="1"/>
  <c r="AX1651" i="1"/>
  <c r="AY1651" i="1"/>
  <c r="AW1652" i="1"/>
  <c r="AX1652" i="1"/>
  <c r="AY1652" i="1"/>
  <c r="AW1653" i="1"/>
  <c r="AX1653" i="1"/>
  <c r="AY1653" i="1"/>
  <c r="AW1654" i="1"/>
  <c r="AX1654" i="1"/>
  <c r="AY1654" i="1"/>
  <c r="AW1655" i="1"/>
  <c r="AX1655" i="1"/>
  <c r="AY1655" i="1"/>
  <c r="AW1656" i="1"/>
  <c r="AX1656" i="1"/>
  <c r="AY1656" i="1"/>
  <c r="AW1657" i="1"/>
  <c r="AX1657" i="1"/>
  <c r="AY1657" i="1"/>
  <c r="AW1658" i="1"/>
  <c r="AX1658" i="1"/>
  <c r="AY1658" i="1"/>
  <c r="AW1659" i="1"/>
  <c r="AX1659" i="1"/>
  <c r="AY1659" i="1"/>
  <c r="AW1660" i="1"/>
  <c r="AX1660" i="1"/>
  <c r="AY1660" i="1"/>
  <c r="AW1661" i="1"/>
  <c r="AX1661" i="1"/>
  <c r="AY1661" i="1"/>
  <c r="AW1662" i="1"/>
  <c r="AX1662" i="1"/>
  <c r="AY1662" i="1"/>
  <c r="AW1663" i="1"/>
  <c r="AX1663" i="1"/>
  <c r="AY1663" i="1"/>
  <c r="AW1664" i="1"/>
  <c r="AX1664" i="1"/>
  <c r="AY1664" i="1"/>
  <c r="AW1665" i="1"/>
  <c r="AX1665" i="1"/>
  <c r="AY1665" i="1"/>
  <c r="AW1666" i="1"/>
  <c r="AX1666" i="1"/>
  <c r="AY1666" i="1"/>
  <c r="AW1667" i="1"/>
  <c r="AX1667" i="1"/>
  <c r="AY1667" i="1"/>
  <c r="AW1668" i="1"/>
  <c r="AX1668" i="1"/>
  <c r="AY1668" i="1"/>
  <c r="AW1669" i="1"/>
  <c r="AX1669" i="1"/>
  <c r="AY1669" i="1"/>
  <c r="AW1670" i="1"/>
  <c r="AX1670" i="1"/>
  <c r="AY1670" i="1"/>
  <c r="AW1671" i="1"/>
  <c r="AX1671" i="1"/>
  <c r="AY1671" i="1"/>
  <c r="AW1672" i="1"/>
  <c r="AX1672" i="1"/>
  <c r="AY1672" i="1"/>
  <c r="AW1673" i="1"/>
  <c r="AX1673" i="1"/>
  <c r="AY1673" i="1"/>
  <c r="AW1674" i="1"/>
  <c r="AX1674" i="1"/>
  <c r="AY1674" i="1"/>
  <c r="AW1675" i="1"/>
  <c r="AX1675" i="1"/>
  <c r="AY1675" i="1"/>
  <c r="AW1676" i="1"/>
  <c r="AX1676" i="1"/>
  <c r="AY1676" i="1"/>
  <c r="AW1677" i="1"/>
  <c r="AX1677" i="1"/>
  <c r="AY1677" i="1"/>
  <c r="AW1678" i="1"/>
  <c r="AX1678" i="1"/>
  <c r="AY1678" i="1"/>
  <c r="AW1679" i="1"/>
  <c r="AX1679" i="1"/>
  <c r="AY1679" i="1"/>
  <c r="AW1680" i="1"/>
  <c r="AX1680" i="1"/>
  <c r="AY1680" i="1"/>
  <c r="AW1681" i="1"/>
  <c r="AX1681" i="1"/>
  <c r="AY1681" i="1"/>
  <c r="AW1682" i="1"/>
  <c r="AX1682" i="1"/>
  <c r="AY1682" i="1"/>
  <c r="AW1683" i="1"/>
  <c r="AX1683" i="1"/>
  <c r="AY1683" i="1"/>
  <c r="AW1684" i="1"/>
  <c r="AX1684" i="1"/>
  <c r="AY1684" i="1"/>
  <c r="AW1685" i="1"/>
  <c r="AX1685" i="1"/>
  <c r="AY1685" i="1"/>
  <c r="AW1686" i="1"/>
  <c r="AX1686" i="1"/>
  <c r="AY1686" i="1"/>
  <c r="AW1687" i="1"/>
  <c r="AX1687" i="1"/>
  <c r="AY1687" i="1"/>
  <c r="AW1688" i="1"/>
  <c r="AX1688" i="1"/>
  <c r="AY1688" i="1"/>
  <c r="AW1689" i="1"/>
  <c r="AX1689" i="1"/>
  <c r="AY1689" i="1"/>
  <c r="AW1690" i="1"/>
  <c r="AX1690" i="1"/>
  <c r="AY1690" i="1"/>
  <c r="AW1691" i="1"/>
  <c r="AX1691" i="1"/>
  <c r="AY1691" i="1"/>
  <c r="AW1692" i="1"/>
  <c r="AX1692" i="1"/>
  <c r="AY1692" i="1"/>
  <c r="AW1693" i="1"/>
  <c r="AX1693" i="1"/>
  <c r="AY1693" i="1"/>
  <c r="AW1694" i="1"/>
  <c r="AX1694" i="1"/>
  <c r="AY1694" i="1"/>
  <c r="AW1695" i="1"/>
  <c r="AX1695" i="1"/>
  <c r="AY1695" i="1"/>
  <c r="AW1696" i="1"/>
  <c r="AX1696" i="1"/>
  <c r="AY1696" i="1"/>
  <c r="AW1697" i="1"/>
  <c r="AX1697" i="1"/>
  <c r="AY1697" i="1"/>
  <c r="AW1698" i="1"/>
  <c r="AX1698" i="1"/>
  <c r="AY1698" i="1"/>
  <c r="AW1699" i="1"/>
  <c r="AX1699" i="1"/>
  <c r="AY1699" i="1"/>
  <c r="AW1700" i="1"/>
  <c r="AX1700" i="1"/>
  <c r="AY1700" i="1"/>
  <c r="AW1701" i="1"/>
  <c r="AX1701" i="1"/>
  <c r="AY1701" i="1"/>
  <c r="AW1702" i="1"/>
  <c r="AX1702" i="1"/>
  <c r="AY1702" i="1"/>
  <c r="AW1703" i="1"/>
  <c r="AX1703" i="1"/>
  <c r="AY1703" i="1"/>
  <c r="AW1704" i="1"/>
  <c r="AX1704" i="1"/>
  <c r="AY1704" i="1"/>
  <c r="AW1705" i="1"/>
  <c r="AX1705" i="1"/>
  <c r="AY1705" i="1"/>
  <c r="AW1706" i="1"/>
  <c r="AX1706" i="1"/>
  <c r="AY1706" i="1"/>
  <c r="AW1707" i="1"/>
  <c r="AX1707" i="1"/>
  <c r="AY1707" i="1"/>
  <c r="AW1708" i="1"/>
  <c r="AX1708" i="1"/>
  <c r="AY1708" i="1"/>
  <c r="AW1709" i="1"/>
  <c r="AX1709" i="1"/>
  <c r="AY1709" i="1"/>
  <c r="AW1710" i="1"/>
  <c r="AX1710" i="1"/>
  <c r="AY1710" i="1"/>
  <c r="AW1711" i="1"/>
  <c r="AX1711" i="1"/>
  <c r="AY1711" i="1"/>
  <c r="AW1712" i="1"/>
  <c r="AX1712" i="1"/>
  <c r="AY1712" i="1"/>
  <c r="AW1713" i="1"/>
  <c r="AX1713" i="1"/>
  <c r="AY1713" i="1"/>
  <c r="AW1714" i="1"/>
  <c r="AX1714" i="1"/>
  <c r="AY1714" i="1"/>
  <c r="AW1715" i="1"/>
  <c r="AX1715" i="1"/>
  <c r="AY1715" i="1"/>
  <c r="AW1716" i="1"/>
  <c r="AX1716" i="1"/>
  <c r="AY1716" i="1"/>
  <c r="AW1717" i="1"/>
  <c r="AX1717" i="1"/>
  <c r="AY1717" i="1"/>
  <c r="AW1718" i="1"/>
  <c r="AX1718" i="1"/>
  <c r="AY1718" i="1"/>
  <c r="AW1719" i="1"/>
  <c r="AX1719" i="1"/>
  <c r="AY1719" i="1"/>
  <c r="AW1720" i="1"/>
  <c r="AX1720" i="1"/>
  <c r="AY1720" i="1"/>
  <c r="AW1721" i="1"/>
  <c r="AX1721" i="1"/>
  <c r="AY1721" i="1"/>
  <c r="AW1722" i="1"/>
  <c r="AX1722" i="1"/>
  <c r="AY1722" i="1"/>
  <c r="AW1723" i="1"/>
  <c r="AX1723" i="1"/>
  <c r="AY1723" i="1"/>
  <c r="AW1724" i="1"/>
  <c r="AX1724" i="1"/>
  <c r="AY1724" i="1"/>
  <c r="AW1725" i="1"/>
  <c r="AX1725" i="1"/>
  <c r="AY1725" i="1"/>
  <c r="AW1726" i="1"/>
  <c r="AX1726" i="1"/>
  <c r="AY1726" i="1"/>
  <c r="AW1727" i="1"/>
  <c r="AX1727" i="1"/>
  <c r="AY1727" i="1"/>
  <c r="AW1728" i="1"/>
  <c r="AX1728" i="1"/>
  <c r="AY1728" i="1"/>
  <c r="AW1729" i="1"/>
  <c r="AX1729" i="1"/>
  <c r="AY1729" i="1"/>
  <c r="AW1730" i="1"/>
  <c r="AX1730" i="1"/>
  <c r="AY1730" i="1"/>
  <c r="AW1731" i="1"/>
  <c r="AX1731" i="1"/>
  <c r="AY1731" i="1"/>
  <c r="AW1732" i="1"/>
  <c r="AX1732" i="1"/>
  <c r="AY1732" i="1"/>
  <c r="AW1733" i="1"/>
  <c r="AX1733" i="1"/>
  <c r="AY1733" i="1"/>
  <c r="AW1734" i="1"/>
  <c r="AX1734" i="1"/>
  <c r="AY1734" i="1"/>
  <c r="AW1735" i="1"/>
  <c r="AX1735" i="1"/>
  <c r="AY1735" i="1"/>
  <c r="AW1736" i="1"/>
  <c r="AX1736" i="1"/>
  <c r="AY1736" i="1"/>
  <c r="AW1737" i="1"/>
  <c r="AX1737" i="1"/>
  <c r="AY1737" i="1"/>
  <c r="AW1738" i="1"/>
  <c r="AX1738" i="1"/>
  <c r="AY1738" i="1"/>
  <c r="AW1739" i="1"/>
  <c r="AX1739" i="1"/>
  <c r="AY1739" i="1"/>
  <c r="AW1740" i="1"/>
  <c r="AX1740" i="1"/>
  <c r="AY1740" i="1"/>
  <c r="AW1741" i="1"/>
  <c r="AX1741" i="1"/>
  <c r="AY1741" i="1"/>
  <c r="AW1742" i="1"/>
  <c r="AX1742" i="1"/>
  <c r="AY1742" i="1"/>
  <c r="AW1743" i="1"/>
  <c r="AX1743" i="1"/>
  <c r="AY1743" i="1"/>
  <c r="AW1744" i="1"/>
  <c r="AX1744" i="1"/>
  <c r="AY1744" i="1"/>
  <c r="AW1745" i="1"/>
  <c r="AX1745" i="1"/>
  <c r="AY1745" i="1"/>
  <c r="AW1746" i="1"/>
  <c r="AX1746" i="1"/>
  <c r="AY1746" i="1"/>
  <c r="AW1747" i="1"/>
  <c r="AX1747" i="1"/>
  <c r="AY1747" i="1"/>
  <c r="AW1748" i="1"/>
  <c r="AX1748" i="1"/>
  <c r="AY1748" i="1"/>
  <c r="AW1749" i="1"/>
  <c r="AX1749" i="1"/>
  <c r="AY1749" i="1"/>
  <c r="AW1750" i="1"/>
  <c r="AX1750" i="1"/>
  <c r="AY1750" i="1"/>
  <c r="AW1751" i="1"/>
  <c r="AX1751" i="1"/>
  <c r="AY1751" i="1"/>
  <c r="AW1752" i="1"/>
  <c r="AX1752" i="1"/>
  <c r="AY1752" i="1"/>
  <c r="AW1753" i="1"/>
  <c r="AX1753" i="1"/>
  <c r="AY1753" i="1"/>
  <c r="AW1754" i="1"/>
  <c r="AX1754" i="1"/>
  <c r="AY1754" i="1"/>
  <c r="AW1755" i="1"/>
  <c r="AX1755" i="1"/>
  <c r="AY1755" i="1"/>
  <c r="AW1756" i="1"/>
  <c r="AX1756" i="1"/>
  <c r="AY1756" i="1"/>
  <c r="AW1757" i="1"/>
  <c r="AX1757" i="1"/>
  <c r="AY1757" i="1"/>
  <c r="AW1758" i="1"/>
  <c r="AX1758" i="1"/>
  <c r="AY1758" i="1"/>
  <c r="AW1759" i="1"/>
  <c r="AX1759" i="1"/>
  <c r="AY1759" i="1"/>
  <c r="AW1760" i="1"/>
  <c r="AX1760" i="1"/>
  <c r="AY1760" i="1"/>
  <c r="AW1761" i="1"/>
  <c r="AX1761" i="1"/>
  <c r="AY1761" i="1"/>
  <c r="AW1762" i="1"/>
  <c r="AX1762" i="1"/>
  <c r="AY1762" i="1"/>
  <c r="AW1763" i="1"/>
  <c r="AX1763" i="1"/>
  <c r="AY1763" i="1"/>
  <c r="AW1764" i="1"/>
  <c r="AX1764" i="1"/>
  <c r="AY1764" i="1"/>
  <c r="AW1765" i="1"/>
  <c r="AX1765" i="1"/>
  <c r="AY1765" i="1"/>
  <c r="AW1766" i="1"/>
  <c r="AX1766" i="1"/>
  <c r="AY1766" i="1"/>
  <c r="AW1767" i="1"/>
  <c r="AX1767" i="1"/>
  <c r="AY1767" i="1"/>
  <c r="AW1768" i="1"/>
  <c r="AX1768" i="1"/>
  <c r="AY1768" i="1"/>
  <c r="AW1769" i="1"/>
  <c r="AX1769" i="1"/>
  <c r="AY1769" i="1"/>
  <c r="AW1770" i="1"/>
  <c r="AX1770" i="1"/>
  <c r="AY1770" i="1"/>
  <c r="AW1771" i="1"/>
  <c r="AX1771" i="1"/>
  <c r="AY1771" i="1"/>
  <c r="AW1772" i="1"/>
  <c r="AX1772" i="1"/>
  <c r="AY1772" i="1"/>
  <c r="AW1773" i="1"/>
  <c r="AX1773" i="1"/>
  <c r="AY1773" i="1"/>
  <c r="AW1774" i="1"/>
  <c r="AX1774" i="1"/>
  <c r="AY1774" i="1"/>
  <c r="AW1775" i="1"/>
  <c r="AX1775" i="1"/>
  <c r="AY1775" i="1"/>
  <c r="AW1776" i="1"/>
  <c r="AX1776" i="1"/>
  <c r="AY1776" i="1"/>
  <c r="AW1777" i="1"/>
  <c r="AX1777" i="1"/>
  <c r="AY1777" i="1"/>
  <c r="AW1778" i="1"/>
  <c r="AX1778" i="1"/>
  <c r="AY1778" i="1"/>
  <c r="AW1779" i="1"/>
  <c r="AX1779" i="1"/>
  <c r="AY1779" i="1"/>
  <c r="AW1780" i="1"/>
  <c r="AX1780" i="1"/>
  <c r="AY1780" i="1"/>
  <c r="AW1781" i="1"/>
  <c r="AX1781" i="1"/>
  <c r="AY1781" i="1"/>
  <c r="AW1782" i="1"/>
  <c r="AX1782" i="1"/>
  <c r="AY1782" i="1"/>
  <c r="AW1783" i="1"/>
  <c r="AX1783" i="1"/>
  <c r="AY1783" i="1"/>
  <c r="AW1784" i="1"/>
  <c r="AX1784" i="1"/>
  <c r="AY1784" i="1"/>
  <c r="AW1785" i="1"/>
  <c r="AX1785" i="1"/>
  <c r="AY1785" i="1"/>
  <c r="AW1786" i="1"/>
  <c r="AX1786" i="1"/>
  <c r="AY1786" i="1"/>
  <c r="AW1787" i="1"/>
  <c r="AX1787" i="1"/>
  <c r="AY1787" i="1"/>
  <c r="AW1788" i="1"/>
  <c r="AX1788" i="1"/>
  <c r="AY1788" i="1"/>
  <c r="AW1789" i="1"/>
  <c r="AX1789" i="1"/>
  <c r="AY1789" i="1"/>
  <c r="AW1790" i="1"/>
  <c r="AX1790" i="1"/>
  <c r="AY1790" i="1"/>
  <c r="AW1791" i="1"/>
  <c r="AX1791" i="1"/>
  <c r="AY1791" i="1"/>
  <c r="AW1792" i="1"/>
  <c r="AX1792" i="1"/>
  <c r="AY1792" i="1"/>
  <c r="AW1793" i="1"/>
  <c r="AX1793" i="1"/>
  <c r="AY1793" i="1"/>
  <c r="AW1794" i="1"/>
  <c r="AX1794" i="1"/>
  <c r="AY1794" i="1"/>
  <c r="AW1795" i="1"/>
  <c r="AX1795" i="1"/>
  <c r="AY1795" i="1"/>
  <c r="AW1796" i="1"/>
  <c r="AX1796" i="1"/>
  <c r="AY1796" i="1"/>
  <c r="AW1797" i="1"/>
  <c r="AX1797" i="1"/>
  <c r="AY1797" i="1"/>
  <c r="AW1798" i="1"/>
  <c r="AX1798" i="1"/>
  <c r="AY1798" i="1"/>
  <c r="AW1799" i="1"/>
  <c r="AX1799" i="1"/>
  <c r="AY1799" i="1"/>
  <c r="AW1800" i="1"/>
  <c r="AX1800" i="1"/>
  <c r="AY1800" i="1"/>
  <c r="AW1801" i="1"/>
  <c r="AX1801" i="1"/>
  <c r="AY1801" i="1"/>
  <c r="AW1802" i="1"/>
  <c r="AX1802" i="1"/>
  <c r="AY1802" i="1"/>
  <c r="AW1803" i="1"/>
  <c r="AX1803" i="1"/>
  <c r="AY1803" i="1"/>
  <c r="AW1804" i="1"/>
  <c r="AX1804" i="1"/>
  <c r="AY1804" i="1"/>
  <c r="AW1805" i="1"/>
  <c r="AX1805" i="1"/>
  <c r="AY1805" i="1"/>
  <c r="AW1806" i="1"/>
  <c r="AX1806" i="1"/>
  <c r="AY1806" i="1"/>
  <c r="AW1807" i="1"/>
  <c r="AX1807" i="1"/>
  <c r="AY1807" i="1"/>
  <c r="AW1808" i="1"/>
  <c r="AX1808" i="1"/>
  <c r="AY1808" i="1"/>
  <c r="AW1809" i="1"/>
  <c r="AX1809" i="1"/>
  <c r="AY1809" i="1"/>
  <c r="AW1810" i="1"/>
  <c r="AX1810" i="1"/>
  <c r="AY1810" i="1"/>
  <c r="AW1811" i="1"/>
  <c r="AX1811" i="1"/>
  <c r="AY1811" i="1"/>
  <c r="AW1812" i="1"/>
  <c r="AX1812" i="1"/>
  <c r="AY1812" i="1"/>
  <c r="AW1813" i="1"/>
  <c r="AX1813" i="1"/>
  <c r="AY1813" i="1"/>
  <c r="AW1814" i="1"/>
  <c r="AX1814" i="1"/>
  <c r="AY1814" i="1"/>
  <c r="AW1815" i="1"/>
  <c r="AX1815" i="1"/>
  <c r="AY1815" i="1"/>
  <c r="AW1816" i="1"/>
  <c r="AX1816" i="1"/>
  <c r="AY1816" i="1"/>
  <c r="AW1817" i="1"/>
  <c r="AX1817" i="1"/>
  <c r="AY1817" i="1"/>
  <c r="AW1818" i="1"/>
  <c r="AX1818" i="1"/>
  <c r="AY1818" i="1"/>
  <c r="AW1819" i="1"/>
  <c r="AX1819" i="1"/>
  <c r="AY1819" i="1"/>
  <c r="AW1820" i="1"/>
  <c r="AX1820" i="1"/>
  <c r="AY1820" i="1"/>
  <c r="AW1821" i="1"/>
  <c r="AX1821" i="1"/>
  <c r="AY1821" i="1"/>
  <c r="AW1822" i="1"/>
  <c r="AX1822" i="1"/>
  <c r="AY1822" i="1"/>
  <c r="AW1823" i="1"/>
  <c r="AX1823" i="1"/>
  <c r="AY1823" i="1"/>
  <c r="AW1824" i="1"/>
  <c r="AX1824" i="1"/>
  <c r="AY1824" i="1"/>
  <c r="AW1825" i="1"/>
  <c r="AX1825" i="1"/>
  <c r="AY1825" i="1"/>
  <c r="AW1826" i="1"/>
  <c r="AX1826" i="1"/>
  <c r="AY1826" i="1"/>
  <c r="AW1827" i="1"/>
  <c r="AX1827" i="1"/>
  <c r="AY1827" i="1"/>
  <c r="AW1828" i="1"/>
  <c r="AX1828" i="1"/>
  <c r="AY1828" i="1"/>
  <c r="AW1829" i="1"/>
  <c r="AX1829" i="1"/>
  <c r="AY1829" i="1"/>
  <c r="AW1830" i="1"/>
  <c r="AX1830" i="1"/>
  <c r="AY1830" i="1"/>
  <c r="AW1831" i="1"/>
  <c r="AX1831" i="1"/>
  <c r="AY1831" i="1"/>
  <c r="AW1832" i="1"/>
  <c r="AX1832" i="1"/>
  <c r="AY1832" i="1"/>
  <c r="AW1833" i="1"/>
  <c r="AX1833" i="1"/>
  <c r="AY1833" i="1"/>
  <c r="AW1834" i="1"/>
  <c r="AX1834" i="1"/>
  <c r="AY1834" i="1"/>
  <c r="AW1835" i="1"/>
  <c r="AX1835" i="1"/>
  <c r="AY1835" i="1"/>
  <c r="AW1836" i="1"/>
  <c r="AX1836" i="1"/>
  <c r="AY1836" i="1"/>
  <c r="AW1837" i="1"/>
  <c r="AX1837" i="1"/>
  <c r="AY1837" i="1"/>
  <c r="AW1838" i="1"/>
  <c r="AX1838" i="1"/>
  <c r="AY1838" i="1"/>
  <c r="AW1839" i="1"/>
  <c r="AX1839" i="1"/>
  <c r="AY1839" i="1"/>
  <c r="AW1840" i="1"/>
  <c r="AX1840" i="1"/>
  <c r="AY1840" i="1"/>
  <c r="AW1841" i="1"/>
  <c r="AX1841" i="1"/>
  <c r="AY1841" i="1"/>
  <c r="AW1842" i="1"/>
  <c r="AX1842" i="1"/>
  <c r="AY1842" i="1"/>
  <c r="AW1843" i="1"/>
  <c r="AX1843" i="1"/>
  <c r="AY1843" i="1"/>
  <c r="AW1844" i="1"/>
  <c r="AX1844" i="1"/>
  <c r="AY1844" i="1"/>
  <c r="AW1845" i="1"/>
  <c r="AX1845" i="1"/>
  <c r="AY1845" i="1"/>
  <c r="AW1846" i="1"/>
  <c r="AX1846" i="1"/>
  <c r="AY1846" i="1"/>
  <c r="AW1847" i="1"/>
  <c r="AX1847" i="1"/>
  <c r="AY1847" i="1"/>
  <c r="AW1848" i="1"/>
  <c r="AX1848" i="1"/>
  <c r="AY1848" i="1"/>
  <c r="AW1849" i="1"/>
  <c r="AX1849" i="1"/>
  <c r="AY1849" i="1"/>
  <c r="AW1850" i="1"/>
  <c r="AX1850" i="1"/>
  <c r="AY1850" i="1"/>
  <c r="AW1851" i="1"/>
  <c r="AX1851" i="1"/>
  <c r="AY1851" i="1"/>
  <c r="AW1852" i="1"/>
  <c r="AX1852" i="1"/>
  <c r="AY1852" i="1"/>
  <c r="AW1853" i="1"/>
  <c r="AX1853" i="1"/>
  <c r="AY1853" i="1"/>
  <c r="AW1854" i="1"/>
  <c r="AX1854" i="1"/>
  <c r="AY1854" i="1"/>
  <c r="AW1855" i="1"/>
  <c r="AX1855" i="1"/>
  <c r="AY1855" i="1"/>
  <c r="AW1856" i="1"/>
  <c r="AX1856" i="1"/>
  <c r="AY1856" i="1"/>
  <c r="AW1857" i="1"/>
  <c r="AX1857" i="1"/>
  <c r="AY1857" i="1"/>
  <c r="AW1858" i="1"/>
  <c r="AX1858" i="1"/>
  <c r="AY1858" i="1"/>
  <c r="AW1859" i="1"/>
  <c r="AX1859" i="1"/>
  <c r="AY1859" i="1"/>
  <c r="AW1860" i="1"/>
  <c r="AX1860" i="1"/>
  <c r="AY1860" i="1"/>
  <c r="AW1861" i="1"/>
  <c r="AX1861" i="1"/>
  <c r="AY1861" i="1"/>
  <c r="AW1862" i="1"/>
  <c r="AX1862" i="1"/>
  <c r="AY1862" i="1"/>
  <c r="AW1863" i="1"/>
  <c r="AX1863" i="1"/>
  <c r="AY1863" i="1"/>
  <c r="AW1864" i="1"/>
  <c r="AX1864" i="1"/>
  <c r="AY1864" i="1"/>
  <c r="AW1865" i="1"/>
  <c r="AX1865" i="1"/>
  <c r="AY1865" i="1"/>
  <c r="AW1866" i="1"/>
  <c r="AX1866" i="1"/>
  <c r="AY1866" i="1"/>
  <c r="AW1867" i="1"/>
  <c r="AX1867" i="1"/>
  <c r="AY1867" i="1"/>
  <c r="AW1868" i="1"/>
  <c r="AX1868" i="1"/>
  <c r="AY1868" i="1"/>
  <c r="AW1869" i="1"/>
  <c r="AX1869" i="1"/>
  <c r="AY1869" i="1"/>
  <c r="AW1870" i="1"/>
  <c r="AX1870" i="1"/>
  <c r="AY1870" i="1"/>
  <c r="AW1871" i="1"/>
  <c r="AX1871" i="1"/>
  <c r="AY1871" i="1"/>
  <c r="AW1872" i="1"/>
  <c r="AX1872" i="1"/>
  <c r="AY1872" i="1"/>
  <c r="AW1873" i="1"/>
  <c r="AX1873" i="1"/>
  <c r="AY1873" i="1"/>
  <c r="AW1874" i="1"/>
  <c r="AX1874" i="1"/>
  <c r="AY1874" i="1"/>
  <c r="AW1875" i="1"/>
  <c r="AX1875" i="1"/>
  <c r="AY1875" i="1"/>
  <c r="AW1876" i="1"/>
  <c r="AX1876" i="1"/>
  <c r="AY1876" i="1"/>
  <c r="AW1877" i="1"/>
  <c r="AX1877" i="1"/>
  <c r="AY1877" i="1"/>
  <c r="AW1878" i="1"/>
  <c r="AX1878" i="1"/>
  <c r="AY1878" i="1"/>
  <c r="AW1879" i="1"/>
  <c r="AX1879" i="1"/>
  <c r="AY1879" i="1"/>
  <c r="AW1880" i="1"/>
  <c r="AX1880" i="1"/>
  <c r="AY1880" i="1"/>
  <c r="AW1881" i="1"/>
  <c r="AX1881" i="1"/>
  <c r="AY1881" i="1"/>
  <c r="AW1882" i="1"/>
  <c r="AX1882" i="1"/>
  <c r="AY1882" i="1"/>
  <c r="AW1883" i="1"/>
  <c r="AX1883" i="1"/>
  <c r="AY1883" i="1"/>
  <c r="AW1884" i="1"/>
  <c r="AX1884" i="1"/>
  <c r="AY1884" i="1"/>
  <c r="AW1885" i="1"/>
  <c r="AX1885" i="1"/>
  <c r="AY1885" i="1"/>
  <c r="AW1886" i="1"/>
  <c r="AX1886" i="1"/>
  <c r="AY1886" i="1"/>
  <c r="AW1887" i="1"/>
  <c r="AX1887" i="1"/>
  <c r="AY1887" i="1"/>
  <c r="AW1888" i="1"/>
  <c r="AX1888" i="1"/>
  <c r="AY1888" i="1"/>
  <c r="AW1889" i="1"/>
  <c r="AX1889" i="1"/>
  <c r="AY1889" i="1"/>
  <c r="AW1890" i="1"/>
  <c r="AX1890" i="1"/>
  <c r="AY1890" i="1"/>
  <c r="AW1891" i="1"/>
  <c r="AX1891" i="1"/>
  <c r="AY1891" i="1"/>
  <c r="AW1892" i="1"/>
  <c r="AX1892" i="1"/>
  <c r="AY1892" i="1"/>
  <c r="AW1893" i="1"/>
  <c r="AX1893" i="1"/>
  <c r="AY1893" i="1"/>
  <c r="AW1894" i="1"/>
  <c r="AX1894" i="1"/>
  <c r="AY1894" i="1"/>
  <c r="AW1895" i="1"/>
  <c r="AX1895" i="1"/>
  <c r="AY1895" i="1"/>
  <c r="AW1896" i="1"/>
  <c r="AX1896" i="1"/>
  <c r="AY1896" i="1"/>
  <c r="AW1897" i="1"/>
  <c r="AX1897" i="1"/>
  <c r="AY1897" i="1"/>
  <c r="AW1898" i="1"/>
  <c r="AX1898" i="1"/>
  <c r="AY1898" i="1"/>
  <c r="AW1899" i="1"/>
  <c r="AX1899" i="1"/>
  <c r="AY1899" i="1"/>
  <c r="AW1900" i="1"/>
  <c r="AX1900" i="1"/>
  <c r="AY1900" i="1"/>
  <c r="AW1901" i="1"/>
  <c r="AX1901" i="1"/>
  <c r="AY1901" i="1"/>
  <c r="AW1902" i="1"/>
  <c r="AX1902" i="1"/>
  <c r="AY1902" i="1"/>
  <c r="AW1903" i="1"/>
  <c r="AX1903" i="1"/>
  <c r="AY1903" i="1"/>
  <c r="AW1904" i="1"/>
  <c r="AX1904" i="1"/>
  <c r="AY1904" i="1"/>
  <c r="AW1905" i="1"/>
  <c r="AX1905" i="1"/>
  <c r="AY1905" i="1"/>
  <c r="AW1906" i="1"/>
  <c r="AX1906" i="1"/>
  <c r="AY1906" i="1"/>
  <c r="AW1907" i="1"/>
  <c r="AX1907" i="1"/>
  <c r="AY1907" i="1"/>
  <c r="AW1908" i="1"/>
  <c r="AX1908" i="1"/>
  <c r="AY1908" i="1"/>
  <c r="AW1909" i="1"/>
  <c r="AX1909" i="1"/>
  <c r="AY1909" i="1"/>
  <c r="AW1910" i="1"/>
  <c r="AX1910" i="1"/>
  <c r="AY1910" i="1"/>
  <c r="AW1911" i="1"/>
  <c r="AX1911" i="1"/>
  <c r="AY1911" i="1"/>
  <c r="AW1912" i="1"/>
  <c r="AX1912" i="1"/>
  <c r="AY1912" i="1"/>
  <c r="AW1913" i="1"/>
  <c r="AX1913" i="1"/>
  <c r="AY1913" i="1"/>
  <c r="AW1914" i="1"/>
  <c r="AX1914" i="1"/>
  <c r="AY1914" i="1"/>
  <c r="AW1915" i="1"/>
  <c r="AX1915" i="1"/>
  <c r="AY1915" i="1"/>
  <c r="AW1916" i="1"/>
  <c r="AX1916" i="1"/>
  <c r="AY1916" i="1"/>
  <c r="AW1917" i="1"/>
  <c r="AX1917" i="1"/>
  <c r="AY1917" i="1"/>
  <c r="AW1918" i="1"/>
  <c r="AX1918" i="1"/>
  <c r="AY1918" i="1"/>
  <c r="AW1919" i="1"/>
  <c r="AX1919" i="1"/>
  <c r="AY1919" i="1"/>
  <c r="AW1920" i="1"/>
  <c r="AX1920" i="1"/>
  <c r="AY1920" i="1"/>
  <c r="AW1921" i="1"/>
  <c r="AX1921" i="1"/>
  <c r="AY1921" i="1"/>
  <c r="AW1922" i="1"/>
  <c r="AX1922" i="1"/>
  <c r="AY1922" i="1"/>
  <c r="AW1923" i="1"/>
  <c r="AX1923" i="1"/>
  <c r="AY1923" i="1"/>
  <c r="AW1924" i="1"/>
  <c r="AX1924" i="1"/>
  <c r="AY1924" i="1"/>
  <c r="AW1925" i="1"/>
  <c r="AX1925" i="1"/>
  <c r="AY1925" i="1"/>
  <c r="AW1926" i="1"/>
  <c r="AX1926" i="1"/>
  <c r="AY1926" i="1"/>
  <c r="AW1927" i="1"/>
  <c r="AX1927" i="1"/>
  <c r="AY1927" i="1"/>
  <c r="AW1928" i="1"/>
  <c r="AX1928" i="1"/>
  <c r="AY1928" i="1"/>
  <c r="AW1929" i="1"/>
  <c r="AX1929" i="1"/>
  <c r="AY1929" i="1"/>
  <c r="AW1930" i="1"/>
  <c r="AX1930" i="1"/>
  <c r="AY1930" i="1"/>
  <c r="AW1931" i="1"/>
  <c r="AX1931" i="1"/>
  <c r="AY1931" i="1"/>
  <c r="AW1932" i="1"/>
  <c r="AX1932" i="1"/>
  <c r="AY1932" i="1"/>
  <c r="AW1933" i="1"/>
  <c r="AX1933" i="1"/>
  <c r="AY1933" i="1"/>
  <c r="AW1934" i="1"/>
  <c r="AX1934" i="1"/>
  <c r="AY1934" i="1"/>
  <c r="AW1935" i="1"/>
  <c r="AX1935" i="1"/>
  <c r="AY1935" i="1"/>
  <c r="AW1936" i="1"/>
  <c r="AX1936" i="1"/>
  <c r="AY1936" i="1"/>
  <c r="AW1937" i="1"/>
  <c r="AX1937" i="1"/>
  <c r="AY1937" i="1"/>
  <c r="AW1938" i="1"/>
  <c r="AX1938" i="1"/>
  <c r="AY1938" i="1"/>
  <c r="AW1939" i="1"/>
  <c r="AX1939" i="1"/>
  <c r="AY1939" i="1"/>
  <c r="AW1940" i="1"/>
  <c r="AX1940" i="1"/>
  <c r="AY1940" i="1"/>
  <c r="AW1941" i="1"/>
  <c r="AX1941" i="1"/>
  <c r="AY1941" i="1"/>
  <c r="AW1942" i="1"/>
  <c r="AX1942" i="1"/>
  <c r="AY1942" i="1"/>
  <c r="AW1943" i="1"/>
  <c r="AX1943" i="1"/>
  <c r="AY1943" i="1"/>
  <c r="AW1944" i="1"/>
  <c r="AX1944" i="1"/>
  <c r="AY1944" i="1"/>
  <c r="AW1945" i="1"/>
  <c r="AX1945" i="1"/>
  <c r="AY1945" i="1"/>
  <c r="AW1946" i="1"/>
  <c r="AX1946" i="1"/>
  <c r="AY1946" i="1"/>
  <c r="AW1947" i="1"/>
  <c r="AX1947" i="1"/>
  <c r="AY1947" i="1"/>
  <c r="AW1948" i="1"/>
  <c r="AX1948" i="1"/>
  <c r="AY1948" i="1"/>
  <c r="AW1949" i="1"/>
  <c r="AX1949" i="1"/>
  <c r="AY1949" i="1"/>
  <c r="AW1950" i="1"/>
  <c r="AX1950" i="1"/>
  <c r="AY1950" i="1"/>
  <c r="AW1951" i="1"/>
  <c r="AX1951" i="1"/>
  <c r="AY1951" i="1"/>
  <c r="AW1952" i="1"/>
  <c r="AX1952" i="1"/>
  <c r="AY1952" i="1"/>
  <c r="AW1953" i="1"/>
  <c r="AX1953" i="1"/>
  <c r="AY1953" i="1"/>
  <c r="AW1954" i="1"/>
  <c r="AX1954" i="1"/>
  <c r="AY1954" i="1"/>
  <c r="AW1955" i="1"/>
  <c r="AX1955" i="1"/>
  <c r="AY1955" i="1"/>
  <c r="AW1956" i="1"/>
  <c r="AX1956" i="1"/>
  <c r="AY1956" i="1"/>
  <c r="AW1957" i="1"/>
  <c r="AX1957" i="1"/>
  <c r="AY1957" i="1"/>
  <c r="AW1958" i="1"/>
  <c r="AX1958" i="1"/>
  <c r="AY1958" i="1"/>
  <c r="AW1959" i="1"/>
  <c r="AX1959" i="1"/>
  <c r="AY1959" i="1"/>
  <c r="AW1960" i="1"/>
  <c r="AX1960" i="1"/>
  <c r="AY1960" i="1"/>
  <c r="AW1961" i="1"/>
  <c r="AX1961" i="1"/>
  <c r="AY1961" i="1"/>
  <c r="AW1962" i="1"/>
  <c r="AX1962" i="1"/>
  <c r="AY1962" i="1"/>
  <c r="AW1963" i="1"/>
  <c r="AX1963" i="1"/>
  <c r="AY1963" i="1"/>
  <c r="AW1964" i="1"/>
  <c r="AX1964" i="1"/>
  <c r="AY1964" i="1"/>
  <c r="AW1965" i="1"/>
  <c r="AX1965" i="1"/>
  <c r="AY1965" i="1"/>
  <c r="AW1966" i="1"/>
  <c r="AX1966" i="1"/>
  <c r="AY1966" i="1"/>
  <c r="AW1967" i="1"/>
  <c r="AX1967" i="1"/>
  <c r="AY1967" i="1"/>
  <c r="AW1968" i="1"/>
  <c r="AX1968" i="1"/>
  <c r="AY1968" i="1"/>
  <c r="AW1969" i="1"/>
  <c r="AX1969" i="1"/>
  <c r="AY1969" i="1"/>
  <c r="AW1970" i="1"/>
  <c r="AX1970" i="1"/>
  <c r="AY1970" i="1"/>
  <c r="AW1971" i="1"/>
  <c r="AX1971" i="1"/>
  <c r="AY1971" i="1"/>
  <c r="AW1972" i="1"/>
  <c r="AX1972" i="1"/>
  <c r="AY1972" i="1"/>
  <c r="AW1973" i="1"/>
  <c r="AX1973" i="1"/>
  <c r="AY1973" i="1"/>
  <c r="AW1974" i="1"/>
  <c r="AX1974" i="1"/>
  <c r="AY1974" i="1"/>
  <c r="AW1975" i="1"/>
  <c r="AX1975" i="1"/>
  <c r="AY1975" i="1"/>
  <c r="AW1976" i="1"/>
  <c r="AX1976" i="1"/>
  <c r="AY1976" i="1"/>
  <c r="AW1977" i="1"/>
  <c r="AX1977" i="1"/>
  <c r="AY1977" i="1"/>
  <c r="AW1978" i="1"/>
  <c r="AX1978" i="1"/>
  <c r="AY1978" i="1"/>
  <c r="AW1979" i="1"/>
  <c r="AX1979" i="1"/>
  <c r="AY1979" i="1"/>
  <c r="AW1980" i="1"/>
  <c r="AX1980" i="1"/>
  <c r="AY1980" i="1"/>
  <c r="AW1981" i="1"/>
  <c r="AX1981" i="1"/>
  <c r="AY1981" i="1"/>
  <c r="AW1982" i="1"/>
  <c r="AX1982" i="1"/>
  <c r="AY1982" i="1"/>
  <c r="AW1983" i="1"/>
  <c r="AX1983" i="1"/>
  <c r="AY1983" i="1"/>
  <c r="AW1984" i="1"/>
  <c r="AX1984" i="1"/>
  <c r="AY1984" i="1"/>
  <c r="AW1985" i="1"/>
  <c r="AX1985" i="1"/>
  <c r="AY1985" i="1"/>
  <c r="AW1986" i="1"/>
  <c r="AX1986" i="1"/>
  <c r="AY1986" i="1"/>
  <c r="AW1987" i="1"/>
  <c r="AX1987" i="1"/>
  <c r="AY1987" i="1"/>
  <c r="AW1988" i="1"/>
  <c r="AX1988" i="1"/>
  <c r="AY1988" i="1"/>
  <c r="AW1989" i="1"/>
  <c r="AX1989" i="1"/>
  <c r="AY1989" i="1"/>
  <c r="AW1990" i="1"/>
  <c r="AX1990" i="1"/>
  <c r="AY1990" i="1"/>
  <c r="AW1991" i="1"/>
  <c r="AX1991" i="1"/>
  <c r="AY1991" i="1"/>
  <c r="AW1992" i="1"/>
  <c r="AX1992" i="1"/>
  <c r="AY1992" i="1"/>
  <c r="AW1993" i="1"/>
  <c r="AX1993" i="1"/>
  <c r="AY1993" i="1"/>
  <c r="AW1994" i="1"/>
  <c r="AX1994" i="1"/>
  <c r="AY1994" i="1"/>
  <c r="AW1995" i="1"/>
  <c r="AX1995" i="1"/>
  <c r="AY1995" i="1"/>
  <c r="AW1996" i="1"/>
  <c r="AX1996" i="1"/>
  <c r="AY1996" i="1"/>
  <c r="AW1997" i="1"/>
  <c r="AX1997" i="1"/>
  <c r="AY1997" i="1"/>
  <c r="AW1998" i="1"/>
  <c r="AX1998" i="1"/>
  <c r="AY1998" i="1"/>
  <c r="AW1999" i="1"/>
  <c r="AX1999" i="1"/>
  <c r="AY1999" i="1"/>
  <c r="AW2000" i="1"/>
  <c r="AX2000" i="1"/>
  <c r="AY2000" i="1"/>
  <c r="AW2001" i="1"/>
  <c r="AX2001" i="1"/>
  <c r="AY2001" i="1"/>
  <c r="AW2002" i="1"/>
  <c r="AX2002" i="1"/>
  <c r="AY2002" i="1"/>
  <c r="AW2003" i="1"/>
  <c r="AX2003" i="1"/>
  <c r="AY2003" i="1"/>
  <c r="AW2004" i="1"/>
  <c r="AX2004" i="1"/>
  <c r="AY2004" i="1"/>
  <c r="AW2005" i="1"/>
  <c r="AX2005" i="1"/>
  <c r="AY2005" i="1"/>
  <c r="AW2006" i="1"/>
  <c r="AX2006" i="1"/>
  <c r="AY2006" i="1"/>
  <c r="AW2007" i="1"/>
  <c r="AX2007" i="1"/>
  <c r="AY2007" i="1"/>
  <c r="AW2008" i="1"/>
  <c r="AX2008" i="1"/>
  <c r="AY2008" i="1"/>
  <c r="AW2009" i="1"/>
  <c r="AX2009" i="1"/>
  <c r="AY2009" i="1"/>
  <c r="AW2010" i="1"/>
  <c r="AX2010" i="1"/>
  <c r="AY2010" i="1"/>
  <c r="AW2011" i="1"/>
  <c r="AX2011" i="1"/>
  <c r="AY2011" i="1"/>
  <c r="AW2012" i="1"/>
  <c r="AX2012" i="1"/>
  <c r="AY2012" i="1"/>
  <c r="AW2013" i="1"/>
  <c r="AX2013" i="1"/>
  <c r="AY2013" i="1"/>
  <c r="AW2014" i="1"/>
  <c r="AX2014" i="1"/>
  <c r="AY2014" i="1"/>
  <c r="AW2015" i="1"/>
  <c r="AX2015" i="1"/>
  <c r="AY2015" i="1"/>
  <c r="AW2016" i="1"/>
  <c r="AX2016" i="1"/>
  <c r="AY2016" i="1"/>
  <c r="AW2017" i="1"/>
  <c r="AX2017" i="1"/>
  <c r="AY2017" i="1"/>
  <c r="AW2018" i="1"/>
  <c r="AX2018" i="1"/>
  <c r="AY2018" i="1"/>
  <c r="AW2019" i="1"/>
  <c r="AX2019" i="1"/>
  <c r="AY2019" i="1"/>
  <c r="AW2020" i="1"/>
  <c r="AX2020" i="1"/>
  <c r="AY2020" i="1"/>
  <c r="AW2021" i="1"/>
  <c r="AX2021" i="1"/>
  <c r="AY2021" i="1"/>
  <c r="AW2022" i="1"/>
  <c r="AX2022" i="1"/>
  <c r="AY2022" i="1"/>
  <c r="AW2023" i="1"/>
  <c r="AX2023" i="1"/>
  <c r="AY2023" i="1"/>
  <c r="AW2024" i="1"/>
  <c r="AX2024" i="1"/>
  <c r="AY2024" i="1"/>
  <c r="AW2025" i="1"/>
  <c r="AX2025" i="1"/>
  <c r="AY2025" i="1"/>
  <c r="AW2026" i="1"/>
  <c r="AX2026" i="1"/>
  <c r="AY2026" i="1"/>
  <c r="AW2027" i="1"/>
  <c r="AX2027" i="1"/>
  <c r="AY2027" i="1"/>
  <c r="AW2028" i="1"/>
  <c r="AX2028" i="1"/>
  <c r="AY2028" i="1"/>
  <c r="AW2029" i="1"/>
  <c r="AX2029" i="1"/>
  <c r="AY2029" i="1"/>
  <c r="AW2030" i="1"/>
  <c r="AX2030" i="1"/>
  <c r="AY2030" i="1"/>
  <c r="AW2031" i="1"/>
  <c r="AX2031" i="1"/>
  <c r="AY2031" i="1"/>
  <c r="AW2032" i="1"/>
  <c r="AX2032" i="1"/>
  <c r="AY2032" i="1"/>
  <c r="AW2033" i="1"/>
  <c r="AX2033" i="1"/>
  <c r="AY2033" i="1"/>
  <c r="AW2034" i="1"/>
  <c r="AX2034" i="1"/>
  <c r="AY2034" i="1"/>
  <c r="AW2035" i="1"/>
  <c r="AX2035" i="1"/>
  <c r="AY2035" i="1"/>
  <c r="AW2036" i="1"/>
  <c r="AX2036" i="1"/>
  <c r="AY2036" i="1"/>
  <c r="AW2037" i="1"/>
  <c r="AX2037" i="1"/>
  <c r="AY2037" i="1"/>
  <c r="AW2038" i="1"/>
  <c r="AX2038" i="1"/>
  <c r="AY2038" i="1"/>
  <c r="AW2039" i="1"/>
  <c r="AX2039" i="1"/>
  <c r="AY2039" i="1"/>
  <c r="AW2040" i="1"/>
  <c r="AX2040" i="1"/>
  <c r="AY2040" i="1"/>
  <c r="AW2041" i="1"/>
  <c r="AX2041" i="1"/>
  <c r="AY2041" i="1"/>
  <c r="AW2042" i="1"/>
  <c r="AX2042" i="1"/>
  <c r="AY2042" i="1"/>
  <c r="AW2043" i="1"/>
  <c r="AX2043" i="1"/>
  <c r="AY2043" i="1"/>
  <c r="AW2044" i="1"/>
  <c r="AX2044" i="1"/>
  <c r="AY2044" i="1"/>
  <c r="AW2045" i="1"/>
  <c r="AX2045" i="1"/>
  <c r="AY2045" i="1"/>
  <c r="AW2046" i="1"/>
  <c r="AX2046" i="1"/>
  <c r="AY2046" i="1"/>
  <c r="AW2047" i="1"/>
  <c r="AX2047" i="1"/>
  <c r="AY2047" i="1"/>
  <c r="AW2048" i="1"/>
  <c r="AX2048" i="1"/>
  <c r="AY2048" i="1"/>
  <c r="AW2049" i="1"/>
  <c r="AX2049" i="1"/>
  <c r="AY2049" i="1"/>
  <c r="AW2050" i="1"/>
  <c r="AX2050" i="1"/>
  <c r="AY2050" i="1"/>
  <c r="AW2051" i="1"/>
  <c r="AX2051" i="1"/>
  <c r="AY2051" i="1"/>
  <c r="AW2052" i="1"/>
  <c r="AX2052" i="1"/>
  <c r="AY2052" i="1"/>
  <c r="AW2053" i="1"/>
  <c r="AX2053" i="1"/>
  <c r="AY2053" i="1"/>
  <c r="AW2054" i="1"/>
  <c r="AX2054" i="1"/>
  <c r="AY2054" i="1"/>
  <c r="AW2055" i="1"/>
  <c r="AX2055" i="1"/>
  <c r="AY2055" i="1"/>
  <c r="AW2056" i="1"/>
  <c r="AX2056" i="1"/>
  <c r="AY2056" i="1"/>
  <c r="AW2057" i="1"/>
  <c r="AX2057" i="1"/>
  <c r="AY2057" i="1"/>
  <c r="AW2058" i="1"/>
  <c r="AX2058" i="1"/>
  <c r="AY2058" i="1"/>
  <c r="AW2059" i="1"/>
  <c r="AX2059" i="1"/>
  <c r="AY2059" i="1"/>
  <c r="AW2060" i="1"/>
  <c r="AX2060" i="1"/>
  <c r="AY2060" i="1"/>
  <c r="AW2061" i="1"/>
  <c r="AX2061" i="1"/>
  <c r="AY2061" i="1"/>
  <c r="AW2062" i="1"/>
  <c r="AX2062" i="1"/>
  <c r="AY2062" i="1"/>
  <c r="AW2063" i="1"/>
  <c r="AX2063" i="1"/>
  <c r="AY2063" i="1"/>
  <c r="AW2064" i="1"/>
  <c r="AX2064" i="1"/>
  <c r="AY2064" i="1"/>
  <c r="AW2065" i="1"/>
  <c r="AX2065" i="1"/>
  <c r="AY2065" i="1"/>
  <c r="AW2066" i="1"/>
  <c r="AX2066" i="1"/>
  <c r="AY2066" i="1"/>
  <c r="AW2067" i="1"/>
  <c r="AX2067" i="1"/>
  <c r="AY2067" i="1"/>
  <c r="AW2068" i="1"/>
  <c r="AX2068" i="1"/>
  <c r="AY2068" i="1"/>
  <c r="AW2069" i="1"/>
  <c r="AX2069" i="1"/>
  <c r="AY2069" i="1"/>
  <c r="AW2070" i="1"/>
  <c r="AX2070" i="1"/>
  <c r="AY2070" i="1"/>
  <c r="AW2071" i="1"/>
  <c r="AX2071" i="1"/>
  <c r="AY2071" i="1"/>
  <c r="AW2072" i="1"/>
  <c r="AX2072" i="1"/>
  <c r="AY2072" i="1"/>
  <c r="AW2073" i="1"/>
  <c r="AX2073" i="1"/>
  <c r="AY2073" i="1"/>
  <c r="AW2074" i="1"/>
  <c r="AX2074" i="1"/>
  <c r="AY2074" i="1"/>
  <c r="AW2075" i="1"/>
  <c r="AX2075" i="1"/>
  <c r="AY2075" i="1"/>
  <c r="AW2076" i="1"/>
  <c r="AX2076" i="1"/>
  <c r="AY2076" i="1"/>
  <c r="AW2077" i="1"/>
  <c r="AX2077" i="1"/>
  <c r="AY2077" i="1"/>
  <c r="AW2078" i="1"/>
  <c r="AX2078" i="1"/>
  <c r="AY2078" i="1"/>
  <c r="AW2079" i="1"/>
  <c r="AX2079" i="1"/>
  <c r="AY2079" i="1"/>
  <c r="AW2080" i="1"/>
  <c r="AX2080" i="1"/>
  <c r="AY2080" i="1"/>
  <c r="AW2081" i="1"/>
  <c r="AX2081" i="1"/>
  <c r="AY2081" i="1"/>
  <c r="AW2082" i="1"/>
  <c r="AX2082" i="1"/>
  <c r="AY2082" i="1"/>
  <c r="AW2083" i="1"/>
  <c r="AX2083" i="1"/>
  <c r="AY2083" i="1"/>
  <c r="AW2084" i="1"/>
  <c r="AX2084" i="1"/>
  <c r="AY2084" i="1"/>
  <c r="AW2085" i="1"/>
  <c r="AX2085" i="1"/>
  <c r="AY2085" i="1"/>
  <c r="AW2086" i="1"/>
  <c r="AX2086" i="1"/>
  <c r="AY2086" i="1"/>
  <c r="AW2088" i="1"/>
  <c r="AX2088" i="1"/>
  <c r="AY2088" i="1"/>
  <c r="AW2089" i="1"/>
  <c r="AX2089" i="1"/>
  <c r="AY2089" i="1"/>
  <c r="AW2090" i="1"/>
  <c r="AX2090" i="1"/>
  <c r="AY2090" i="1"/>
  <c r="AW2091" i="1"/>
  <c r="AX2091" i="1"/>
  <c r="AY2091" i="1"/>
  <c r="AW2092" i="1"/>
  <c r="AX2092" i="1"/>
  <c r="AY2092" i="1"/>
  <c r="AW2093" i="1"/>
  <c r="AX2093" i="1"/>
  <c r="AY2093" i="1"/>
  <c r="AW2094" i="1"/>
  <c r="AX2094" i="1"/>
  <c r="AY2094" i="1"/>
  <c r="AW2095" i="1"/>
  <c r="AX2095" i="1"/>
  <c r="AY2095" i="1"/>
  <c r="AW2096" i="1"/>
  <c r="AX2096" i="1"/>
  <c r="AY2096" i="1"/>
  <c r="AW2097" i="1"/>
  <c r="AX2097" i="1"/>
  <c r="AY2097" i="1"/>
  <c r="AW2098" i="1"/>
  <c r="AX2098" i="1"/>
  <c r="AY2098" i="1"/>
  <c r="AW2099" i="1"/>
  <c r="AX2099" i="1"/>
  <c r="AY2099" i="1"/>
  <c r="AW2100" i="1"/>
  <c r="AX2100" i="1"/>
  <c r="AY2100" i="1"/>
  <c r="AW2101" i="1"/>
  <c r="AX2101" i="1"/>
  <c r="AY2101" i="1"/>
  <c r="AW2102" i="1"/>
  <c r="AX2102" i="1"/>
  <c r="AY2102" i="1"/>
  <c r="AW2103" i="1"/>
  <c r="AX2103" i="1"/>
  <c r="AY2103" i="1"/>
  <c r="AW2104" i="1"/>
  <c r="AX2104" i="1"/>
  <c r="AY2104" i="1"/>
  <c r="AW2105" i="1"/>
  <c r="AX2105" i="1"/>
  <c r="AY2105" i="1"/>
  <c r="AW2106" i="1"/>
  <c r="AX2106" i="1"/>
  <c r="AY2106" i="1"/>
  <c r="AW2107" i="1"/>
  <c r="AX2107" i="1"/>
  <c r="AY2107" i="1"/>
  <c r="AW2108" i="1"/>
  <c r="AX2108" i="1"/>
  <c r="AY2108" i="1"/>
  <c r="AW2109" i="1"/>
  <c r="AX2109" i="1"/>
  <c r="AY2109" i="1"/>
  <c r="AW2110" i="1"/>
  <c r="AX2110" i="1"/>
  <c r="AY2110" i="1"/>
  <c r="AW2111" i="1"/>
  <c r="AX2111" i="1"/>
  <c r="AY2111" i="1"/>
  <c r="AW2112" i="1"/>
  <c r="AX2112" i="1"/>
  <c r="AY2112" i="1"/>
  <c r="AW2113" i="1"/>
  <c r="AX2113" i="1"/>
  <c r="AY2113" i="1"/>
  <c r="AW2114" i="1"/>
  <c r="AX2114" i="1"/>
  <c r="AY2114" i="1"/>
  <c r="AW2115" i="1"/>
  <c r="AX2115" i="1"/>
  <c r="AY2115" i="1"/>
  <c r="AW2116" i="1"/>
  <c r="AX2116" i="1"/>
  <c r="AY2116" i="1"/>
  <c r="AW2117" i="1"/>
  <c r="AX2117" i="1"/>
  <c r="AY2117" i="1"/>
  <c r="AW2118" i="1"/>
  <c r="AX2118" i="1"/>
  <c r="AY2118" i="1"/>
  <c r="AW2119" i="1"/>
  <c r="AX2119" i="1"/>
  <c r="AY2119" i="1"/>
  <c r="AW2120" i="1"/>
  <c r="AX2120" i="1"/>
  <c r="AY2120" i="1"/>
  <c r="AW2121" i="1"/>
  <c r="AX2121" i="1"/>
  <c r="AY2121" i="1"/>
  <c r="AW2122" i="1"/>
  <c r="AX2122" i="1"/>
  <c r="AY2122" i="1"/>
  <c r="AW2123" i="1"/>
  <c r="AX2123" i="1"/>
  <c r="AY2123" i="1"/>
  <c r="AW2124" i="1"/>
  <c r="AX2124" i="1"/>
  <c r="AY2124" i="1"/>
  <c r="AW2125" i="1"/>
  <c r="AX2125" i="1"/>
  <c r="AY2125" i="1"/>
  <c r="AW2126" i="1"/>
  <c r="AX2126" i="1"/>
  <c r="AY2126" i="1"/>
  <c r="AW2127" i="1"/>
  <c r="AX2127" i="1"/>
  <c r="AY2127" i="1"/>
  <c r="AW2128" i="1"/>
  <c r="AX2128" i="1"/>
  <c r="AY2128" i="1"/>
  <c r="AW2129" i="1"/>
  <c r="AX2129" i="1"/>
  <c r="AY2129" i="1"/>
  <c r="AW2130" i="1"/>
  <c r="AX2130" i="1"/>
  <c r="AY2130" i="1"/>
  <c r="AW2131" i="1"/>
  <c r="AX2131" i="1"/>
  <c r="AY2131" i="1"/>
  <c r="AW2132" i="1"/>
  <c r="AX2132" i="1"/>
  <c r="AY2132" i="1"/>
  <c r="AW2133" i="1"/>
  <c r="AX2133" i="1"/>
  <c r="AY2133" i="1"/>
  <c r="AW2134" i="1"/>
  <c r="AX2134" i="1"/>
  <c r="AY2134" i="1"/>
  <c r="AW2135" i="1"/>
  <c r="AX2135" i="1"/>
  <c r="AY2135" i="1"/>
  <c r="AW2136" i="1"/>
  <c r="AX2136" i="1"/>
  <c r="AY2136" i="1"/>
  <c r="AW2137" i="1"/>
  <c r="AX2137" i="1"/>
  <c r="AY2137" i="1"/>
  <c r="AW2138" i="1"/>
  <c r="AX2138" i="1"/>
  <c r="AY2138" i="1"/>
  <c r="AW2139" i="1"/>
  <c r="AX2139" i="1"/>
  <c r="AY2139" i="1"/>
  <c r="AW2140" i="1"/>
  <c r="AX2140" i="1"/>
  <c r="AY2140" i="1"/>
  <c r="AW2141" i="1"/>
  <c r="AX2141" i="1"/>
  <c r="AY2141" i="1"/>
  <c r="AW2142" i="1"/>
  <c r="AX2142" i="1"/>
  <c r="AY2142" i="1"/>
  <c r="AW2143" i="1"/>
  <c r="AX2143" i="1"/>
  <c r="AY2143" i="1"/>
  <c r="AW2144" i="1"/>
  <c r="AX2144" i="1"/>
  <c r="AY2144" i="1"/>
  <c r="AW2145" i="1"/>
  <c r="AX2145" i="1"/>
  <c r="AY2145" i="1"/>
  <c r="AW2146" i="1"/>
  <c r="AX2146" i="1"/>
  <c r="AY2146" i="1"/>
  <c r="AW2147" i="1"/>
  <c r="AX2147" i="1"/>
  <c r="AY2147" i="1"/>
  <c r="AW2148" i="1"/>
  <c r="AX2148" i="1"/>
  <c r="AY2148" i="1"/>
  <c r="AW2149" i="1"/>
  <c r="AX2149" i="1"/>
  <c r="AY2149" i="1"/>
  <c r="AW2150" i="1"/>
  <c r="AX2150" i="1"/>
  <c r="AY2150" i="1"/>
  <c r="AW2151" i="1"/>
  <c r="AX2151" i="1"/>
  <c r="AY2151" i="1"/>
  <c r="AW2152" i="1"/>
  <c r="AX2152" i="1"/>
  <c r="AY2152" i="1"/>
  <c r="AW2153" i="1"/>
  <c r="AX2153" i="1"/>
  <c r="AY2153" i="1"/>
  <c r="AW2154" i="1"/>
  <c r="AX2154" i="1"/>
  <c r="AY2154" i="1"/>
  <c r="AW2155" i="1"/>
  <c r="AX2155" i="1"/>
  <c r="AY2155" i="1"/>
  <c r="AW2156" i="1"/>
  <c r="AX2156" i="1"/>
  <c r="AY2156" i="1"/>
  <c r="AW2157" i="1"/>
  <c r="AX2157" i="1"/>
  <c r="AY2157" i="1"/>
  <c r="AW2158" i="1"/>
  <c r="AX2158" i="1"/>
  <c r="AY2158" i="1"/>
  <c r="AW2159" i="1"/>
  <c r="AX2159" i="1"/>
  <c r="AY2159" i="1"/>
  <c r="AW2160" i="1"/>
  <c r="AX2160" i="1"/>
  <c r="AY2160" i="1"/>
  <c r="AW2161" i="1"/>
  <c r="AX2161" i="1"/>
  <c r="AY2161" i="1"/>
  <c r="AW2162" i="1"/>
  <c r="AX2162" i="1"/>
  <c r="AY2162" i="1"/>
  <c r="AW2163" i="1"/>
  <c r="AX2163" i="1"/>
  <c r="AY2163" i="1"/>
  <c r="AW2164" i="1"/>
  <c r="AX2164" i="1"/>
  <c r="AY2164" i="1"/>
  <c r="AW2165" i="1"/>
  <c r="AX2165" i="1"/>
  <c r="AY2165" i="1"/>
  <c r="AW2166" i="1"/>
  <c r="AX2166" i="1"/>
  <c r="AY2166" i="1"/>
  <c r="AW2167" i="1"/>
  <c r="AX2167" i="1"/>
  <c r="AY2167" i="1"/>
  <c r="AW2168" i="1"/>
  <c r="AX2168" i="1"/>
  <c r="AY2168" i="1"/>
  <c r="AW2169" i="1"/>
  <c r="AX2169" i="1"/>
  <c r="AY2169" i="1"/>
  <c r="AW2170" i="1"/>
  <c r="AX2170" i="1"/>
  <c r="AY2170" i="1"/>
  <c r="AW2171" i="1"/>
  <c r="AX2171" i="1"/>
  <c r="AY2171" i="1"/>
  <c r="AW2172" i="1"/>
  <c r="AX2172" i="1"/>
  <c r="AY2172" i="1"/>
  <c r="AW2173" i="1"/>
  <c r="AX2173" i="1"/>
  <c r="AY2173" i="1"/>
  <c r="AW2174" i="1"/>
  <c r="AX2174" i="1"/>
  <c r="AY2174" i="1"/>
  <c r="AW2175" i="1"/>
  <c r="AX2175" i="1"/>
  <c r="AY2175" i="1"/>
  <c r="AW2176" i="1"/>
  <c r="AX2176" i="1"/>
  <c r="AY2176" i="1"/>
  <c r="AW2177" i="1"/>
  <c r="AX2177" i="1"/>
  <c r="AY2177" i="1"/>
  <c r="AW2178" i="1"/>
  <c r="AX2178" i="1"/>
  <c r="AY2178" i="1"/>
  <c r="AW2179" i="1"/>
  <c r="AX2179" i="1"/>
  <c r="AY2179" i="1"/>
  <c r="AW2180" i="1"/>
  <c r="AX2180" i="1"/>
  <c r="AY2180" i="1"/>
  <c r="AW2181" i="1"/>
  <c r="AX2181" i="1"/>
  <c r="AY2181" i="1"/>
  <c r="AW2182" i="1"/>
  <c r="AX2182" i="1"/>
  <c r="AY2182" i="1"/>
  <c r="AW2183" i="1"/>
  <c r="AX2183" i="1"/>
  <c r="AY2183" i="1"/>
  <c r="AW2184" i="1"/>
  <c r="AX2184" i="1"/>
  <c r="AY2184" i="1"/>
  <c r="AW2185" i="1"/>
  <c r="AX2185" i="1"/>
  <c r="AY2185" i="1"/>
  <c r="AW2186" i="1"/>
  <c r="AX2186" i="1"/>
  <c r="AY2186" i="1"/>
  <c r="AW2187" i="1"/>
  <c r="AX2187" i="1"/>
  <c r="AY2187" i="1"/>
  <c r="AW2188" i="1"/>
  <c r="AX2188" i="1"/>
  <c r="AY2188" i="1"/>
  <c r="AW2189" i="1"/>
  <c r="AX2189" i="1"/>
  <c r="AY2189" i="1"/>
  <c r="AW2190" i="1"/>
  <c r="AX2190" i="1"/>
  <c r="AY2190" i="1"/>
  <c r="AW2191" i="1"/>
  <c r="AX2191" i="1"/>
  <c r="AY2191" i="1"/>
  <c r="AW2192" i="1"/>
  <c r="AX2192" i="1"/>
  <c r="AY2192" i="1"/>
  <c r="AW2193" i="1"/>
  <c r="AX2193" i="1"/>
  <c r="AY2193" i="1"/>
  <c r="AW2194" i="1"/>
  <c r="AX2194" i="1"/>
  <c r="AY2194" i="1"/>
  <c r="AW2195" i="1"/>
  <c r="AX2195" i="1"/>
  <c r="AY2195" i="1"/>
  <c r="AW2196" i="1"/>
  <c r="AX2196" i="1"/>
  <c r="AY2196" i="1"/>
  <c r="AW2197" i="1"/>
  <c r="AX2197" i="1"/>
  <c r="AY2197" i="1"/>
  <c r="AW2198" i="1"/>
  <c r="AX2198" i="1"/>
  <c r="AY2198" i="1"/>
  <c r="AW2199" i="1"/>
  <c r="AX2199" i="1"/>
  <c r="AY2199" i="1"/>
  <c r="AW2200" i="1"/>
  <c r="AX2200" i="1"/>
  <c r="AY2200" i="1"/>
  <c r="AW2201" i="1"/>
  <c r="AX2201" i="1"/>
  <c r="AY2201" i="1"/>
  <c r="AW2202" i="1"/>
  <c r="AX2202" i="1"/>
  <c r="AY2202" i="1"/>
  <c r="AW2203" i="1"/>
  <c r="AX2203" i="1"/>
  <c r="AY2203" i="1"/>
  <c r="AW2204" i="1"/>
  <c r="AX2204" i="1"/>
  <c r="AY2204" i="1"/>
  <c r="AW2205" i="1"/>
  <c r="AX2205" i="1"/>
  <c r="AY2205" i="1"/>
  <c r="AW2206" i="1"/>
  <c r="AX2206" i="1"/>
  <c r="AY2206" i="1"/>
  <c r="AW2207" i="1"/>
  <c r="AX2207" i="1"/>
  <c r="AY2207" i="1"/>
  <c r="AW2208" i="1"/>
  <c r="AX2208" i="1"/>
  <c r="AY2208" i="1"/>
  <c r="AW2209" i="1"/>
  <c r="AX2209" i="1"/>
  <c r="AY2209" i="1"/>
  <c r="AW2210" i="1"/>
  <c r="AX2210" i="1"/>
  <c r="AY2210" i="1"/>
  <c r="AW2211" i="1"/>
  <c r="AX2211" i="1"/>
  <c r="AY2211" i="1"/>
  <c r="AW2212" i="1"/>
  <c r="AX2212" i="1"/>
  <c r="AY2212" i="1"/>
  <c r="AW2213" i="1"/>
  <c r="AX2213" i="1"/>
  <c r="AY2213" i="1"/>
  <c r="AW2214" i="1"/>
  <c r="AX2214" i="1"/>
  <c r="AY2214" i="1"/>
  <c r="AW2215" i="1"/>
  <c r="AX2215" i="1"/>
  <c r="AY2215" i="1"/>
  <c r="AW2216" i="1"/>
  <c r="AX2216" i="1"/>
  <c r="AY2216" i="1"/>
  <c r="AW2217" i="1"/>
  <c r="AX2217" i="1"/>
  <c r="AY2217" i="1"/>
  <c r="AW2218" i="1"/>
  <c r="AX2218" i="1"/>
  <c r="AY2218" i="1"/>
  <c r="AW2219" i="1"/>
  <c r="AX2219" i="1"/>
  <c r="AY2219" i="1"/>
  <c r="AW2220" i="1"/>
  <c r="AX2220" i="1"/>
  <c r="AY2220" i="1"/>
  <c r="AW2221" i="1"/>
  <c r="AX2221" i="1"/>
  <c r="AY2221" i="1"/>
  <c r="AW2222" i="1"/>
  <c r="AX2222" i="1"/>
  <c r="AY2222" i="1"/>
  <c r="AW2223" i="1"/>
  <c r="AX2223" i="1"/>
  <c r="AY2223" i="1"/>
  <c r="AW2224" i="1"/>
  <c r="AX2224" i="1"/>
  <c r="AY2224" i="1"/>
  <c r="AW2225" i="1"/>
  <c r="AX2225" i="1"/>
  <c r="AY2225" i="1"/>
  <c r="AW2226" i="1"/>
  <c r="AX2226" i="1"/>
  <c r="AY2226" i="1"/>
  <c r="AW2227" i="1"/>
  <c r="AX2227" i="1"/>
  <c r="AY2227" i="1"/>
  <c r="AW2228" i="1"/>
  <c r="AX2228" i="1"/>
  <c r="AY2228" i="1"/>
  <c r="AW2229" i="1"/>
  <c r="AX2229" i="1"/>
  <c r="AY2229" i="1"/>
  <c r="AW2230" i="1"/>
  <c r="AX2230" i="1"/>
  <c r="AY2230" i="1"/>
  <c r="AW2231" i="1"/>
  <c r="AX2231" i="1"/>
  <c r="AY2231" i="1"/>
  <c r="AW2232" i="1"/>
  <c r="AX2232" i="1"/>
  <c r="AY2232" i="1"/>
  <c r="AW2233" i="1"/>
  <c r="AX2233" i="1"/>
  <c r="AY2233" i="1"/>
  <c r="AW2234" i="1"/>
  <c r="AX2234" i="1"/>
  <c r="AY2234" i="1"/>
  <c r="AW2235" i="1"/>
  <c r="AX2235" i="1"/>
  <c r="AY2235" i="1"/>
  <c r="AW2236" i="1"/>
  <c r="AX2236" i="1"/>
  <c r="AY2236" i="1"/>
  <c r="AW2237" i="1"/>
  <c r="AX2237" i="1"/>
  <c r="AY2237" i="1"/>
  <c r="AW2238" i="1"/>
  <c r="AX2238" i="1"/>
  <c r="AY2238" i="1"/>
  <c r="AW2239" i="1"/>
  <c r="AX2239" i="1"/>
  <c r="AY2239" i="1"/>
  <c r="AW2240" i="1"/>
  <c r="AX2240" i="1"/>
  <c r="AY2240" i="1"/>
  <c r="AW2241" i="1"/>
  <c r="AX2241" i="1"/>
  <c r="AY2241" i="1"/>
  <c r="AW2242" i="1"/>
  <c r="AX2242" i="1"/>
  <c r="AY2242" i="1"/>
  <c r="AW2243" i="1"/>
  <c r="AX2243" i="1"/>
  <c r="AY2243" i="1"/>
  <c r="AW2244" i="1"/>
  <c r="AX2244" i="1"/>
  <c r="AY2244" i="1"/>
  <c r="AW2245" i="1"/>
  <c r="AX2245" i="1"/>
  <c r="AY2245" i="1"/>
  <c r="AW2246" i="1"/>
  <c r="AX2246" i="1"/>
  <c r="AY2246" i="1"/>
  <c r="AW2247" i="1"/>
  <c r="AX2247" i="1"/>
  <c r="AY2247" i="1"/>
  <c r="AW2248" i="1"/>
  <c r="AX2248" i="1"/>
  <c r="AY2248" i="1"/>
  <c r="AW2249" i="1"/>
  <c r="AX2249" i="1"/>
  <c r="AY2249" i="1"/>
  <c r="AW2250" i="1"/>
  <c r="AX2250" i="1"/>
  <c r="AY2250" i="1"/>
  <c r="AW2251" i="1"/>
  <c r="AX2251" i="1"/>
  <c r="AY2251" i="1"/>
  <c r="AW2252" i="1"/>
  <c r="AX2252" i="1"/>
  <c r="AY2252" i="1"/>
  <c r="AW2253" i="1"/>
  <c r="AX2253" i="1"/>
  <c r="AY2253" i="1"/>
  <c r="AW2254" i="1"/>
  <c r="AX2254" i="1"/>
  <c r="AY2254" i="1"/>
  <c r="AW2255" i="1"/>
  <c r="AX2255" i="1"/>
  <c r="AY2255" i="1"/>
  <c r="AW2256" i="1"/>
  <c r="AX2256" i="1"/>
  <c r="AY2256" i="1"/>
  <c r="AW2257" i="1"/>
  <c r="AX2257" i="1"/>
  <c r="AY2257" i="1"/>
  <c r="AW2258" i="1"/>
  <c r="AX2258" i="1"/>
  <c r="AY2258" i="1"/>
  <c r="AW2259" i="1"/>
  <c r="AX2259" i="1"/>
  <c r="AY2259" i="1"/>
  <c r="AW2260" i="1"/>
  <c r="AX2260" i="1"/>
  <c r="AY2260" i="1"/>
  <c r="AW2261" i="1"/>
  <c r="AX2261" i="1"/>
  <c r="AY2261" i="1"/>
  <c r="AW2262" i="1"/>
  <c r="AX2262" i="1"/>
  <c r="AY2262" i="1"/>
  <c r="AW2263" i="1"/>
  <c r="AX2263" i="1"/>
  <c r="AY2263" i="1"/>
  <c r="AW2264" i="1"/>
  <c r="AX2264" i="1"/>
  <c r="AY2264" i="1"/>
  <c r="AW2265" i="1"/>
  <c r="AX2265" i="1"/>
  <c r="AY2265" i="1"/>
  <c r="AW2266" i="1"/>
  <c r="AX2266" i="1"/>
  <c r="AY2266" i="1"/>
  <c r="AW2267" i="1"/>
  <c r="AX2267" i="1"/>
  <c r="AY2267" i="1"/>
  <c r="AW2268" i="1"/>
  <c r="AX2268" i="1"/>
  <c r="AY2268" i="1"/>
  <c r="AW2269" i="1"/>
  <c r="AX2269" i="1"/>
  <c r="AY2269" i="1"/>
  <c r="AW2270" i="1"/>
  <c r="AX2270" i="1"/>
  <c r="AY2270" i="1"/>
  <c r="AW2271" i="1"/>
  <c r="AX2271" i="1"/>
  <c r="AY2271" i="1"/>
  <c r="AW2272" i="1"/>
  <c r="AX2272" i="1"/>
  <c r="AY2272" i="1"/>
  <c r="AW2273" i="1"/>
  <c r="AX2273" i="1"/>
  <c r="AY2273" i="1"/>
  <c r="AW2274" i="1"/>
  <c r="AX2274" i="1"/>
  <c r="AY2274" i="1"/>
  <c r="AW2275" i="1"/>
  <c r="AX2275" i="1"/>
  <c r="AY2275" i="1"/>
  <c r="AW2276" i="1"/>
  <c r="AX2276" i="1"/>
  <c r="AY2276" i="1"/>
  <c r="AW2277" i="1"/>
  <c r="AX2277" i="1"/>
  <c r="AY2277" i="1"/>
  <c r="AW2278" i="1"/>
  <c r="AX2278" i="1"/>
  <c r="AY2278" i="1"/>
  <c r="AW2279" i="1"/>
  <c r="AX2279" i="1"/>
  <c r="AY2279" i="1"/>
  <c r="AW2280" i="1"/>
  <c r="AX2280" i="1"/>
  <c r="AY2280" i="1"/>
  <c r="AW2281" i="1"/>
  <c r="AX2281" i="1"/>
  <c r="AY2281" i="1"/>
  <c r="AW2282" i="1"/>
  <c r="AX2282" i="1"/>
  <c r="AY2282" i="1"/>
  <c r="AW2283" i="1"/>
  <c r="AX2283" i="1"/>
  <c r="AY2283" i="1"/>
  <c r="AW2284" i="1"/>
  <c r="AX2284" i="1"/>
  <c r="AY2284" i="1"/>
  <c r="AW2285" i="1"/>
  <c r="AX2285" i="1"/>
  <c r="AY2285" i="1"/>
  <c r="AW2286" i="1"/>
  <c r="AX2286" i="1"/>
  <c r="AY2286" i="1"/>
  <c r="AW2287" i="1"/>
  <c r="AX2287" i="1"/>
  <c r="AY2287" i="1"/>
  <c r="AW2288" i="1"/>
  <c r="AX2288" i="1"/>
  <c r="AY2288" i="1"/>
  <c r="AW2289" i="1"/>
  <c r="AX2289" i="1"/>
  <c r="AY2289" i="1"/>
  <c r="AW2290" i="1"/>
  <c r="AX2290" i="1"/>
  <c r="AY2290" i="1"/>
  <c r="AW2291" i="1"/>
  <c r="AX2291" i="1"/>
  <c r="AY2291" i="1"/>
  <c r="AW2292" i="1"/>
  <c r="AX2292" i="1"/>
  <c r="AY2292" i="1"/>
  <c r="AW2293" i="1"/>
  <c r="AX2293" i="1"/>
  <c r="AY2293" i="1"/>
  <c r="AW2294" i="1"/>
  <c r="AX2294" i="1"/>
  <c r="AY2294" i="1"/>
  <c r="AW2295" i="1"/>
  <c r="AX2295" i="1"/>
  <c r="AY2295" i="1"/>
  <c r="AW2296" i="1"/>
  <c r="AX2296" i="1"/>
  <c r="AY2296" i="1"/>
  <c r="AW2297" i="1"/>
  <c r="AX2297" i="1"/>
  <c r="AY2297" i="1"/>
  <c r="AW2298" i="1"/>
  <c r="AX2298" i="1"/>
  <c r="AY2298" i="1"/>
  <c r="AW2299" i="1"/>
  <c r="AX2299" i="1"/>
  <c r="AY2299" i="1"/>
  <c r="AW2300" i="1"/>
  <c r="AX2300" i="1"/>
  <c r="AY2300" i="1"/>
  <c r="AW2301" i="1"/>
  <c r="AX2301" i="1"/>
  <c r="AY2301" i="1"/>
  <c r="AW2302" i="1"/>
  <c r="AX2302" i="1"/>
  <c r="AY2302" i="1"/>
  <c r="AW2303" i="1"/>
  <c r="AX2303" i="1"/>
  <c r="AY2303" i="1"/>
  <c r="AW2304" i="1"/>
  <c r="AX2304" i="1"/>
  <c r="AY2304" i="1"/>
  <c r="AW2305" i="1"/>
  <c r="AX2305" i="1"/>
  <c r="AY2305" i="1"/>
  <c r="AW2306" i="1"/>
  <c r="AX2306" i="1"/>
  <c r="AY2306" i="1"/>
  <c r="AW2307" i="1"/>
  <c r="AX2307" i="1"/>
  <c r="AY2307" i="1"/>
  <c r="AW2308" i="1"/>
  <c r="AX2308" i="1"/>
  <c r="AY2308" i="1"/>
  <c r="AW2309" i="1"/>
  <c r="AX2309" i="1"/>
  <c r="AY2309" i="1"/>
  <c r="AW2310" i="1"/>
  <c r="AX2310" i="1"/>
  <c r="AY2310" i="1"/>
  <c r="AW2311" i="1"/>
  <c r="AX2311" i="1"/>
  <c r="AY2311" i="1"/>
  <c r="AW2312" i="1"/>
  <c r="AX2312" i="1"/>
  <c r="AY2312" i="1"/>
  <c r="AW2313" i="1"/>
  <c r="AX2313" i="1"/>
  <c r="AY2313" i="1"/>
  <c r="AW2314" i="1"/>
  <c r="AX2314" i="1"/>
  <c r="AY2314" i="1"/>
  <c r="AW2315" i="1"/>
  <c r="AX2315" i="1"/>
  <c r="AY2315" i="1"/>
  <c r="AW2316" i="1"/>
  <c r="AX2316" i="1"/>
  <c r="AY2316" i="1"/>
  <c r="AW2317" i="1"/>
  <c r="AX2317" i="1"/>
  <c r="AY2317" i="1"/>
  <c r="AW2318" i="1"/>
  <c r="AX2318" i="1"/>
  <c r="AY2318" i="1"/>
  <c r="AW2319" i="1"/>
  <c r="AX2319" i="1"/>
  <c r="AY2319" i="1"/>
  <c r="AW2320" i="1"/>
  <c r="AX2320" i="1"/>
  <c r="AY2320" i="1"/>
  <c r="AW2321" i="1"/>
  <c r="AX2321" i="1"/>
  <c r="AY2321" i="1"/>
  <c r="AW2322" i="1"/>
  <c r="AX2322" i="1"/>
  <c r="AY2322" i="1"/>
  <c r="AW2323" i="1"/>
  <c r="AX2323" i="1"/>
  <c r="AY2323" i="1"/>
  <c r="AW2324" i="1"/>
  <c r="AX2324" i="1"/>
  <c r="AY2324" i="1"/>
  <c r="AW2325" i="1"/>
  <c r="AX2325" i="1"/>
  <c r="AY2325" i="1"/>
  <c r="AW2326" i="1"/>
  <c r="AX2326" i="1"/>
  <c r="AY2326" i="1"/>
  <c r="AW2327" i="1"/>
  <c r="AX2327" i="1"/>
  <c r="AY2327" i="1"/>
  <c r="AW2328" i="1"/>
  <c r="AX2328" i="1"/>
  <c r="AY2328" i="1"/>
  <c r="AW2329" i="1"/>
  <c r="AX2329" i="1"/>
  <c r="AY2329" i="1"/>
  <c r="AW2330" i="1"/>
  <c r="AX2330" i="1"/>
  <c r="AY2330" i="1"/>
  <c r="AW2331" i="1"/>
  <c r="AX2331" i="1"/>
  <c r="AY2331" i="1"/>
  <c r="AW2332" i="1"/>
  <c r="AX2332" i="1"/>
  <c r="AY2332" i="1"/>
  <c r="AW2333" i="1"/>
  <c r="AX2333" i="1"/>
  <c r="AY2333" i="1"/>
  <c r="AW2334" i="1"/>
  <c r="AX2334" i="1"/>
  <c r="AY2334" i="1"/>
  <c r="AW2335" i="1"/>
  <c r="AX2335" i="1"/>
  <c r="AY2335" i="1"/>
  <c r="AW2336" i="1"/>
  <c r="AX2336" i="1"/>
  <c r="AY2336" i="1"/>
  <c r="AW2337" i="1"/>
  <c r="AX2337" i="1"/>
  <c r="AY2337" i="1"/>
  <c r="AW2338" i="1"/>
  <c r="AX2338" i="1"/>
  <c r="AY2338" i="1"/>
  <c r="AW2339" i="1"/>
  <c r="AX2339" i="1"/>
  <c r="AY2339" i="1"/>
  <c r="AW2340" i="1"/>
  <c r="AX2340" i="1"/>
  <c r="AY2340" i="1"/>
  <c r="AW2341" i="1"/>
  <c r="AX2341" i="1"/>
  <c r="AY2341" i="1"/>
  <c r="AW2342" i="1"/>
  <c r="AX2342" i="1"/>
  <c r="AY2342" i="1"/>
  <c r="AW2343" i="1"/>
  <c r="AX2343" i="1"/>
  <c r="AY2343" i="1"/>
  <c r="AW2344" i="1"/>
  <c r="AX2344" i="1"/>
  <c r="AY2344" i="1"/>
  <c r="AW2345" i="1"/>
  <c r="AX2345" i="1"/>
  <c r="AY2345" i="1"/>
  <c r="AW2346" i="1"/>
  <c r="AX2346" i="1"/>
  <c r="AY2346" i="1"/>
  <c r="AW2347" i="1"/>
  <c r="AX2347" i="1"/>
  <c r="AY2347" i="1"/>
  <c r="AW2348" i="1"/>
  <c r="AX2348" i="1"/>
  <c r="AY2348" i="1"/>
  <c r="AW2349" i="1"/>
  <c r="AX2349" i="1"/>
  <c r="AY2349" i="1"/>
  <c r="AW2350" i="1"/>
  <c r="AX2350" i="1"/>
  <c r="AY2350" i="1"/>
  <c r="AW2351" i="1"/>
  <c r="AX2351" i="1"/>
  <c r="AY2351" i="1"/>
  <c r="AW2352" i="1"/>
  <c r="AX2352" i="1"/>
  <c r="AY2352" i="1"/>
  <c r="AW2353" i="1"/>
  <c r="AX2353" i="1"/>
  <c r="AY2353" i="1"/>
  <c r="AW2354" i="1"/>
  <c r="AX2354" i="1"/>
  <c r="AY2354" i="1"/>
  <c r="AW2355" i="1"/>
  <c r="AX2355" i="1"/>
  <c r="AY2355" i="1"/>
  <c r="AW2356" i="1"/>
  <c r="AX2356" i="1"/>
  <c r="AY2356" i="1"/>
  <c r="AW2357" i="1"/>
  <c r="AX2357" i="1"/>
  <c r="AY2357" i="1"/>
  <c r="AW2358" i="1"/>
  <c r="AX2358" i="1"/>
  <c r="AY2358" i="1"/>
  <c r="AW2359" i="1"/>
  <c r="AX2359" i="1"/>
  <c r="AY2359" i="1"/>
  <c r="AW2360" i="1"/>
  <c r="AX2360" i="1"/>
  <c r="AY2360" i="1"/>
  <c r="AW2361" i="1"/>
  <c r="AX2361" i="1"/>
  <c r="AY2361" i="1"/>
  <c r="AW2362" i="1"/>
  <c r="AX2362" i="1"/>
  <c r="AY2362" i="1"/>
  <c r="AW2363" i="1"/>
  <c r="AX2363" i="1"/>
  <c r="AY2363" i="1"/>
  <c r="AW2364" i="1"/>
  <c r="AX2364" i="1"/>
  <c r="AY2364" i="1"/>
  <c r="AW2365" i="1"/>
  <c r="AX2365" i="1"/>
  <c r="AY2365" i="1"/>
  <c r="AW2366" i="1"/>
  <c r="AX2366" i="1"/>
  <c r="AY2366" i="1"/>
  <c r="AW2367" i="1"/>
  <c r="AX2367" i="1"/>
  <c r="AY2367" i="1"/>
  <c r="AW2368" i="1"/>
  <c r="AX2368" i="1"/>
  <c r="AY2368" i="1"/>
  <c r="AW2369" i="1"/>
  <c r="AX2369" i="1"/>
  <c r="AY2369" i="1"/>
  <c r="AW2370" i="1"/>
  <c r="AX2370" i="1"/>
  <c r="AY2370" i="1"/>
  <c r="AW2371" i="1"/>
  <c r="AX2371" i="1"/>
  <c r="AY2371" i="1"/>
  <c r="AW2372" i="1"/>
  <c r="AX2372" i="1"/>
  <c r="AY2372" i="1"/>
  <c r="AW2373" i="1"/>
  <c r="AX2373" i="1"/>
  <c r="AY2373" i="1"/>
  <c r="AW2374" i="1"/>
  <c r="AX2374" i="1"/>
  <c r="AY2374" i="1"/>
  <c r="AW2375" i="1"/>
  <c r="AX2375" i="1"/>
  <c r="AY2375" i="1"/>
  <c r="AW2376" i="1"/>
  <c r="AX2376" i="1"/>
  <c r="AY2376" i="1"/>
  <c r="AW2377" i="1"/>
  <c r="AX2377" i="1"/>
  <c r="AY2377" i="1"/>
  <c r="AW2378" i="1"/>
  <c r="AX2378" i="1"/>
  <c r="AY2378" i="1"/>
  <c r="AW2379" i="1"/>
  <c r="AX2379" i="1"/>
  <c r="AY2379" i="1"/>
  <c r="AW2380" i="1"/>
  <c r="AX2380" i="1"/>
  <c r="AY2380" i="1"/>
  <c r="AW2381" i="1"/>
  <c r="AX2381" i="1"/>
  <c r="AY2381" i="1"/>
  <c r="AW2382" i="1"/>
  <c r="AX2382" i="1"/>
  <c r="AY2382" i="1"/>
  <c r="AW2383" i="1"/>
  <c r="AX2383" i="1"/>
  <c r="AY2383" i="1"/>
  <c r="AW2384" i="1"/>
  <c r="AX2384" i="1"/>
  <c r="AY2384" i="1"/>
  <c r="AW2385" i="1"/>
  <c r="AX2385" i="1"/>
  <c r="AY2385" i="1"/>
  <c r="AW2386" i="1"/>
  <c r="AX2386" i="1"/>
  <c r="AY2386" i="1"/>
  <c r="AW2387" i="1"/>
  <c r="AX2387" i="1"/>
  <c r="AY2387" i="1"/>
  <c r="AW2388" i="1"/>
  <c r="AX2388" i="1"/>
  <c r="AY2388" i="1"/>
  <c r="AW2389" i="1"/>
  <c r="AX2389" i="1"/>
  <c r="AY2389" i="1"/>
  <c r="AW2390" i="1"/>
  <c r="AX2390" i="1"/>
  <c r="AY2390" i="1"/>
  <c r="AW2391" i="1"/>
  <c r="AX2391" i="1"/>
  <c r="AY2391" i="1"/>
  <c r="AW2392" i="1"/>
  <c r="AX2392" i="1"/>
  <c r="AY2392" i="1"/>
  <c r="AW2393" i="1"/>
  <c r="AX2393" i="1"/>
  <c r="AY2393" i="1"/>
  <c r="AW2394" i="1"/>
  <c r="AX2394" i="1"/>
  <c r="AY2394" i="1"/>
  <c r="AW2395" i="1"/>
  <c r="AX2395" i="1"/>
  <c r="AY2395" i="1"/>
  <c r="AW2396" i="1"/>
  <c r="AX2396" i="1"/>
  <c r="AY2396" i="1"/>
  <c r="AW2397" i="1"/>
  <c r="AX2397" i="1"/>
  <c r="AY2397" i="1"/>
  <c r="AW2398" i="1"/>
  <c r="AX2398" i="1"/>
  <c r="AY2398" i="1"/>
  <c r="AW2399" i="1"/>
  <c r="AX2399" i="1"/>
  <c r="AY2399" i="1"/>
  <c r="AW2400" i="1"/>
  <c r="AX2400" i="1"/>
  <c r="AY2400" i="1"/>
  <c r="AW2401" i="1"/>
  <c r="AX2401" i="1"/>
  <c r="AY2401" i="1"/>
  <c r="AW2402" i="1"/>
  <c r="AX2402" i="1"/>
  <c r="AY2402" i="1"/>
  <c r="AW2403" i="1"/>
  <c r="AX2403" i="1"/>
  <c r="AY2403" i="1"/>
  <c r="AW2404" i="1"/>
  <c r="AX2404" i="1"/>
  <c r="AY2404" i="1"/>
  <c r="AW2405" i="1"/>
  <c r="AX2405" i="1"/>
  <c r="AY2405" i="1"/>
  <c r="AW2406" i="1"/>
  <c r="AX2406" i="1"/>
  <c r="AY2406" i="1"/>
  <c r="AW2407" i="1"/>
  <c r="AX2407" i="1"/>
  <c r="AY2407" i="1"/>
  <c r="AW2408" i="1"/>
  <c r="AX2408" i="1"/>
  <c r="AY2408" i="1"/>
  <c r="AW2409" i="1"/>
  <c r="AX2409" i="1"/>
  <c r="AY2409" i="1"/>
  <c r="AW2410" i="1"/>
  <c r="AX2410" i="1"/>
  <c r="AY2410" i="1"/>
  <c r="AW2411" i="1"/>
  <c r="AX2411" i="1"/>
  <c r="AY2411" i="1"/>
  <c r="AW2412" i="1"/>
  <c r="AX2412" i="1"/>
  <c r="AY2412" i="1"/>
  <c r="AW2413" i="1"/>
  <c r="AX2413" i="1"/>
  <c r="AY2413" i="1"/>
  <c r="AW2414" i="1"/>
  <c r="AX2414" i="1"/>
  <c r="AY2414" i="1"/>
  <c r="AW2415" i="1"/>
  <c r="AX2415" i="1"/>
  <c r="AY2415" i="1"/>
  <c r="AW2416" i="1"/>
  <c r="AX2416" i="1"/>
  <c r="AY2416" i="1"/>
  <c r="AW2417" i="1"/>
  <c r="AX2417" i="1"/>
  <c r="AY2417" i="1"/>
  <c r="AW2418" i="1"/>
  <c r="AX2418" i="1"/>
  <c r="AY2418" i="1"/>
  <c r="AW2419" i="1"/>
  <c r="AX2419" i="1"/>
  <c r="AY2419" i="1"/>
  <c r="AW2420" i="1"/>
  <c r="AX2420" i="1"/>
  <c r="AY2420" i="1"/>
  <c r="AW2421" i="1"/>
  <c r="AX2421" i="1"/>
  <c r="AY2421" i="1"/>
  <c r="AW2422" i="1"/>
  <c r="AX2422" i="1"/>
  <c r="AY2422" i="1"/>
  <c r="AW2423" i="1"/>
  <c r="AX2423" i="1"/>
  <c r="AY2423" i="1"/>
  <c r="AW2424" i="1"/>
  <c r="AX2424" i="1"/>
  <c r="AY2424" i="1"/>
  <c r="AW2425" i="1"/>
  <c r="AX2425" i="1"/>
  <c r="AY2425" i="1"/>
  <c r="AW2426" i="1"/>
  <c r="AX2426" i="1"/>
  <c r="AY2426" i="1"/>
  <c r="AW2427" i="1"/>
  <c r="AX2427" i="1"/>
  <c r="AY2427" i="1"/>
  <c r="AW2428" i="1"/>
  <c r="AX2428" i="1"/>
  <c r="AY2428" i="1"/>
  <c r="AW2429" i="1"/>
  <c r="AX2429" i="1"/>
  <c r="AY2429" i="1"/>
  <c r="AW2430" i="1"/>
  <c r="AX2430" i="1"/>
  <c r="AY2430" i="1"/>
  <c r="AW2431" i="1"/>
  <c r="AX2431" i="1"/>
  <c r="AY2431" i="1"/>
  <c r="AW2432" i="1"/>
  <c r="AX2432" i="1"/>
  <c r="AY2432" i="1"/>
  <c r="AW2433" i="1"/>
  <c r="AX2433" i="1"/>
  <c r="AY2433" i="1"/>
  <c r="AW2434" i="1"/>
  <c r="AX2434" i="1"/>
  <c r="AY2434" i="1"/>
  <c r="AW2435" i="1"/>
  <c r="AX2435" i="1"/>
  <c r="AY2435" i="1"/>
  <c r="AW2436" i="1"/>
  <c r="AX2436" i="1"/>
  <c r="AY2436" i="1"/>
  <c r="AW2437" i="1"/>
  <c r="AX2437" i="1"/>
  <c r="AY2437" i="1"/>
  <c r="AW2438" i="1"/>
  <c r="AX2438" i="1"/>
  <c r="AY2438" i="1"/>
  <c r="AW2439" i="1"/>
  <c r="AX2439" i="1"/>
  <c r="AY2439" i="1"/>
  <c r="AW2440" i="1"/>
  <c r="AX2440" i="1"/>
  <c r="AY2440" i="1"/>
  <c r="AW2441" i="1"/>
  <c r="AX2441" i="1"/>
  <c r="AY2441" i="1"/>
  <c r="AW2442" i="1"/>
  <c r="AX2442" i="1"/>
  <c r="AY2442" i="1"/>
  <c r="AW2443" i="1"/>
  <c r="AX2443" i="1"/>
  <c r="AY2443" i="1"/>
  <c r="AW2444" i="1"/>
  <c r="AX2444" i="1"/>
  <c r="AY2444" i="1"/>
  <c r="AW2445" i="1"/>
  <c r="AX2445" i="1"/>
  <c r="AY2445" i="1"/>
  <c r="AW2446" i="1"/>
  <c r="AX2446" i="1"/>
  <c r="AY2446" i="1"/>
  <c r="AW2447" i="1"/>
  <c r="AX2447" i="1"/>
  <c r="AY2447" i="1"/>
  <c r="AW2448" i="1"/>
  <c r="AX2448" i="1"/>
  <c r="AY2448" i="1"/>
  <c r="AW2449" i="1"/>
  <c r="AX2449" i="1"/>
  <c r="AY2449" i="1"/>
  <c r="AW2450" i="1"/>
  <c r="AX2450" i="1"/>
  <c r="AY2450" i="1"/>
  <c r="AW2451" i="1"/>
  <c r="AX2451" i="1"/>
  <c r="AY2451" i="1"/>
  <c r="AW2452" i="1"/>
  <c r="AX2452" i="1"/>
  <c r="AY2452" i="1"/>
  <c r="AW2453" i="1"/>
  <c r="AX2453" i="1"/>
  <c r="AY2453" i="1"/>
  <c r="AW2454" i="1"/>
  <c r="AX2454" i="1"/>
  <c r="AY2454" i="1"/>
  <c r="AW2455" i="1"/>
  <c r="AX2455" i="1"/>
  <c r="AY2455" i="1"/>
  <c r="AW2456" i="1"/>
  <c r="AX2456" i="1"/>
  <c r="AY2456" i="1"/>
  <c r="AW2457" i="1"/>
  <c r="AX2457" i="1"/>
  <c r="AY2457" i="1"/>
  <c r="AW2458" i="1"/>
  <c r="AX2458" i="1"/>
  <c r="AY2458" i="1"/>
  <c r="AW2459" i="1"/>
  <c r="AX2459" i="1"/>
  <c r="AY2459" i="1"/>
  <c r="AW2460" i="1"/>
  <c r="AX2460" i="1"/>
  <c r="AY2460" i="1"/>
  <c r="AW2461" i="1"/>
  <c r="AX2461" i="1"/>
  <c r="AY2461" i="1"/>
  <c r="AW2462" i="1"/>
  <c r="AX2462" i="1"/>
  <c r="AY2462" i="1"/>
  <c r="AW2463" i="1"/>
  <c r="AX2463" i="1"/>
  <c r="AY2463" i="1"/>
  <c r="AW2464" i="1"/>
  <c r="AX2464" i="1"/>
  <c r="AY2464" i="1"/>
  <c r="AW2465" i="1"/>
  <c r="AX2465" i="1"/>
  <c r="AY2465" i="1"/>
  <c r="AW2466" i="1"/>
  <c r="AX2466" i="1"/>
  <c r="AY2466" i="1"/>
  <c r="AW2467" i="1"/>
  <c r="AX2467" i="1"/>
  <c r="AY2467" i="1"/>
  <c r="AW2468" i="1"/>
  <c r="AX2468" i="1"/>
  <c r="AY2468" i="1"/>
  <c r="AW2469" i="1"/>
  <c r="AX2469" i="1"/>
  <c r="AY2469" i="1"/>
  <c r="AW2470" i="1"/>
  <c r="AX2470" i="1"/>
  <c r="AY2470" i="1"/>
  <c r="AW2471" i="1"/>
  <c r="AX2471" i="1"/>
  <c r="AY2471" i="1"/>
  <c r="AW2472" i="1"/>
  <c r="AX2472" i="1"/>
  <c r="AY2472" i="1"/>
  <c r="AW2473" i="1"/>
  <c r="AX2473" i="1"/>
  <c r="AY2473" i="1"/>
  <c r="AW2474" i="1"/>
  <c r="AX2474" i="1"/>
  <c r="AY2474" i="1"/>
  <c r="AW2475" i="1"/>
  <c r="AX2475" i="1"/>
  <c r="AY2475" i="1"/>
  <c r="AW2476" i="1"/>
  <c r="AX2476" i="1"/>
  <c r="AY2476" i="1"/>
  <c r="AW2477" i="1"/>
  <c r="AX2477" i="1"/>
  <c r="AY2477" i="1"/>
  <c r="AW2478" i="1"/>
  <c r="AX2478" i="1"/>
  <c r="AY2478" i="1"/>
  <c r="AW2479" i="1"/>
  <c r="AX2479" i="1"/>
  <c r="AY2479" i="1"/>
  <c r="AW2480" i="1"/>
  <c r="AX2480" i="1"/>
  <c r="AY2480" i="1"/>
  <c r="AW2481" i="1"/>
  <c r="AX2481" i="1"/>
  <c r="AY2481" i="1"/>
  <c r="AW2482" i="1"/>
  <c r="AX2482" i="1"/>
  <c r="AY2482" i="1"/>
  <c r="AW2483" i="1"/>
  <c r="AX2483" i="1"/>
  <c r="AY2483" i="1"/>
  <c r="AW2484" i="1"/>
  <c r="AX2484" i="1"/>
  <c r="AY2484" i="1"/>
  <c r="AW2485" i="1"/>
  <c r="AX2485" i="1"/>
  <c r="AY2485" i="1"/>
  <c r="AW2486" i="1"/>
  <c r="AX2486" i="1"/>
  <c r="AY2486" i="1"/>
  <c r="AW2487" i="1"/>
  <c r="AX2487" i="1"/>
  <c r="AY2487" i="1"/>
  <c r="AW2488" i="1"/>
  <c r="AX2488" i="1"/>
  <c r="AY2488" i="1"/>
  <c r="AW2489" i="1"/>
  <c r="AX2489" i="1"/>
  <c r="AY2489" i="1"/>
  <c r="AW2490" i="1"/>
  <c r="AX2490" i="1"/>
  <c r="AY2490" i="1"/>
  <c r="AW2491" i="1"/>
  <c r="AX2491" i="1"/>
  <c r="AY2491" i="1"/>
  <c r="AW2492" i="1"/>
  <c r="AX2492" i="1"/>
  <c r="AY2492" i="1"/>
  <c r="AW2493" i="1"/>
  <c r="AX2493" i="1"/>
  <c r="AY2493" i="1"/>
  <c r="AW2494" i="1"/>
  <c r="AX2494" i="1"/>
  <c r="AY2494" i="1"/>
  <c r="AW2495" i="1"/>
  <c r="AX2495" i="1"/>
  <c r="AY2495" i="1"/>
  <c r="AW2496" i="1"/>
  <c r="AX2496" i="1"/>
  <c r="AY2496" i="1"/>
  <c r="AW2497" i="1"/>
  <c r="AX2497" i="1"/>
  <c r="AY2497" i="1"/>
  <c r="AW2498" i="1"/>
  <c r="AX2498" i="1"/>
  <c r="AY2498" i="1"/>
  <c r="AW2499" i="1"/>
  <c r="AX2499" i="1"/>
  <c r="AY2499" i="1"/>
  <c r="AW2500" i="1"/>
  <c r="AX2500" i="1"/>
  <c r="AY2500" i="1"/>
  <c r="AW2501" i="1"/>
  <c r="AX2501" i="1"/>
  <c r="AY2501" i="1"/>
  <c r="AW2502" i="1"/>
  <c r="AX2502" i="1"/>
  <c r="AY2502" i="1"/>
  <c r="AW2503" i="1"/>
  <c r="AX2503" i="1"/>
  <c r="AY2503" i="1"/>
  <c r="AW2504" i="1"/>
  <c r="AX2504" i="1"/>
  <c r="AY2504" i="1"/>
  <c r="AW2505" i="1"/>
  <c r="AX2505" i="1"/>
  <c r="AY2505" i="1"/>
  <c r="AW2506" i="1"/>
  <c r="AX2506" i="1"/>
  <c r="AY2506" i="1"/>
  <c r="AW2507" i="1"/>
  <c r="AX2507" i="1"/>
  <c r="AY2507" i="1"/>
  <c r="AW2508" i="1"/>
  <c r="AX2508" i="1"/>
  <c r="AY2508" i="1"/>
  <c r="AW2509" i="1"/>
  <c r="AX2509" i="1"/>
  <c r="AY2509" i="1"/>
  <c r="AW2510" i="1"/>
  <c r="AX2510" i="1"/>
  <c r="AY2510" i="1"/>
  <c r="AW2511" i="1"/>
  <c r="AX2511" i="1"/>
  <c r="AY2511" i="1"/>
  <c r="AW2512" i="1"/>
  <c r="AX2512" i="1"/>
  <c r="AY2512" i="1"/>
  <c r="AW2513" i="1"/>
  <c r="AX2513" i="1"/>
  <c r="AY2513" i="1"/>
  <c r="AW2514" i="1"/>
  <c r="AX2514" i="1"/>
  <c r="AY2514" i="1"/>
  <c r="AW2515" i="1"/>
  <c r="AX2515" i="1"/>
  <c r="AY2515" i="1"/>
  <c r="AW2516" i="1"/>
  <c r="AX2516" i="1"/>
  <c r="AY2516" i="1"/>
  <c r="AW2517" i="1"/>
  <c r="AX2517" i="1"/>
  <c r="AY2517" i="1"/>
  <c r="AW2518" i="1"/>
  <c r="AX2518" i="1"/>
  <c r="AY2518" i="1"/>
  <c r="AW2519" i="1"/>
  <c r="AX2519" i="1"/>
  <c r="AY2519" i="1"/>
  <c r="AW2520" i="1"/>
  <c r="AX2520" i="1"/>
  <c r="AY2520" i="1"/>
  <c r="AW2521" i="1"/>
  <c r="AX2521" i="1"/>
  <c r="AY2521" i="1"/>
  <c r="AW2522" i="1"/>
  <c r="AX2522" i="1"/>
  <c r="AY2522" i="1"/>
  <c r="AW2523" i="1"/>
  <c r="AX2523" i="1"/>
  <c r="AY2523" i="1"/>
  <c r="AW2524" i="1"/>
  <c r="AX2524" i="1"/>
  <c r="AY2524" i="1"/>
  <c r="AW2525" i="1"/>
  <c r="AX2525" i="1"/>
  <c r="AY2525" i="1"/>
  <c r="AW2526" i="1"/>
  <c r="AX2526" i="1"/>
  <c r="AY2526" i="1"/>
  <c r="AW2527" i="1"/>
  <c r="AX2527" i="1"/>
  <c r="AY2527" i="1"/>
  <c r="AW2528" i="1"/>
  <c r="AX2528" i="1"/>
  <c r="AY2528" i="1"/>
  <c r="AW2529" i="1"/>
  <c r="AX2529" i="1"/>
  <c r="AY2529" i="1"/>
  <c r="AW2530" i="1"/>
  <c r="AX2530" i="1"/>
  <c r="AY2530" i="1"/>
  <c r="AW2531" i="1"/>
  <c r="AX2531" i="1"/>
  <c r="AY2531" i="1"/>
  <c r="AW2532" i="1"/>
  <c r="AX2532" i="1"/>
  <c r="AY2532" i="1"/>
  <c r="AW2533" i="1"/>
  <c r="AX2533" i="1"/>
  <c r="AY2533" i="1"/>
  <c r="AW2534" i="1"/>
  <c r="AX2534" i="1"/>
  <c r="AY2534" i="1"/>
  <c r="AW2535" i="1"/>
  <c r="AX2535" i="1"/>
  <c r="AY2535" i="1"/>
  <c r="AW2536" i="1"/>
  <c r="AX2536" i="1"/>
  <c r="AY2536" i="1"/>
  <c r="AW2537" i="1"/>
  <c r="AX2537" i="1"/>
  <c r="AY2537" i="1"/>
  <c r="AW2538" i="1"/>
  <c r="AX2538" i="1"/>
  <c r="AY2538" i="1"/>
  <c r="AW2539" i="1"/>
  <c r="AX2539" i="1"/>
  <c r="AY2539" i="1"/>
  <c r="AW2540" i="1"/>
  <c r="AX2540" i="1"/>
  <c r="AY2540" i="1"/>
  <c r="AW2541" i="1"/>
  <c r="AX2541" i="1"/>
  <c r="AY2541" i="1"/>
  <c r="AW2542" i="1"/>
  <c r="AX2542" i="1"/>
  <c r="AY2542" i="1"/>
  <c r="AW2543" i="1"/>
  <c r="AX2543" i="1"/>
  <c r="AY2543" i="1"/>
  <c r="AW2544" i="1"/>
  <c r="AX2544" i="1"/>
  <c r="AY2544" i="1"/>
  <c r="AW2545" i="1"/>
  <c r="AX2545" i="1"/>
  <c r="AY2545" i="1"/>
  <c r="AW2546" i="1"/>
  <c r="AX2546" i="1"/>
  <c r="AY2546" i="1"/>
  <c r="AW2547" i="1"/>
  <c r="AX2547" i="1"/>
  <c r="AY2547" i="1"/>
  <c r="AW2548" i="1"/>
  <c r="AX2548" i="1"/>
  <c r="AY2548" i="1"/>
  <c r="AW2549" i="1"/>
  <c r="AX2549" i="1"/>
  <c r="AY2549" i="1"/>
  <c r="AW2550" i="1"/>
  <c r="AX2550" i="1"/>
  <c r="AY2550" i="1"/>
  <c r="AW2551" i="1"/>
  <c r="AX2551" i="1"/>
  <c r="AY2551" i="1"/>
  <c r="AW2552" i="1"/>
  <c r="AX2552" i="1"/>
  <c r="AY2552" i="1"/>
  <c r="AW2553" i="1"/>
  <c r="AX2553" i="1"/>
  <c r="AY2553" i="1"/>
  <c r="AW2554" i="1"/>
  <c r="AX2554" i="1"/>
  <c r="AY2554" i="1"/>
  <c r="AW2555" i="1"/>
  <c r="AX2555" i="1"/>
  <c r="AY2555" i="1"/>
  <c r="AW2556" i="1"/>
  <c r="AX2556" i="1"/>
  <c r="AY2556" i="1"/>
  <c r="AW2557" i="1"/>
  <c r="AX2557" i="1"/>
  <c r="AY2557" i="1"/>
  <c r="AW2558" i="1"/>
  <c r="AX2558" i="1"/>
  <c r="AY2558" i="1"/>
  <c r="AW2559" i="1"/>
  <c r="AX2559" i="1"/>
  <c r="AY2559" i="1"/>
  <c r="AW2560" i="1"/>
  <c r="AX2560" i="1"/>
  <c r="AY2560" i="1"/>
  <c r="AW2561" i="1"/>
  <c r="AX2561" i="1"/>
  <c r="AY2561" i="1"/>
  <c r="AW2562" i="1"/>
  <c r="AX2562" i="1"/>
  <c r="AY2562" i="1"/>
  <c r="AW2563" i="1"/>
  <c r="AX2563" i="1"/>
  <c r="AY2563" i="1"/>
  <c r="AW2564" i="1"/>
  <c r="AX2564" i="1"/>
  <c r="AY2564" i="1"/>
  <c r="AW2565" i="1"/>
  <c r="AX2565" i="1"/>
  <c r="AY2565" i="1"/>
  <c r="AW2566" i="1"/>
  <c r="AX2566" i="1"/>
  <c r="AY2566" i="1"/>
  <c r="AW2567" i="1"/>
  <c r="AX2567" i="1"/>
  <c r="AY2567" i="1"/>
  <c r="AW2568" i="1"/>
  <c r="AX2568" i="1"/>
  <c r="AY2568" i="1"/>
  <c r="AW2569" i="1"/>
  <c r="AX2569" i="1"/>
  <c r="AY2569" i="1"/>
  <c r="AW2570" i="1"/>
  <c r="AX2570" i="1"/>
  <c r="AY2570" i="1"/>
  <c r="AW2571" i="1"/>
  <c r="AX2571" i="1"/>
  <c r="AY2571" i="1"/>
  <c r="AW2572" i="1"/>
  <c r="AX2572" i="1"/>
  <c r="AY2572" i="1"/>
  <c r="AW2573" i="1"/>
  <c r="AX2573" i="1"/>
  <c r="AY2573" i="1"/>
  <c r="AW2574" i="1"/>
  <c r="AX2574" i="1"/>
  <c r="AY2574" i="1"/>
  <c r="AW2575" i="1"/>
  <c r="AX2575" i="1"/>
  <c r="AY2575" i="1"/>
  <c r="AW2576" i="1"/>
  <c r="AX2576" i="1"/>
  <c r="AY2576" i="1"/>
  <c r="AW2577" i="1"/>
  <c r="AX2577" i="1"/>
  <c r="AY2577" i="1"/>
  <c r="AW2578" i="1"/>
  <c r="AX2578" i="1"/>
  <c r="AY2578" i="1"/>
  <c r="AW2579" i="1"/>
  <c r="AX2579" i="1"/>
  <c r="AY2579" i="1"/>
  <c r="AW2580" i="1"/>
  <c r="AX2580" i="1"/>
  <c r="AY2580" i="1"/>
  <c r="AW2581" i="1"/>
  <c r="AX2581" i="1"/>
  <c r="AY2581" i="1"/>
  <c r="AW2582" i="1"/>
  <c r="AX2582" i="1"/>
  <c r="AY2582" i="1"/>
  <c r="AW2583" i="1"/>
  <c r="AX2583" i="1"/>
  <c r="AY2583" i="1"/>
  <c r="AW2584" i="1"/>
  <c r="AX2584" i="1"/>
  <c r="AY2584" i="1"/>
  <c r="AW2585" i="1"/>
  <c r="AX2585" i="1"/>
  <c r="AY2585" i="1"/>
  <c r="AW2586" i="1"/>
  <c r="AX2586" i="1"/>
  <c r="AY2586" i="1"/>
  <c r="AW2587" i="1"/>
  <c r="AX2587" i="1"/>
  <c r="AY2587" i="1"/>
  <c r="AW2588" i="1"/>
  <c r="AX2588" i="1"/>
  <c r="AY2588" i="1"/>
  <c r="AW2589" i="1"/>
  <c r="AX2589" i="1"/>
  <c r="AY2589" i="1"/>
  <c r="AW2590" i="1"/>
  <c r="AX2590" i="1"/>
  <c r="AY2590" i="1"/>
  <c r="AW2591" i="1"/>
  <c r="AX2591" i="1"/>
  <c r="AY2591" i="1"/>
  <c r="AW2592" i="1"/>
  <c r="AX2592" i="1"/>
  <c r="AY2592" i="1"/>
  <c r="AW2593" i="1"/>
  <c r="AX2593" i="1"/>
  <c r="AY2593" i="1"/>
  <c r="AW2594" i="1"/>
  <c r="AX2594" i="1"/>
  <c r="AY2594" i="1"/>
  <c r="AW2595" i="1"/>
  <c r="AX2595" i="1"/>
  <c r="AY2595" i="1"/>
  <c r="AW2596" i="1"/>
  <c r="AX2596" i="1"/>
  <c r="AY2596" i="1"/>
  <c r="AW2597" i="1"/>
  <c r="AX2597" i="1"/>
  <c r="AY2597" i="1"/>
  <c r="AW2598" i="1"/>
  <c r="AX2598" i="1"/>
  <c r="AY2598" i="1"/>
  <c r="AW2599" i="1"/>
  <c r="AX2599" i="1"/>
  <c r="AY2599" i="1"/>
  <c r="AW2600" i="1"/>
  <c r="AX2600" i="1"/>
  <c r="AY2600" i="1"/>
  <c r="AW2601" i="1"/>
  <c r="AX2601" i="1"/>
  <c r="AY2601" i="1"/>
  <c r="AW2602" i="1"/>
  <c r="AX2602" i="1"/>
  <c r="AY2602" i="1"/>
  <c r="AW2603" i="1"/>
  <c r="AX2603" i="1"/>
  <c r="AY2603" i="1"/>
  <c r="AW2604" i="1"/>
  <c r="AX2604" i="1"/>
  <c r="AY2604" i="1"/>
  <c r="AW2605" i="1"/>
  <c r="AX2605" i="1"/>
  <c r="AY2605" i="1"/>
  <c r="AW2606" i="1"/>
  <c r="AX2606" i="1"/>
  <c r="AY2606" i="1"/>
  <c r="AW2607" i="1"/>
  <c r="AX2607" i="1"/>
  <c r="AY2607" i="1"/>
  <c r="AW2608" i="1"/>
  <c r="AX2608" i="1"/>
  <c r="AY2608" i="1"/>
  <c r="AW2609" i="1"/>
  <c r="AX2609" i="1"/>
  <c r="AY2609" i="1"/>
  <c r="AW2610" i="1"/>
  <c r="AX2610" i="1"/>
  <c r="AY2610" i="1"/>
  <c r="AW2611" i="1"/>
  <c r="AX2611" i="1"/>
  <c r="AY2611" i="1"/>
  <c r="AW2612" i="1"/>
  <c r="AX2612" i="1"/>
  <c r="AY2612" i="1"/>
  <c r="AW2613" i="1"/>
  <c r="AX2613" i="1"/>
  <c r="AY2613" i="1"/>
  <c r="AW2614" i="1"/>
  <c r="AX2614" i="1"/>
  <c r="AY2614" i="1"/>
  <c r="AW2615" i="1"/>
  <c r="AX2615" i="1"/>
  <c r="AY2615" i="1"/>
  <c r="AW2616" i="1"/>
  <c r="AX2616" i="1"/>
  <c r="AY2616" i="1"/>
  <c r="AW2617" i="1"/>
  <c r="AX2617" i="1"/>
  <c r="AY2617" i="1"/>
  <c r="AW2618" i="1"/>
  <c r="AX2618" i="1"/>
  <c r="AY2618" i="1"/>
  <c r="AW2619" i="1"/>
  <c r="AX2619" i="1"/>
  <c r="AY2619" i="1"/>
  <c r="AW2620" i="1"/>
  <c r="AX2620" i="1"/>
  <c r="AY2620" i="1"/>
  <c r="AW2621" i="1"/>
  <c r="AX2621" i="1"/>
  <c r="AY2621" i="1"/>
  <c r="AW2622" i="1"/>
  <c r="AX2622" i="1"/>
  <c r="AY2622" i="1"/>
  <c r="AW2623" i="1"/>
  <c r="AX2623" i="1"/>
  <c r="AY2623" i="1"/>
  <c r="AW2624" i="1"/>
  <c r="AX2624" i="1"/>
  <c r="AY2624" i="1"/>
  <c r="AW2625" i="1"/>
  <c r="AX2625" i="1"/>
  <c r="AY2625" i="1"/>
  <c r="AW2626" i="1"/>
  <c r="AX2626" i="1"/>
  <c r="AY2626" i="1"/>
  <c r="AW2627" i="1"/>
  <c r="AX2627" i="1"/>
  <c r="AY2627" i="1"/>
  <c r="AW2628" i="1"/>
  <c r="AX2628" i="1"/>
  <c r="AY2628" i="1"/>
  <c r="AW2629" i="1"/>
  <c r="AX2629" i="1"/>
  <c r="AY2629" i="1"/>
  <c r="AW2630" i="1"/>
  <c r="AX2630" i="1"/>
  <c r="AY2630" i="1"/>
  <c r="AW2631" i="1"/>
  <c r="AX2631" i="1"/>
  <c r="AY2631" i="1"/>
  <c r="AW2632" i="1"/>
  <c r="AX2632" i="1"/>
  <c r="AY2632" i="1"/>
  <c r="AW2633" i="1"/>
  <c r="AX2633" i="1"/>
  <c r="AY2633" i="1"/>
  <c r="AW2634" i="1"/>
  <c r="AX2634" i="1"/>
  <c r="AY2634" i="1"/>
  <c r="AW2635" i="1"/>
  <c r="AX2635" i="1"/>
  <c r="AY2635" i="1"/>
  <c r="AW2636" i="1"/>
  <c r="AX2636" i="1"/>
  <c r="AY2636" i="1"/>
  <c r="AW2637" i="1"/>
  <c r="AX2637" i="1"/>
  <c r="AY2637" i="1"/>
  <c r="AW2638" i="1"/>
  <c r="AX2638" i="1"/>
  <c r="AY2638" i="1"/>
  <c r="AW2639" i="1"/>
  <c r="AX2639" i="1"/>
  <c r="AY2639" i="1"/>
  <c r="AW2640" i="1"/>
  <c r="AX2640" i="1"/>
  <c r="AY2640" i="1"/>
  <c r="AW2641" i="1"/>
  <c r="AX2641" i="1"/>
  <c r="AY2641" i="1"/>
  <c r="AW2642" i="1"/>
  <c r="AX2642" i="1"/>
  <c r="AY2642" i="1"/>
  <c r="AW2643" i="1"/>
  <c r="AX2643" i="1"/>
  <c r="AY2643" i="1"/>
  <c r="AW2644" i="1"/>
  <c r="AX2644" i="1"/>
  <c r="AY2644" i="1"/>
  <c r="AW2645" i="1"/>
  <c r="AX2645" i="1"/>
  <c r="AY2645" i="1"/>
  <c r="AW2646" i="1"/>
  <c r="AX2646" i="1"/>
  <c r="AY2646" i="1"/>
  <c r="AW2647" i="1"/>
  <c r="AX2647" i="1"/>
  <c r="AY2647" i="1"/>
  <c r="AW2648" i="1"/>
  <c r="AX2648" i="1"/>
  <c r="AY2648" i="1"/>
  <c r="AW2649" i="1"/>
  <c r="AX2649" i="1"/>
  <c r="AY2649" i="1"/>
  <c r="AW2650" i="1"/>
  <c r="AX2650" i="1"/>
  <c r="AY2650" i="1"/>
  <c r="AW2651" i="1"/>
  <c r="AX2651" i="1"/>
  <c r="AY2651" i="1"/>
  <c r="AW2652" i="1"/>
  <c r="AX2652" i="1"/>
  <c r="AY2652" i="1"/>
  <c r="AW2653" i="1"/>
  <c r="AX2653" i="1"/>
  <c r="AY2653" i="1"/>
  <c r="AW2654" i="1"/>
  <c r="AX2654" i="1"/>
  <c r="AY2654" i="1"/>
  <c r="AW2655" i="1"/>
  <c r="AX2655" i="1"/>
  <c r="AY2655" i="1"/>
  <c r="AW2656" i="1"/>
  <c r="AX2656" i="1"/>
  <c r="AY2656" i="1"/>
  <c r="AW2657" i="1"/>
  <c r="AX2657" i="1"/>
  <c r="AY2657" i="1"/>
  <c r="AW2658" i="1"/>
  <c r="AX2658" i="1"/>
  <c r="AY2658" i="1"/>
  <c r="AW2659" i="1"/>
  <c r="AX2659" i="1"/>
  <c r="AY2659" i="1"/>
  <c r="AW2660" i="1"/>
  <c r="AX2660" i="1"/>
  <c r="AY2660" i="1"/>
  <c r="AW2661" i="1"/>
  <c r="AX2661" i="1"/>
  <c r="AY2661" i="1"/>
  <c r="AW2662" i="1"/>
  <c r="AX2662" i="1"/>
  <c r="AY2662" i="1"/>
  <c r="AW2663" i="1"/>
  <c r="AX2663" i="1"/>
  <c r="AY2663" i="1"/>
  <c r="AW2664" i="1"/>
  <c r="AX2664" i="1"/>
  <c r="AY2664" i="1"/>
  <c r="AW2665" i="1"/>
  <c r="AX2665" i="1"/>
  <c r="AY2665" i="1"/>
  <c r="AW2666" i="1"/>
  <c r="AX2666" i="1"/>
  <c r="AY2666" i="1"/>
  <c r="AW2667" i="1"/>
  <c r="AX2667" i="1"/>
  <c r="AY2667" i="1"/>
  <c r="AW2668" i="1"/>
  <c r="AX2668" i="1"/>
  <c r="AY2668" i="1"/>
  <c r="AW2669" i="1"/>
  <c r="AX2669" i="1"/>
  <c r="AY2669" i="1"/>
  <c r="AW2670" i="1"/>
  <c r="AX2670" i="1"/>
  <c r="AY2670" i="1"/>
  <c r="AW2671" i="1"/>
  <c r="AX2671" i="1"/>
  <c r="AY2671" i="1"/>
  <c r="AW2672" i="1"/>
  <c r="AX2672" i="1"/>
  <c r="AY2672" i="1"/>
  <c r="AW2673" i="1"/>
  <c r="AX2673" i="1"/>
  <c r="AY2673" i="1"/>
  <c r="AW2674" i="1"/>
  <c r="AX2674" i="1"/>
  <c r="AY2674" i="1"/>
  <c r="AW2675" i="1"/>
  <c r="AX2675" i="1"/>
  <c r="AY2675" i="1"/>
  <c r="AW2676" i="1"/>
  <c r="AX2676" i="1"/>
  <c r="AY2676" i="1"/>
  <c r="AW2677" i="1"/>
  <c r="AX2677" i="1"/>
  <c r="AY2677" i="1"/>
  <c r="AW2678" i="1"/>
  <c r="AX2678" i="1"/>
  <c r="AY2678" i="1"/>
  <c r="AW2679" i="1"/>
  <c r="AX2679" i="1"/>
  <c r="AY2679" i="1"/>
  <c r="AW2680" i="1"/>
  <c r="AX2680" i="1"/>
  <c r="AY2680" i="1"/>
  <c r="AW2681" i="1"/>
  <c r="AX2681" i="1"/>
  <c r="AY2681" i="1"/>
  <c r="AW2682" i="1"/>
  <c r="AX2682" i="1"/>
  <c r="AY2682" i="1"/>
  <c r="AW2683" i="1"/>
  <c r="AX2683" i="1"/>
  <c r="AY2683" i="1"/>
  <c r="AW2684" i="1"/>
  <c r="AX2684" i="1"/>
  <c r="AY2684" i="1"/>
  <c r="AW2685" i="1"/>
  <c r="AX2685" i="1"/>
  <c r="AY2685" i="1"/>
  <c r="AW2686" i="1"/>
  <c r="AX2686" i="1"/>
  <c r="AY2686" i="1"/>
  <c r="AW2687" i="1"/>
  <c r="AX2687" i="1"/>
  <c r="AY2687" i="1"/>
  <c r="AW2688" i="1"/>
  <c r="AX2688" i="1"/>
  <c r="AY2688" i="1"/>
  <c r="AW2689" i="1"/>
  <c r="AX2689" i="1"/>
  <c r="AY2689" i="1"/>
  <c r="AW2690" i="1"/>
  <c r="AX2690" i="1"/>
  <c r="AY2690" i="1"/>
  <c r="AW2691" i="1"/>
  <c r="AX2691" i="1"/>
  <c r="AY2691" i="1"/>
  <c r="AW2692" i="1"/>
  <c r="AX2692" i="1"/>
  <c r="AY2692" i="1"/>
  <c r="AW2693" i="1"/>
  <c r="AX2693" i="1"/>
  <c r="AY2693" i="1"/>
  <c r="AW2694" i="1"/>
  <c r="AX2694" i="1"/>
  <c r="AY2694" i="1"/>
  <c r="AW2695" i="1"/>
  <c r="AX2695" i="1"/>
  <c r="AY2695" i="1"/>
  <c r="AW2696" i="1"/>
  <c r="AX2696" i="1"/>
  <c r="AY2696" i="1"/>
  <c r="AW2697" i="1"/>
  <c r="AX2697" i="1"/>
  <c r="AY2697" i="1"/>
  <c r="AW2698" i="1"/>
  <c r="AX2698" i="1"/>
  <c r="AY2698" i="1"/>
  <c r="AW2699" i="1"/>
  <c r="AX2699" i="1"/>
  <c r="AY2699" i="1"/>
  <c r="AW2700" i="1"/>
  <c r="AX2700" i="1"/>
  <c r="AY2700" i="1"/>
  <c r="AW2701" i="1"/>
  <c r="AX2701" i="1"/>
  <c r="AY2701" i="1"/>
  <c r="AW2702" i="1"/>
  <c r="AX2702" i="1"/>
  <c r="AY2702" i="1"/>
  <c r="AW2703" i="1"/>
  <c r="AX2703" i="1"/>
  <c r="AY2703" i="1"/>
  <c r="AW2704" i="1"/>
  <c r="AX2704" i="1"/>
  <c r="AY2704" i="1"/>
  <c r="AW2705" i="1"/>
  <c r="AX2705" i="1"/>
  <c r="AY2705" i="1"/>
  <c r="AW2706" i="1"/>
  <c r="AX2706" i="1"/>
  <c r="AY2706" i="1"/>
  <c r="AW2707" i="1"/>
  <c r="AX2707" i="1"/>
  <c r="AY2707" i="1"/>
  <c r="AW2708" i="1"/>
  <c r="AX2708" i="1"/>
  <c r="AY2708" i="1"/>
  <c r="AW2709" i="1"/>
  <c r="AX2709" i="1"/>
  <c r="AY2709" i="1"/>
  <c r="AW2710" i="1"/>
  <c r="AX2710" i="1"/>
  <c r="AY2710" i="1"/>
  <c r="AW2711" i="1"/>
  <c r="AX2711" i="1"/>
  <c r="AY2711" i="1"/>
  <c r="AW2712" i="1"/>
  <c r="AX2712" i="1"/>
  <c r="AY2712" i="1"/>
  <c r="AW2713" i="1"/>
  <c r="AX2713" i="1"/>
  <c r="AY2713" i="1"/>
  <c r="AW2714" i="1"/>
  <c r="AX2714" i="1"/>
  <c r="AY2714" i="1"/>
  <c r="AW2715" i="1"/>
  <c r="AX2715" i="1"/>
  <c r="AY2715" i="1"/>
  <c r="AW2716" i="1"/>
  <c r="AX2716" i="1"/>
  <c r="AY2716" i="1"/>
  <c r="AW2717" i="1"/>
  <c r="AX2717" i="1"/>
  <c r="AY2717" i="1"/>
  <c r="AW2718" i="1"/>
  <c r="AX2718" i="1"/>
  <c r="AY2718" i="1"/>
  <c r="AW2719" i="1"/>
  <c r="AX2719" i="1"/>
  <c r="AY2719" i="1"/>
  <c r="AW2720" i="1"/>
  <c r="AX2720" i="1"/>
  <c r="AY2720" i="1"/>
  <c r="AW2721" i="1"/>
  <c r="AX2721" i="1"/>
  <c r="AY2721" i="1"/>
  <c r="AW2722" i="1"/>
  <c r="AX2722" i="1"/>
  <c r="AY2722" i="1"/>
  <c r="AW2723" i="1"/>
  <c r="AX2723" i="1"/>
  <c r="AY2723" i="1"/>
  <c r="AW2724" i="1"/>
  <c r="AX2724" i="1"/>
  <c r="AY2724" i="1"/>
  <c r="AW2725" i="1"/>
  <c r="AX2725" i="1"/>
  <c r="AY2725" i="1"/>
  <c r="AW2726" i="1"/>
  <c r="AX2726" i="1"/>
  <c r="AY2726" i="1"/>
  <c r="AW2727" i="1"/>
  <c r="AX2727" i="1"/>
  <c r="AY2727" i="1"/>
  <c r="AW2728" i="1"/>
  <c r="AX2728" i="1"/>
  <c r="AY2728" i="1"/>
  <c r="AW2729" i="1"/>
  <c r="AX2729" i="1"/>
  <c r="AY2729" i="1"/>
  <c r="AW2730" i="1"/>
  <c r="AX2730" i="1"/>
  <c r="AY2730" i="1"/>
  <c r="AW2731" i="1"/>
  <c r="AX2731" i="1"/>
  <c r="AY2731" i="1"/>
  <c r="AW2732" i="1"/>
  <c r="AX2732" i="1"/>
  <c r="AY2732" i="1"/>
  <c r="AW2733" i="1"/>
  <c r="AX2733" i="1"/>
  <c r="AY2733" i="1"/>
  <c r="AW2734" i="1"/>
  <c r="AX2734" i="1"/>
  <c r="AY2734" i="1"/>
  <c r="AW2735" i="1"/>
  <c r="AX2735" i="1"/>
  <c r="AY2735" i="1"/>
  <c r="AW2736" i="1"/>
  <c r="AX2736" i="1"/>
  <c r="AY2736" i="1"/>
  <c r="AW2737" i="1"/>
  <c r="AX2737" i="1"/>
  <c r="AY2737" i="1"/>
  <c r="AW2738" i="1"/>
  <c r="AX2738" i="1"/>
  <c r="AY2738" i="1"/>
  <c r="AW2739" i="1"/>
  <c r="AX2739" i="1"/>
  <c r="AY2739" i="1"/>
  <c r="AW2740" i="1"/>
  <c r="AX2740" i="1"/>
  <c r="AY2740" i="1"/>
  <c r="AW2741" i="1"/>
  <c r="AX2741" i="1"/>
  <c r="AY2741" i="1"/>
  <c r="AW2742" i="1"/>
  <c r="AX2742" i="1"/>
  <c r="AY2742" i="1"/>
  <c r="AW2743" i="1"/>
  <c r="AX2743" i="1"/>
  <c r="AY2743" i="1"/>
  <c r="AW2744" i="1"/>
  <c r="AX2744" i="1"/>
  <c r="AY2744" i="1"/>
  <c r="AW2745" i="1"/>
  <c r="AX2745" i="1"/>
  <c r="AY2745" i="1"/>
  <c r="AW2746" i="1"/>
  <c r="AX2746" i="1"/>
  <c r="AY2746" i="1"/>
  <c r="AW2747" i="1"/>
  <c r="AX2747" i="1"/>
  <c r="AY2747" i="1"/>
  <c r="AW2748" i="1"/>
  <c r="AX2748" i="1"/>
  <c r="AY2748" i="1"/>
  <c r="AW2749" i="1"/>
  <c r="AX2749" i="1"/>
  <c r="AY2749" i="1"/>
  <c r="AW2750" i="1"/>
  <c r="AX2750" i="1"/>
  <c r="AY2750" i="1"/>
  <c r="AW2751" i="1"/>
  <c r="AX2751" i="1"/>
  <c r="AY2751" i="1"/>
  <c r="AW2752" i="1"/>
  <c r="AX2752" i="1"/>
  <c r="AY2752" i="1"/>
  <c r="AW2753" i="1"/>
  <c r="AX2753" i="1"/>
  <c r="AY2753" i="1"/>
  <c r="AW2754" i="1"/>
  <c r="AX2754" i="1"/>
  <c r="AY2754" i="1"/>
  <c r="AW2755" i="1"/>
  <c r="AX2755" i="1"/>
  <c r="AY2755" i="1"/>
  <c r="AW2756" i="1"/>
  <c r="AX2756" i="1"/>
  <c r="AY2756" i="1"/>
  <c r="AW2757" i="1"/>
  <c r="AX2757" i="1"/>
  <c r="AY2757" i="1"/>
  <c r="AW2758" i="1"/>
  <c r="AX2758" i="1"/>
  <c r="AY2758" i="1"/>
  <c r="AW2759" i="1"/>
  <c r="AX2759" i="1"/>
  <c r="AY2759" i="1"/>
  <c r="AW2760" i="1"/>
  <c r="AX2760" i="1"/>
  <c r="AY2760" i="1"/>
  <c r="AW2761" i="1"/>
  <c r="AX2761" i="1"/>
  <c r="AY2761" i="1"/>
  <c r="AW2762" i="1"/>
  <c r="AX2762" i="1"/>
  <c r="AY2762" i="1"/>
  <c r="AW2763" i="1"/>
  <c r="AX2763" i="1"/>
  <c r="AY2763" i="1"/>
  <c r="AW2764" i="1"/>
  <c r="AX2764" i="1"/>
  <c r="AY2764" i="1"/>
  <c r="AW2765" i="1"/>
  <c r="AX2765" i="1"/>
  <c r="AY2765" i="1"/>
  <c r="AW2766" i="1"/>
  <c r="AX2766" i="1"/>
  <c r="AY2766" i="1"/>
  <c r="AW2767" i="1"/>
  <c r="AX2767" i="1"/>
  <c r="AY2767" i="1"/>
  <c r="AW2768" i="1"/>
  <c r="AX2768" i="1"/>
  <c r="AY2768" i="1"/>
  <c r="AW2769" i="1"/>
  <c r="AX2769" i="1"/>
  <c r="AY2769" i="1"/>
  <c r="AW2770" i="1"/>
  <c r="AX2770" i="1"/>
  <c r="AY2770" i="1"/>
  <c r="AW2771" i="1"/>
  <c r="AX2771" i="1"/>
  <c r="AY2771" i="1"/>
  <c r="AW2772" i="1"/>
  <c r="AX2772" i="1"/>
  <c r="AY2772" i="1"/>
  <c r="AW2773" i="1"/>
  <c r="AX2773" i="1"/>
  <c r="AY2773" i="1"/>
  <c r="AW2774" i="1"/>
  <c r="AX2774" i="1"/>
  <c r="AY2774" i="1"/>
  <c r="AW2775" i="1"/>
  <c r="AX2775" i="1"/>
  <c r="AY2775" i="1"/>
  <c r="AW2776" i="1"/>
  <c r="AX2776" i="1"/>
  <c r="AY2776" i="1"/>
  <c r="AW2777" i="1"/>
  <c r="AX2777" i="1"/>
  <c r="AY2777" i="1"/>
  <c r="AW2778" i="1"/>
  <c r="AX2778" i="1"/>
  <c r="AY2778" i="1"/>
  <c r="AW2779" i="1"/>
  <c r="AX2779" i="1"/>
  <c r="AY2779" i="1"/>
  <c r="AW2780" i="1"/>
  <c r="AX2780" i="1"/>
  <c r="AY2780" i="1"/>
  <c r="AW2781" i="1"/>
  <c r="AX2781" i="1"/>
  <c r="AY2781" i="1"/>
  <c r="AW2782" i="1"/>
  <c r="AX2782" i="1"/>
  <c r="AY2782" i="1"/>
  <c r="AW2783" i="1"/>
  <c r="AX2783" i="1"/>
  <c r="AY2783" i="1"/>
  <c r="AW2784" i="1"/>
  <c r="AX2784" i="1"/>
  <c r="AY2784" i="1"/>
  <c r="AW2785" i="1"/>
  <c r="AX2785" i="1"/>
  <c r="AY2785" i="1"/>
  <c r="AW2786" i="1"/>
  <c r="AX2786" i="1"/>
  <c r="AY2786" i="1"/>
  <c r="AW2787" i="1"/>
  <c r="AX2787" i="1"/>
  <c r="AY2787" i="1"/>
  <c r="AW2788" i="1"/>
  <c r="AX2788" i="1"/>
  <c r="AY2788" i="1"/>
  <c r="AW2789" i="1"/>
  <c r="AX2789" i="1"/>
  <c r="AY2789" i="1"/>
  <c r="AW2790" i="1"/>
  <c r="AX2790" i="1"/>
  <c r="AY2790" i="1"/>
  <c r="AW2791" i="1"/>
  <c r="AX2791" i="1"/>
  <c r="AY2791" i="1"/>
  <c r="AW2792" i="1"/>
  <c r="AX2792" i="1"/>
  <c r="AY2792" i="1"/>
  <c r="AW2793" i="1"/>
  <c r="AX2793" i="1"/>
  <c r="AY2793" i="1"/>
  <c r="AW2794" i="1"/>
  <c r="AX2794" i="1"/>
  <c r="AY2794" i="1"/>
  <c r="AW2795" i="1"/>
  <c r="AX2795" i="1"/>
  <c r="AY2795" i="1"/>
  <c r="AW2796" i="1"/>
  <c r="AX2796" i="1"/>
  <c r="AY2796" i="1"/>
  <c r="AW2797" i="1"/>
  <c r="AX2797" i="1"/>
  <c r="AY2797" i="1"/>
  <c r="AW2798" i="1"/>
  <c r="AX2798" i="1"/>
  <c r="AY2798" i="1"/>
  <c r="AW2799" i="1"/>
  <c r="AX2799" i="1"/>
  <c r="AY2799" i="1"/>
  <c r="AW2800" i="1"/>
  <c r="AX2800" i="1"/>
  <c r="AY2800" i="1"/>
  <c r="AW2801" i="1"/>
  <c r="AX2801" i="1"/>
  <c r="AY2801" i="1"/>
  <c r="AW2802" i="1"/>
  <c r="AX2802" i="1"/>
  <c r="AY2802" i="1"/>
  <c r="AW2803" i="1"/>
  <c r="AX2803" i="1"/>
  <c r="AY2803" i="1"/>
  <c r="AW2804" i="1"/>
  <c r="AX2804" i="1"/>
  <c r="AY2804" i="1"/>
  <c r="AW2805" i="1"/>
  <c r="AX2805" i="1"/>
  <c r="AY2805" i="1"/>
  <c r="AW2806" i="1"/>
  <c r="AX2806" i="1"/>
  <c r="AY2806" i="1"/>
  <c r="AW2807" i="1"/>
  <c r="AX2807" i="1"/>
  <c r="AY2807" i="1"/>
  <c r="AW2808" i="1"/>
  <c r="AX2808" i="1"/>
  <c r="AY2808" i="1"/>
  <c r="AW2809" i="1"/>
  <c r="AX2809" i="1"/>
  <c r="AY2809" i="1"/>
  <c r="AW2810" i="1"/>
  <c r="AX2810" i="1"/>
  <c r="AY2810" i="1"/>
  <c r="AW2811" i="1"/>
  <c r="AX2811" i="1"/>
  <c r="AY2811" i="1"/>
  <c r="AW2812" i="1"/>
  <c r="AX2812" i="1"/>
  <c r="AY2812" i="1"/>
  <c r="AW2813" i="1"/>
  <c r="AX2813" i="1"/>
  <c r="AY2813" i="1"/>
  <c r="AW2814" i="1"/>
  <c r="AX2814" i="1"/>
  <c r="AY2814" i="1"/>
  <c r="AW2815" i="1"/>
  <c r="AX2815" i="1"/>
  <c r="AY2815" i="1"/>
  <c r="AW2816" i="1"/>
  <c r="AX2816" i="1"/>
  <c r="AY2816" i="1"/>
  <c r="AW2817" i="1"/>
  <c r="AX2817" i="1"/>
  <c r="AY2817" i="1"/>
  <c r="AW2818" i="1"/>
  <c r="AX2818" i="1"/>
  <c r="AY2818" i="1"/>
  <c r="AW2819" i="1"/>
  <c r="AX2819" i="1"/>
  <c r="AY2819" i="1"/>
  <c r="AW2820" i="1"/>
  <c r="AX2820" i="1"/>
  <c r="AY2820" i="1"/>
  <c r="AW2821" i="1"/>
  <c r="AX2821" i="1"/>
  <c r="AY2821" i="1"/>
  <c r="AW2822" i="1"/>
  <c r="AX2822" i="1"/>
  <c r="AY2822" i="1"/>
  <c r="AW2823" i="1"/>
  <c r="AX2823" i="1"/>
  <c r="AY2823" i="1"/>
  <c r="AW2824" i="1"/>
  <c r="AX2824" i="1"/>
  <c r="AY2824" i="1"/>
  <c r="AW2825" i="1"/>
  <c r="AX2825" i="1"/>
  <c r="AY2825" i="1"/>
  <c r="AW2826" i="1"/>
  <c r="AX2826" i="1"/>
  <c r="AY2826" i="1"/>
  <c r="AW2827" i="1"/>
  <c r="AX2827" i="1"/>
  <c r="AY2827" i="1"/>
  <c r="AW2828" i="1"/>
  <c r="AX2828" i="1"/>
  <c r="AY2828" i="1"/>
  <c r="AW2829" i="1"/>
  <c r="AX2829" i="1"/>
  <c r="AY2829" i="1"/>
  <c r="AW2830" i="1"/>
  <c r="AX2830" i="1"/>
  <c r="AY2830" i="1"/>
  <c r="AW2831" i="1"/>
  <c r="AX2831" i="1"/>
  <c r="AY2831" i="1"/>
  <c r="AW2832" i="1"/>
  <c r="AX2832" i="1"/>
  <c r="AY2832" i="1"/>
  <c r="AW2833" i="1"/>
  <c r="AX2833" i="1"/>
  <c r="AY2833" i="1"/>
  <c r="AW2834" i="1"/>
  <c r="AX2834" i="1"/>
  <c r="AY2834" i="1"/>
  <c r="AW2835" i="1"/>
  <c r="AX2835" i="1"/>
  <c r="AY2835" i="1"/>
  <c r="AW2836" i="1"/>
  <c r="AX2836" i="1"/>
  <c r="AY2836" i="1"/>
  <c r="AW2837" i="1"/>
  <c r="AX2837" i="1"/>
  <c r="AY2837" i="1"/>
  <c r="AW2838" i="1"/>
  <c r="AX2838" i="1"/>
  <c r="AY2838" i="1"/>
  <c r="AW2839" i="1"/>
  <c r="AX2839" i="1"/>
  <c r="AY2839" i="1"/>
  <c r="AW2840" i="1"/>
  <c r="AX2840" i="1"/>
  <c r="AY2840" i="1"/>
  <c r="AW2841" i="1"/>
  <c r="AX2841" i="1"/>
  <c r="AY2841" i="1"/>
  <c r="AW2842" i="1"/>
  <c r="AX2842" i="1"/>
  <c r="AY2842" i="1"/>
  <c r="AW2843" i="1"/>
  <c r="AX2843" i="1"/>
  <c r="AY2843" i="1"/>
  <c r="AW2844" i="1"/>
  <c r="AX2844" i="1"/>
  <c r="AY2844" i="1"/>
  <c r="AW2845" i="1"/>
  <c r="AX2845" i="1"/>
  <c r="AY2845" i="1"/>
  <c r="AW2846" i="1"/>
  <c r="AX2846" i="1"/>
  <c r="AY2846" i="1"/>
  <c r="AW2847" i="1"/>
  <c r="AX2847" i="1"/>
  <c r="AY2847" i="1"/>
  <c r="AW2848" i="1"/>
  <c r="AX2848" i="1"/>
  <c r="AY2848" i="1"/>
  <c r="AW2849" i="1"/>
  <c r="AX2849" i="1"/>
  <c r="AY2849" i="1"/>
  <c r="AW2850" i="1"/>
  <c r="AX2850" i="1"/>
  <c r="AY2850" i="1"/>
  <c r="AW2851" i="1"/>
  <c r="AX2851" i="1"/>
  <c r="AY2851" i="1"/>
  <c r="AW2852" i="1"/>
  <c r="AX2852" i="1"/>
  <c r="AY2852" i="1"/>
  <c r="AW2853" i="1"/>
  <c r="AX2853" i="1"/>
  <c r="AY2853" i="1"/>
  <c r="AW2854" i="1"/>
  <c r="AX2854" i="1"/>
  <c r="AY2854" i="1"/>
  <c r="AW2855" i="1"/>
  <c r="AX2855" i="1"/>
  <c r="AY2855" i="1"/>
  <c r="AW2856" i="1"/>
  <c r="AX2856" i="1"/>
  <c r="AY2856" i="1"/>
  <c r="AW2857" i="1"/>
  <c r="AX2857" i="1"/>
  <c r="AY2857" i="1"/>
  <c r="AW2858" i="1"/>
  <c r="AX2858" i="1"/>
  <c r="AY2858" i="1"/>
  <c r="AW2859" i="1"/>
  <c r="AX2859" i="1"/>
  <c r="AY2859" i="1"/>
  <c r="AW2860" i="1"/>
  <c r="AX2860" i="1"/>
  <c r="AY2860" i="1"/>
  <c r="AW2861" i="1"/>
  <c r="AX2861" i="1"/>
  <c r="AY2861" i="1"/>
  <c r="AW2862" i="1"/>
  <c r="AX2862" i="1"/>
  <c r="AY2862" i="1"/>
  <c r="AW2863" i="1"/>
  <c r="AX2863" i="1"/>
  <c r="AY2863" i="1"/>
  <c r="AW2864" i="1"/>
  <c r="AX2864" i="1"/>
  <c r="AY2864" i="1"/>
  <c r="AW2865" i="1"/>
  <c r="AX2865" i="1"/>
  <c r="AY2865" i="1"/>
  <c r="AW2866" i="1"/>
  <c r="AX2866" i="1"/>
  <c r="AY2866" i="1"/>
  <c r="AW2867" i="1"/>
  <c r="AX2867" i="1"/>
  <c r="AY2867" i="1"/>
  <c r="AW2868" i="1"/>
  <c r="AX2868" i="1"/>
  <c r="AY2868" i="1"/>
  <c r="AW2869" i="1"/>
  <c r="AX2869" i="1"/>
  <c r="AY2869" i="1"/>
  <c r="AW2870" i="1"/>
  <c r="AX2870" i="1"/>
  <c r="AY2870" i="1"/>
  <c r="AW2871" i="1"/>
  <c r="AX2871" i="1"/>
  <c r="AY2871" i="1"/>
  <c r="AW2872" i="1"/>
  <c r="AX2872" i="1"/>
  <c r="AY2872" i="1"/>
  <c r="AW2873" i="1"/>
  <c r="AX2873" i="1"/>
  <c r="AY2873" i="1"/>
  <c r="AW2874" i="1"/>
  <c r="AX2874" i="1"/>
  <c r="AY2874" i="1"/>
  <c r="AW2875" i="1"/>
  <c r="AX2875" i="1"/>
  <c r="AY2875" i="1"/>
  <c r="AW2876" i="1"/>
  <c r="AX2876" i="1"/>
  <c r="AY2876" i="1"/>
  <c r="AW2877" i="1"/>
  <c r="AX2877" i="1"/>
  <c r="AY2877" i="1"/>
  <c r="AW2878" i="1"/>
  <c r="AX2878" i="1"/>
  <c r="AY2878" i="1"/>
  <c r="AW2879" i="1"/>
  <c r="AX2879" i="1"/>
  <c r="AY2879" i="1"/>
  <c r="AW2880" i="1"/>
  <c r="AX2880" i="1"/>
  <c r="AY2880" i="1"/>
  <c r="AW2881" i="1"/>
  <c r="AX2881" i="1"/>
  <c r="AY2881" i="1"/>
  <c r="AW2882" i="1"/>
  <c r="AX2882" i="1"/>
  <c r="AY2882" i="1"/>
  <c r="AW2883" i="1"/>
  <c r="AX2883" i="1"/>
  <c r="AY2883" i="1"/>
  <c r="AW2884" i="1"/>
  <c r="AX2884" i="1"/>
  <c r="AY2884" i="1"/>
  <c r="AW2885" i="1"/>
  <c r="AX2885" i="1"/>
  <c r="AY2885" i="1"/>
  <c r="AW2886" i="1"/>
  <c r="AX2886" i="1"/>
  <c r="AY2886" i="1"/>
  <c r="AW2887" i="1"/>
  <c r="AX2887" i="1"/>
  <c r="AY2887" i="1"/>
  <c r="AW2888" i="1"/>
  <c r="AX2888" i="1"/>
  <c r="AY2888" i="1"/>
  <c r="AW2889" i="1"/>
  <c r="AX2889" i="1"/>
  <c r="AY2889" i="1"/>
  <c r="AW2890" i="1"/>
  <c r="AX2890" i="1"/>
  <c r="AY2890" i="1"/>
  <c r="AW2891" i="1"/>
  <c r="AX2891" i="1"/>
  <c r="AY2891" i="1"/>
  <c r="AW2892" i="1"/>
  <c r="AX2892" i="1"/>
  <c r="AY2892" i="1"/>
  <c r="AW2893" i="1"/>
  <c r="AX2893" i="1"/>
  <c r="AY2893" i="1"/>
  <c r="AW2894" i="1"/>
  <c r="AX2894" i="1"/>
  <c r="AY2894" i="1"/>
  <c r="AW2895" i="1"/>
  <c r="AX2895" i="1"/>
  <c r="AY2895" i="1"/>
  <c r="AW2896" i="1"/>
  <c r="AX2896" i="1"/>
  <c r="AY2896" i="1"/>
  <c r="AW2897" i="1"/>
  <c r="AX2897" i="1"/>
  <c r="AY2897" i="1"/>
  <c r="AW2898" i="1"/>
  <c r="AX2898" i="1"/>
  <c r="AY2898" i="1"/>
  <c r="AW2899" i="1"/>
  <c r="AX2899" i="1"/>
  <c r="AY2899" i="1"/>
  <c r="AW2900" i="1"/>
  <c r="AX2900" i="1"/>
  <c r="AY2900" i="1"/>
  <c r="AW2901" i="1"/>
  <c r="AX2901" i="1"/>
  <c r="AY2901" i="1"/>
  <c r="AW2902" i="1"/>
  <c r="AX2902" i="1"/>
  <c r="AY2902" i="1"/>
  <c r="AW2903" i="1"/>
  <c r="AX2903" i="1"/>
  <c r="AY2903" i="1"/>
  <c r="AW2904" i="1"/>
  <c r="AX2904" i="1"/>
  <c r="AY2904" i="1"/>
  <c r="AW2905" i="1"/>
  <c r="AX2905" i="1"/>
  <c r="AY2905" i="1"/>
  <c r="AW2906" i="1"/>
  <c r="AX2906" i="1"/>
  <c r="AY2906" i="1"/>
  <c r="AW2907" i="1"/>
  <c r="AX2907" i="1"/>
  <c r="AY2907" i="1"/>
  <c r="AW2908" i="1"/>
  <c r="AX2908" i="1"/>
  <c r="AY2908" i="1"/>
  <c r="AW2909" i="1"/>
  <c r="AX2909" i="1"/>
  <c r="AY2909" i="1"/>
  <c r="AW2910" i="1"/>
  <c r="AX2910" i="1"/>
  <c r="AY2910" i="1"/>
  <c r="AW2911" i="1"/>
  <c r="AX2911" i="1"/>
  <c r="AY2911" i="1"/>
  <c r="AW2912" i="1"/>
  <c r="AX2912" i="1"/>
  <c r="AY2912" i="1"/>
  <c r="AW2913" i="1"/>
  <c r="AX2913" i="1"/>
  <c r="AY2913" i="1"/>
  <c r="AW2914" i="1"/>
  <c r="AX2914" i="1"/>
  <c r="AY2914" i="1"/>
  <c r="AW2915" i="1"/>
  <c r="AX2915" i="1"/>
  <c r="AY2915" i="1"/>
  <c r="AW2916" i="1"/>
  <c r="AX2916" i="1"/>
  <c r="AY2916" i="1"/>
  <c r="AW2917" i="1"/>
  <c r="AX2917" i="1"/>
  <c r="AY2917" i="1"/>
  <c r="AW2918" i="1"/>
  <c r="AX2918" i="1"/>
  <c r="AY2918" i="1"/>
  <c r="AW2919" i="1"/>
  <c r="AX2919" i="1"/>
  <c r="AY2919" i="1"/>
  <c r="AW2920" i="1"/>
  <c r="AX2920" i="1"/>
  <c r="AY2920" i="1"/>
  <c r="AW2921" i="1"/>
  <c r="AX2921" i="1"/>
  <c r="AY2921" i="1"/>
  <c r="AW2922" i="1"/>
  <c r="AX2922" i="1"/>
  <c r="AY2922" i="1"/>
  <c r="AW2923" i="1"/>
  <c r="AX2923" i="1"/>
  <c r="AY2923" i="1"/>
  <c r="AW2924" i="1"/>
  <c r="AX2924" i="1"/>
  <c r="AY2924" i="1"/>
  <c r="AW2925" i="1"/>
  <c r="AX2925" i="1"/>
  <c r="AY2925" i="1"/>
  <c r="AW2926" i="1"/>
  <c r="AX2926" i="1"/>
  <c r="AY2926" i="1"/>
  <c r="AW2927" i="1"/>
  <c r="AX2927" i="1"/>
  <c r="AY2927" i="1"/>
  <c r="AW2928" i="1"/>
  <c r="AX2928" i="1"/>
  <c r="AY2928" i="1"/>
  <c r="AW2929" i="1"/>
  <c r="AX2929" i="1"/>
  <c r="AY2929" i="1"/>
  <c r="AW2930" i="1"/>
  <c r="AX2930" i="1"/>
  <c r="AY2930" i="1"/>
  <c r="AW2931" i="1"/>
  <c r="AX2931" i="1"/>
  <c r="AY2931" i="1"/>
  <c r="AW2932" i="1"/>
  <c r="AX2932" i="1"/>
  <c r="AY2932" i="1"/>
  <c r="AW2933" i="1"/>
  <c r="AX2933" i="1"/>
  <c r="AY2933" i="1"/>
  <c r="AW2934" i="1"/>
  <c r="AX2934" i="1"/>
  <c r="AY2934" i="1"/>
  <c r="AW2935" i="1"/>
  <c r="AX2935" i="1"/>
  <c r="AY2935" i="1"/>
  <c r="AW2936" i="1"/>
  <c r="AX2936" i="1"/>
  <c r="AY2936" i="1"/>
  <c r="AW2937" i="1"/>
  <c r="AX2937" i="1"/>
  <c r="AY2937" i="1"/>
  <c r="AW2938" i="1"/>
  <c r="AX2938" i="1"/>
  <c r="AY2938" i="1"/>
  <c r="AW2939" i="1"/>
  <c r="AX2939" i="1"/>
  <c r="AY2939" i="1"/>
  <c r="AW2940" i="1"/>
  <c r="AX2940" i="1"/>
  <c r="AY2940" i="1"/>
  <c r="AW2941" i="1"/>
  <c r="AX2941" i="1"/>
  <c r="AY2941" i="1"/>
  <c r="AW2942" i="1"/>
  <c r="AX2942" i="1"/>
  <c r="AY2942" i="1"/>
  <c r="AW2943" i="1"/>
  <c r="AX2943" i="1"/>
  <c r="AY2943" i="1"/>
  <c r="AW2944" i="1"/>
  <c r="AX2944" i="1"/>
  <c r="AY2944" i="1"/>
  <c r="AW2945" i="1"/>
  <c r="AX2945" i="1"/>
  <c r="AY2945" i="1"/>
  <c r="AW2946" i="1"/>
  <c r="AX2946" i="1"/>
  <c r="AY2946" i="1"/>
  <c r="AW2947" i="1"/>
  <c r="AX2947" i="1"/>
  <c r="AY2947" i="1"/>
  <c r="AW2948" i="1"/>
  <c r="AX2948" i="1"/>
  <c r="AY2948" i="1"/>
  <c r="AW2949" i="1"/>
  <c r="AX2949" i="1"/>
  <c r="AY2949" i="1"/>
  <c r="AW2950" i="1"/>
  <c r="AX2950" i="1"/>
  <c r="AY2950" i="1"/>
  <c r="AW2951" i="1"/>
  <c r="AX2951" i="1"/>
  <c r="AY2951" i="1"/>
  <c r="AW2952" i="1"/>
  <c r="AX2952" i="1"/>
  <c r="AY2952" i="1"/>
  <c r="AW2953" i="1"/>
  <c r="AX2953" i="1"/>
  <c r="AY2953" i="1"/>
  <c r="AW2954" i="1"/>
  <c r="AX2954" i="1"/>
  <c r="AY2954" i="1"/>
  <c r="AW2955" i="1"/>
  <c r="AX2955" i="1"/>
  <c r="AY2955" i="1"/>
  <c r="AW2956" i="1"/>
  <c r="AX2956" i="1"/>
  <c r="AY2956" i="1"/>
  <c r="AW2957" i="1"/>
  <c r="AX2957" i="1"/>
  <c r="AY2957" i="1"/>
  <c r="AW2958" i="1"/>
  <c r="AX2958" i="1"/>
  <c r="AY2958" i="1"/>
  <c r="AW2959" i="1"/>
  <c r="AX2959" i="1"/>
  <c r="AY2959" i="1"/>
  <c r="AW2960" i="1"/>
  <c r="AX2960" i="1"/>
  <c r="AY2960" i="1"/>
  <c r="AW2961" i="1"/>
  <c r="AX2961" i="1"/>
  <c r="AY2961" i="1"/>
  <c r="AW2962" i="1"/>
  <c r="AX2962" i="1"/>
  <c r="AY2962" i="1"/>
  <c r="AW2963" i="1"/>
  <c r="AX2963" i="1"/>
  <c r="AY2963" i="1"/>
  <c r="AW2964" i="1"/>
  <c r="AX2964" i="1"/>
  <c r="AY2964" i="1"/>
  <c r="AW2965" i="1"/>
  <c r="AX2965" i="1"/>
  <c r="AY2965" i="1"/>
  <c r="AW2966" i="1"/>
  <c r="AX2966" i="1"/>
  <c r="AY2966" i="1"/>
  <c r="AW2967" i="1"/>
  <c r="AX2967" i="1"/>
  <c r="AY2967" i="1"/>
  <c r="AW2968" i="1"/>
  <c r="AX2968" i="1"/>
  <c r="AY2968" i="1"/>
  <c r="AW2969" i="1"/>
  <c r="AX2969" i="1"/>
  <c r="AY2969" i="1"/>
  <c r="AW2970" i="1"/>
  <c r="AX2970" i="1"/>
  <c r="AY2970" i="1"/>
  <c r="AW2971" i="1"/>
  <c r="AX2971" i="1"/>
  <c r="AY2971" i="1"/>
  <c r="AW2972" i="1"/>
  <c r="AX2972" i="1"/>
  <c r="AY2972" i="1"/>
  <c r="AW2973" i="1"/>
  <c r="AX2973" i="1"/>
  <c r="AY2973" i="1"/>
  <c r="AW2974" i="1"/>
  <c r="AX2974" i="1"/>
  <c r="AY2974" i="1"/>
  <c r="AW2975" i="1"/>
  <c r="AX2975" i="1"/>
  <c r="AY2975" i="1"/>
  <c r="AW2976" i="1"/>
  <c r="AX2976" i="1"/>
  <c r="AY2976" i="1"/>
  <c r="AW2977" i="1"/>
  <c r="AX2977" i="1"/>
  <c r="AY2977" i="1"/>
  <c r="AW2978" i="1"/>
  <c r="AX2978" i="1"/>
  <c r="AY2978" i="1"/>
  <c r="AW2979" i="1"/>
  <c r="AX2979" i="1"/>
  <c r="AY2979" i="1"/>
  <c r="AW2980" i="1"/>
  <c r="AX2980" i="1"/>
  <c r="AY2980" i="1"/>
  <c r="AW2981" i="1"/>
  <c r="AX2981" i="1"/>
  <c r="AY2981" i="1"/>
  <c r="AW2982" i="1"/>
  <c r="AX2982" i="1"/>
  <c r="AY2982" i="1"/>
  <c r="AW2983" i="1"/>
  <c r="AX2983" i="1"/>
  <c r="AY2983" i="1"/>
  <c r="AW2984" i="1"/>
  <c r="AX2984" i="1"/>
  <c r="AY2984" i="1"/>
  <c r="AW2985" i="1"/>
  <c r="AX2985" i="1"/>
  <c r="AY2985" i="1"/>
  <c r="AW2986" i="1"/>
  <c r="AX2986" i="1"/>
  <c r="AY2986" i="1"/>
  <c r="AW2987" i="1"/>
  <c r="AX2987" i="1"/>
  <c r="AY2987" i="1"/>
  <c r="AW2988" i="1"/>
  <c r="AX2988" i="1"/>
  <c r="AY2988" i="1"/>
  <c r="AW2989" i="1"/>
  <c r="AX2989" i="1"/>
  <c r="AY2989" i="1"/>
  <c r="AW2990" i="1"/>
  <c r="AX2990" i="1"/>
  <c r="AY2990" i="1"/>
  <c r="AW2991" i="1"/>
  <c r="AX2991" i="1"/>
  <c r="AY2991" i="1"/>
  <c r="AW2992" i="1"/>
  <c r="AX2992" i="1"/>
  <c r="AY2992" i="1"/>
  <c r="AW2993" i="1"/>
  <c r="AX2993" i="1"/>
  <c r="AY2993" i="1"/>
  <c r="AW2994" i="1"/>
  <c r="AX2994" i="1"/>
  <c r="AY2994" i="1"/>
  <c r="AW2995" i="1"/>
  <c r="AX2995" i="1"/>
  <c r="AY2995" i="1"/>
  <c r="AW2996" i="1"/>
  <c r="AX2996" i="1"/>
  <c r="AY2996" i="1"/>
  <c r="AW2997" i="1"/>
  <c r="AX2997" i="1"/>
  <c r="AY2997" i="1"/>
  <c r="AW2998" i="1"/>
  <c r="AX2998" i="1"/>
  <c r="AY2998" i="1"/>
  <c r="AW2999" i="1"/>
  <c r="AX2999" i="1"/>
  <c r="AY2999" i="1"/>
  <c r="AW3000" i="1"/>
  <c r="AX3000" i="1"/>
  <c r="AY3000" i="1"/>
  <c r="AW3001" i="1"/>
  <c r="AX3001" i="1"/>
  <c r="AY3001" i="1"/>
  <c r="AW3002" i="1"/>
  <c r="AX3002" i="1"/>
  <c r="AY3002" i="1"/>
  <c r="AW3003" i="1"/>
  <c r="AX3003" i="1"/>
  <c r="AY3003" i="1"/>
  <c r="AW3004" i="1"/>
  <c r="AX3004" i="1"/>
  <c r="AY3004" i="1"/>
  <c r="AW3005" i="1"/>
  <c r="AX3005" i="1"/>
  <c r="AY3005" i="1"/>
  <c r="AW3006" i="1"/>
  <c r="AX3006" i="1"/>
  <c r="AY3006" i="1"/>
  <c r="AW3007" i="1"/>
  <c r="AX3007" i="1"/>
  <c r="AY3007" i="1"/>
  <c r="AW3008" i="1"/>
  <c r="AX3008" i="1"/>
  <c r="AY3008" i="1"/>
  <c r="AW3009" i="1"/>
  <c r="AX3009" i="1"/>
  <c r="AY3009" i="1"/>
  <c r="AW3010" i="1"/>
  <c r="AX3010" i="1"/>
  <c r="AY3010" i="1"/>
  <c r="AW3011" i="1"/>
  <c r="AX3011" i="1"/>
  <c r="AY3011" i="1"/>
  <c r="AW3012" i="1"/>
  <c r="AX3012" i="1"/>
  <c r="AY3012" i="1"/>
  <c r="AW3013" i="1"/>
  <c r="AX3013" i="1"/>
  <c r="AY3013" i="1"/>
  <c r="AW3014" i="1"/>
  <c r="AX3014" i="1"/>
  <c r="AY3014" i="1"/>
  <c r="AW3015" i="1"/>
  <c r="AX3015" i="1"/>
  <c r="AY3015" i="1"/>
  <c r="AW3016" i="1"/>
  <c r="AX3016" i="1"/>
  <c r="AY3016" i="1"/>
  <c r="AW3017" i="1"/>
  <c r="AX3017" i="1"/>
  <c r="AY3017" i="1"/>
  <c r="AW3018" i="1"/>
  <c r="AX3018" i="1"/>
  <c r="AY3018" i="1"/>
  <c r="AW3019" i="1"/>
  <c r="AX3019" i="1"/>
  <c r="AY3019" i="1"/>
  <c r="AW3020" i="1"/>
  <c r="AX3020" i="1"/>
  <c r="AY3020" i="1"/>
  <c r="AW3021" i="1"/>
  <c r="AX3021" i="1"/>
  <c r="AY3021" i="1"/>
  <c r="AW3022" i="1"/>
  <c r="AX3022" i="1"/>
  <c r="AY3022" i="1"/>
  <c r="AW3023" i="1"/>
  <c r="AX3023" i="1"/>
  <c r="AY3023" i="1"/>
  <c r="AW3024" i="1"/>
  <c r="AX3024" i="1"/>
  <c r="AY3024" i="1"/>
  <c r="AW3025" i="1"/>
  <c r="AX3025" i="1"/>
  <c r="AY3025" i="1"/>
  <c r="AW3026" i="1"/>
  <c r="AX3026" i="1"/>
  <c r="AY3026" i="1"/>
  <c r="AW3027" i="1"/>
  <c r="AX3027" i="1"/>
  <c r="AY3027" i="1"/>
  <c r="AW3028" i="1"/>
  <c r="AX3028" i="1"/>
  <c r="AY3028" i="1"/>
  <c r="AW3029" i="1"/>
  <c r="AX3029" i="1"/>
  <c r="AY3029" i="1"/>
  <c r="AW3030" i="1"/>
  <c r="AX3030" i="1"/>
  <c r="AY3030" i="1"/>
  <c r="AW3031" i="1"/>
  <c r="AX3031" i="1"/>
  <c r="AY3031" i="1"/>
  <c r="AW3032" i="1"/>
  <c r="AX3032" i="1"/>
  <c r="AY3032" i="1"/>
  <c r="AW3033" i="1"/>
  <c r="AX3033" i="1"/>
  <c r="AY3033" i="1"/>
  <c r="AW3034" i="1"/>
  <c r="AX3034" i="1"/>
  <c r="AY3034" i="1"/>
  <c r="AW3035" i="1"/>
  <c r="AX3035" i="1"/>
  <c r="AY3035" i="1"/>
  <c r="AW3036" i="1"/>
  <c r="AX3036" i="1"/>
  <c r="AY3036" i="1"/>
  <c r="AW3037" i="1"/>
  <c r="AX3037" i="1"/>
  <c r="AY3037" i="1"/>
  <c r="AW3038" i="1"/>
  <c r="AX3038" i="1"/>
  <c r="AY3038" i="1"/>
  <c r="AW3039" i="1"/>
  <c r="AX3039" i="1"/>
  <c r="AY3039" i="1"/>
  <c r="AW3040" i="1"/>
  <c r="AX3040" i="1"/>
  <c r="AY3040" i="1"/>
  <c r="AW3041" i="1"/>
  <c r="AX3041" i="1"/>
  <c r="AY3041" i="1"/>
  <c r="AW3042" i="1"/>
  <c r="AX3042" i="1"/>
  <c r="AY3042" i="1"/>
  <c r="AW3043" i="1"/>
  <c r="AX3043" i="1"/>
  <c r="AY3043" i="1"/>
  <c r="AW3044" i="1"/>
  <c r="AX3044" i="1"/>
  <c r="AY3044" i="1"/>
  <c r="AW3045" i="1"/>
  <c r="AX3045" i="1"/>
  <c r="AY3045" i="1"/>
  <c r="AW3046" i="1"/>
  <c r="AX3046" i="1"/>
  <c r="AY3046" i="1"/>
  <c r="AW3047" i="1"/>
  <c r="AX3047" i="1"/>
  <c r="AY3047" i="1"/>
  <c r="AW3048" i="1"/>
  <c r="AX3048" i="1"/>
  <c r="AY3048" i="1"/>
  <c r="AW3049" i="1"/>
  <c r="AX3049" i="1"/>
  <c r="AY3049" i="1"/>
  <c r="AW3050" i="1"/>
  <c r="AX3050" i="1"/>
  <c r="AY3050" i="1"/>
  <c r="AW3051" i="1"/>
  <c r="AX3051" i="1"/>
  <c r="AY3051" i="1"/>
  <c r="AW3052" i="1"/>
  <c r="AX3052" i="1"/>
  <c r="AY3052" i="1"/>
  <c r="AW3053" i="1"/>
  <c r="AX3053" i="1"/>
  <c r="AY3053" i="1"/>
  <c r="AW3054" i="1"/>
  <c r="AX3054" i="1"/>
  <c r="AY3054" i="1"/>
  <c r="AW3055" i="1"/>
  <c r="AX3055" i="1"/>
  <c r="AY3055" i="1"/>
  <c r="AW3056" i="1"/>
  <c r="AX3056" i="1"/>
  <c r="AY3056" i="1"/>
  <c r="AW3057" i="1"/>
  <c r="AX3057" i="1"/>
  <c r="AY3057" i="1"/>
  <c r="AW3058" i="1"/>
  <c r="AX3058" i="1"/>
  <c r="AY3058" i="1"/>
  <c r="AW3059" i="1"/>
  <c r="AX3059" i="1"/>
  <c r="AY3059" i="1"/>
  <c r="AW3060" i="1"/>
  <c r="AX3060" i="1"/>
  <c r="AY3060" i="1"/>
  <c r="AW3061" i="1"/>
  <c r="AX3061" i="1"/>
  <c r="AY3061" i="1"/>
  <c r="AW3062" i="1"/>
  <c r="AX3062" i="1"/>
  <c r="AY3062" i="1"/>
  <c r="AW3063" i="1"/>
  <c r="AX3063" i="1"/>
  <c r="AY3063" i="1"/>
  <c r="AW3064" i="1"/>
  <c r="AX3064" i="1"/>
  <c r="AY3064" i="1"/>
  <c r="AW3065" i="1"/>
  <c r="AX3065" i="1"/>
  <c r="AY3065" i="1"/>
  <c r="AW3066" i="1"/>
  <c r="AX3066" i="1"/>
  <c r="AY3066" i="1"/>
  <c r="AW3067" i="1"/>
  <c r="AX3067" i="1"/>
  <c r="AY3067" i="1"/>
  <c r="AW3068" i="1"/>
  <c r="AX3068" i="1"/>
  <c r="AY3068" i="1"/>
  <c r="AW3069" i="1"/>
  <c r="AX3069" i="1"/>
  <c r="AY3069" i="1"/>
  <c r="B3" i="3" l="1"/>
  <c r="N1" i="5" l="1"/>
  <c r="J57" i="3" l="1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56" i="3"/>
  <c r="J74" i="3" l="1"/>
  <c r="B86" i="3"/>
  <c r="C86" i="3" s="1"/>
  <c r="B85" i="3"/>
  <c r="L11" i="3" l="1"/>
  <c r="L3" i="5" s="1"/>
  <c r="L12" i="3"/>
  <c r="L4" i="5" s="1"/>
  <c r="L13" i="3"/>
  <c r="L5" i="5" s="1"/>
  <c r="L14" i="3"/>
  <c r="L6" i="5" s="1"/>
  <c r="L15" i="3"/>
  <c r="L7" i="5" s="1"/>
  <c r="L16" i="3"/>
  <c r="L8" i="5" s="1"/>
  <c r="L17" i="3"/>
  <c r="L9" i="5" s="1"/>
  <c r="L18" i="3"/>
  <c r="L10" i="5" s="1"/>
  <c r="L19" i="3"/>
  <c r="L11" i="5" s="1"/>
  <c r="L20" i="3"/>
  <c r="L12" i="5" s="1"/>
  <c r="L21" i="3"/>
  <c r="L13" i="5" s="1"/>
  <c r="L22" i="3"/>
  <c r="L14" i="5" s="1"/>
  <c r="L23" i="3"/>
  <c r="L15" i="5" s="1"/>
  <c r="L24" i="3"/>
  <c r="L16" i="5" s="1"/>
  <c r="L25" i="3"/>
  <c r="L17" i="5" s="1"/>
  <c r="L26" i="3"/>
  <c r="L18" i="5" s="1"/>
  <c r="L27" i="3"/>
  <c r="L19" i="5" s="1"/>
  <c r="L10" i="3"/>
  <c r="L2" i="5" s="1"/>
  <c r="L28" i="3" l="1"/>
  <c r="L20" i="5" s="1"/>
  <c r="A20" i="5"/>
  <c r="A19" i="5"/>
  <c r="S63" i="5" s="1"/>
  <c r="A18" i="5"/>
  <c r="S62" i="5" s="1"/>
  <c r="A17" i="5"/>
  <c r="S61" i="5" s="1"/>
  <c r="A16" i="5"/>
  <c r="S60" i="5" s="1"/>
  <c r="A15" i="5"/>
  <c r="S59" i="5" s="1"/>
  <c r="A14" i="5"/>
  <c r="S58" i="5" s="1"/>
  <c r="A13" i="5"/>
  <c r="S57" i="5" s="1"/>
  <c r="A12" i="5"/>
  <c r="S56" i="5" s="1"/>
  <c r="A11" i="5"/>
  <c r="S55" i="5" s="1"/>
  <c r="A10" i="5"/>
  <c r="S54" i="5" s="1"/>
  <c r="A9" i="5"/>
  <c r="S53" i="5" s="1"/>
  <c r="A8" i="5"/>
  <c r="S52" i="5" s="1"/>
  <c r="A7" i="5"/>
  <c r="S51" i="5" s="1"/>
  <c r="A6" i="5"/>
  <c r="S50" i="5" s="1"/>
  <c r="A5" i="5"/>
  <c r="S49" i="5" s="1"/>
  <c r="A4" i="5"/>
  <c r="S48" i="5" s="1"/>
  <c r="A3" i="5"/>
  <c r="S47" i="5" s="1"/>
  <c r="A2" i="5"/>
  <c r="S46" i="5" s="1"/>
  <c r="M1" i="5"/>
  <c r="K1" i="5"/>
  <c r="J1" i="5"/>
  <c r="I1" i="5"/>
  <c r="H1" i="5"/>
  <c r="G1" i="5"/>
  <c r="F1" i="5"/>
  <c r="E1" i="5"/>
  <c r="D1" i="5"/>
  <c r="C1" i="5"/>
  <c r="B1" i="5"/>
  <c r="A1" i="5"/>
  <c r="S45" i="5" s="1"/>
  <c r="I73" i="3"/>
  <c r="H73" i="3"/>
  <c r="G73" i="3"/>
  <c r="F73" i="3"/>
  <c r="E73" i="3"/>
  <c r="D73" i="3"/>
  <c r="C73" i="3"/>
  <c r="B73" i="3"/>
  <c r="I72" i="3"/>
  <c r="H72" i="3"/>
  <c r="G72" i="3"/>
  <c r="F72" i="3"/>
  <c r="E72" i="3"/>
  <c r="D72" i="3"/>
  <c r="C72" i="3"/>
  <c r="B72" i="3"/>
  <c r="I71" i="3"/>
  <c r="H71" i="3"/>
  <c r="G71" i="3"/>
  <c r="F71" i="3"/>
  <c r="E71" i="3"/>
  <c r="D71" i="3"/>
  <c r="C71" i="3"/>
  <c r="B71" i="3"/>
  <c r="I70" i="3"/>
  <c r="H70" i="3"/>
  <c r="G70" i="3"/>
  <c r="F70" i="3"/>
  <c r="E70" i="3"/>
  <c r="D70" i="3"/>
  <c r="C70" i="3"/>
  <c r="B70" i="3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7" i="3"/>
  <c r="H67" i="3"/>
  <c r="G67" i="3"/>
  <c r="F67" i="3"/>
  <c r="E67" i="3"/>
  <c r="D67" i="3"/>
  <c r="C67" i="3"/>
  <c r="B67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B78" i="3"/>
  <c r="I63" i="3"/>
  <c r="H63" i="3"/>
  <c r="G63" i="3"/>
  <c r="F63" i="3"/>
  <c r="E63" i="3"/>
  <c r="D63" i="3"/>
  <c r="C63" i="3"/>
  <c r="B63" i="3"/>
  <c r="B79" i="3"/>
  <c r="I62" i="3"/>
  <c r="H62" i="3"/>
  <c r="G62" i="3"/>
  <c r="F62" i="3"/>
  <c r="E62" i="3"/>
  <c r="D62" i="3"/>
  <c r="C62" i="3"/>
  <c r="B62" i="3"/>
  <c r="B80" i="3"/>
  <c r="C80" i="3" s="1"/>
  <c r="I61" i="3"/>
  <c r="H61" i="3"/>
  <c r="G61" i="3"/>
  <c r="F61" i="3"/>
  <c r="E61" i="3"/>
  <c r="D61" i="3"/>
  <c r="C61" i="3"/>
  <c r="B61" i="3"/>
  <c r="B81" i="3"/>
  <c r="C81" i="3" s="1"/>
  <c r="I60" i="3"/>
  <c r="H60" i="3"/>
  <c r="G60" i="3"/>
  <c r="F60" i="3"/>
  <c r="E60" i="3"/>
  <c r="D60" i="3"/>
  <c r="C60" i="3"/>
  <c r="B60" i="3"/>
  <c r="B82" i="3"/>
  <c r="C82" i="3" s="1"/>
  <c r="I59" i="3"/>
  <c r="H59" i="3"/>
  <c r="G59" i="3"/>
  <c r="F59" i="3"/>
  <c r="E59" i="3"/>
  <c r="D59" i="3"/>
  <c r="C59" i="3"/>
  <c r="B59" i="3"/>
  <c r="B83" i="3"/>
  <c r="C83" i="3" s="1"/>
  <c r="I58" i="3"/>
  <c r="H58" i="3"/>
  <c r="G58" i="3"/>
  <c r="F58" i="3"/>
  <c r="E58" i="3"/>
  <c r="D58" i="3"/>
  <c r="C58" i="3"/>
  <c r="B58" i="3"/>
  <c r="B84" i="3"/>
  <c r="C84" i="3" s="1"/>
  <c r="I57" i="3"/>
  <c r="H57" i="3"/>
  <c r="G57" i="3"/>
  <c r="F57" i="3"/>
  <c r="E57" i="3"/>
  <c r="D57" i="3"/>
  <c r="C57" i="3"/>
  <c r="B57" i="3"/>
  <c r="C85" i="3"/>
  <c r="I56" i="3"/>
  <c r="H56" i="3"/>
  <c r="G56" i="3"/>
  <c r="F56" i="3"/>
  <c r="E56" i="3"/>
  <c r="D56" i="3"/>
  <c r="C56" i="3"/>
  <c r="B56" i="3"/>
  <c r="I50" i="3"/>
  <c r="H50" i="3"/>
  <c r="G50" i="3"/>
  <c r="F50" i="3"/>
  <c r="E50" i="3"/>
  <c r="D50" i="3"/>
  <c r="C50" i="3"/>
  <c r="B50" i="3"/>
  <c r="I49" i="3"/>
  <c r="H49" i="3"/>
  <c r="G49" i="3"/>
  <c r="F49" i="3"/>
  <c r="E49" i="3"/>
  <c r="D49" i="3"/>
  <c r="C49" i="3"/>
  <c r="B49" i="3"/>
  <c r="I48" i="3"/>
  <c r="H48" i="3"/>
  <c r="G48" i="3"/>
  <c r="F48" i="3"/>
  <c r="E48" i="3"/>
  <c r="D48" i="3"/>
  <c r="C48" i="3"/>
  <c r="B48" i="3"/>
  <c r="I47" i="3"/>
  <c r="H47" i="3"/>
  <c r="G47" i="3"/>
  <c r="F47" i="3"/>
  <c r="E47" i="3"/>
  <c r="D47" i="3"/>
  <c r="C47" i="3"/>
  <c r="B47" i="3"/>
  <c r="I46" i="3"/>
  <c r="H46" i="3"/>
  <c r="G46" i="3"/>
  <c r="F46" i="3"/>
  <c r="E46" i="3"/>
  <c r="D46" i="3"/>
  <c r="C46" i="3"/>
  <c r="B46" i="3"/>
  <c r="I45" i="3"/>
  <c r="H45" i="3"/>
  <c r="G45" i="3"/>
  <c r="F45" i="3"/>
  <c r="E45" i="3"/>
  <c r="D45" i="3"/>
  <c r="C45" i="3"/>
  <c r="B45" i="3"/>
  <c r="I44" i="3"/>
  <c r="H44" i="3"/>
  <c r="G44" i="3"/>
  <c r="F44" i="3"/>
  <c r="E44" i="3"/>
  <c r="D44" i="3"/>
  <c r="C44" i="3"/>
  <c r="B44" i="3"/>
  <c r="I43" i="3"/>
  <c r="H43" i="3"/>
  <c r="G43" i="3"/>
  <c r="F43" i="3"/>
  <c r="E43" i="3"/>
  <c r="D43" i="3"/>
  <c r="C43" i="3"/>
  <c r="B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M27" i="3"/>
  <c r="M19" i="5" s="1"/>
  <c r="K27" i="3"/>
  <c r="K19" i="5" s="1"/>
  <c r="J27" i="3"/>
  <c r="J19" i="5" s="1"/>
  <c r="I27" i="3"/>
  <c r="I19" i="5" s="1"/>
  <c r="H27" i="3"/>
  <c r="H19" i="5" s="1"/>
  <c r="V63" i="5" s="1"/>
  <c r="G27" i="3"/>
  <c r="G19" i="5" s="1"/>
  <c r="F27" i="3"/>
  <c r="F19" i="5" s="1"/>
  <c r="E27" i="3"/>
  <c r="E19" i="5" s="1"/>
  <c r="D27" i="3"/>
  <c r="D19" i="5" s="1"/>
  <c r="C27" i="3"/>
  <c r="C19" i="5" s="1"/>
  <c r="U63" i="5" s="1"/>
  <c r="B27" i="3"/>
  <c r="M26" i="3"/>
  <c r="M18" i="5" s="1"/>
  <c r="K26" i="3"/>
  <c r="K18" i="5" s="1"/>
  <c r="J26" i="3"/>
  <c r="J18" i="5" s="1"/>
  <c r="I26" i="3"/>
  <c r="I18" i="5" s="1"/>
  <c r="H26" i="3"/>
  <c r="H18" i="5" s="1"/>
  <c r="V62" i="5" s="1"/>
  <c r="G26" i="3"/>
  <c r="G18" i="5" s="1"/>
  <c r="F26" i="3"/>
  <c r="F18" i="5" s="1"/>
  <c r="E26" i="3"/>
  <c r="E18" i="5" s="1"/>
  <c r="D26" i="3"/>
  <c r="D18" i="5" s="1"/>
  <c r="C26" i="3"/>
  <c r="C18" i="5" s="1"/>
  <c r="U62" i="5" s="1"/>
  <c r="B26" i="3"/>
  <c r="M25" i="3"/>
  <c r="M17" i="5" s="1"/>
  <c r="K25" i="3"/>
  <c r="K17" i="5" s="1"/>
  <c r="J25" i="3"/>
  <c r="J17" i="5" s="1"/>
  <c r="I25" i="3"/>
  <c r="I17" i="5" s="1"/>
  <c r="H25" i="3"/>
  <c r="H17" i="5" s="1"/>
  <c r="V61" i="5" s="1"/>
  <c r="G25" i="3"/>
  <c r="G17" i="5" s="1"/>
  <c r="F25" i="3"/>
  <c r="F17" i="5" s="1"/>
  <c r="E25" i="3"/>
  <c r="E17" i="5" s="1"/>
  <c r="D25" i="3"/>
  <c r="D17" i="5" s="1"/>
  <c r="C25" i="3"/>
  <c r="C17" i="5" s="1"/>
  <c r="U61" i="5" s="1"/>
  <c r="B25" i="3"/>
  <c r="M24" i="3"/>
  <c r="M16" i="5" s="1"/>
  <c r="K24" i="3"/>
  <c r="K16" i="5" s="1"/>
  <c r="J24" i="3"/>
  <c r="J16" i="5" s="1"/>
  <c r="I24" i="3"/>
  <c r="I16" i="5" s="1"/>
  <c r="H24" i="3"/>
  <c r="H16" i="5" s="1"/>
  <c r="V60" i="5" s="1"/>
  <c r="G24" i="3"/>
  <c r="G16" i="5" s="1"/>
  <c r="F24" i="3"/>
  <c r="F16" i="5" s="1"/>
  <c r="E24" i="3"/>
  <c r="E16" i="5" s="1"/>
  <c r="D24" i="3"/>
  <c r="D16" i="5" s="1"/>
  <c r="C24" i="3"/>
  <c r="C16" i="5" s="1"/>
  <c r="U60" i="5" s="1"/>
  <c r="B24" i="3"/>
  <c r="M23" i="3"/>
  <c r="M15" i="5" s="1"/>
  <c r="K23" i="3"/>
  <c r="K15" i="5" s="1"/>
  <c r="J23" i="3"/>
  <c r="J15" i="5" s="1"/>
  <c r="I23" i="3"/>
  <c r="I15" i="5" s="1"/>
  <c r="H23" i="3"/>
  <c r="H15" i="5" s="1"/>
  <c r="V59" i="5" s="1"/>
  <c r="G23" i="3"/>
  <c r="G15" i="5" s="1"/>
  <c r="F23" i="3"/>
  <c r="F15" i="5" s="1"/>
  <c r="E23" i="3"/>
  <c r="E15" i="5" s="1"/>
  <c r="D23" i="3"/>
  <c r="D15" i="5" s="1"/>
  <c r="C23" i="3"/>
  <c r="C15" i="5" s="1"/>
  <c r="U59" i="5" s="1"/>
  <c r="B23" i="3"/>
  <c r="M22" i="3"/>
  <c r="M14" i="5" s="1"/>
  <c r="K22" i="3"/>
  <c r="K14" i="5" s="1"/>
  <c r="J22" i="3"/>
  <c r="J14" i="5" s="1"/>
  <c r="I22" i="3"/>
  <c r="I14" i="5" s="1"/>
  <c r="H22" i="3"/>
  <c r="H14" i="5" s="1"/>
  <c r="V58" i="5" s="1"/>
  <c r="G22" i="3"/>
  <c r="G14" i="5" s="1"/>
  <c r="F22" i="3"/>
  <c r="F14" i="5" s="1"/>
  <c r="E22" i="3"/>
  <c r="E14" i="5" s="1"/>
  <c r="D22" i="3"/>
  <c r="D14" i="5" s="1"/>
  <c r="C22" i="3"/>
  <c r="C14" i="5" s="1"/>
  <c r="U58" i="5" s="1"/>
  <c r="B22" i="3"/>
  <c r="M21" i="3"/>
  <c r="M13" i="5" s="1"/>
  <c r="K21" i="3"/>
  <c r="K13" i="5" s="1"/>
  <c r="J21" i="3"/>
  <c r="J13" i="5" s="1"/>
  <c r="I21" i="3"/>
  <c r="I13" i="5" s="1"/>
  <c r="H21" i="3"/>
  <c r="H13" i="5" s="1"/>
  <c r="V57" i="5" s="1"/>
  <c r="G21" i="3"/>
  <c r="G13" i="5" s="1"/>
  <c r="F21" i="3"/>
  <c r="F13" i="5" s="1"/>
  <c r="E21" i="3"/>
  <c r="E13" i="5" s="1"/>
  <c r="D21" i="3"/>
  <c r="D13" i="5" s="1"/>
  <c r="C21" i="3"/>
  <c r="C13" i="5" s="1"/>
  <c r="U57" i="5" s="1"/>
  <c r="B21" i="3"/>
  <c r="M20" i="3"/>
  <c r="M12" i="5" s="1"/>
  <c r="K20" i="3"/>
  <c r="K12" i="5" s="1"/>
  <c r="J20" i="3"/>
  <c r="J12" i="5" s="1"/>
  <c r="I20" i="3"/>
  <c r="I12" i="5" s="1"/>
  <c r="H20" i="3"/>
  <c r="H12" i="5" s="1"/>
  <c r="V56" i="5" s="1"/>
  <c r="G20" i="3"/>
  <c r="G12" i="5" s="1"/>
  <c r="F20" i="3"/>
  <c r="F12" i="5" s="1"/>
  <c r="E20" i="3"/>
  <c r="E12" i="5" s="1"/>
  <c r="D20" i="3"/>
  <c r="D12" i="5" s="1"/>
  <c r="C20" i="3"/>
  <c r="C12" i="5" s="1"/>
  <c r="U56" i="5" s="1"/>
  <c r="B20" i="3"/>
  <c r="M19" i="3"/>
  <c r="M11" i="5" s="1"/>
  <c r="K19" i="3"/>
  <c r="K11" i="5" s="1"/>
  <c r="J19" i="3"/>
  <c r="J11" i="5" s="1"/>
  <c r="I19" i="3"/>
  <c r="I11" i="5" s="1"/>
  <c r="H19" i="3"/>
  <c r="H11" i="5" s="1"/>
  <c r="V55" i="5" s="1"/>
  <c r="G19" i="3"/>
  <c r="G11" i="5" s="1"/>
  <c r="F19" i="3"/>
  <c r="F11" i="5" s="1"/>
  <c r="E19" i="3"/>
  <c r="E11" i="5" s="1"/>
  <c r="D19" i="3"/>
  <c r="D11" i="5" s="1"/>
  <c r="C19" i="3"/>
  <c r="C11" i="5" s="1"/>
  <c r="U55" i="5" s="1"/>
  <c r="B19" i="3"/>
  <c r="M18" i="3"/>
  <c r="M10" i="5" s="1"/>
  <c r="K18" i="3"/>
  <c r="K10" i="5" s="1"/>
  <c r="J18" i="3"/>
  <c r="J10" i="5" s="1"/>
  <c r="I18" i="3"/>
  <c r="I10" i="5" s="1"/>
  <c r="H18" i="3"/>
  <c r="H10" i="5" s="1"/>
  <c r="V54" i="5" s="1"/>
  <c r="G18" i="3"/>
  <c r="G10" i="5" s="1"/>
  <c r="F18" i="3"/>
  <c r="F10" i="5" s="1"/>
  <c r="E18" i="3"/>
  <c r="E10" i="5" s="1"/>
  <c r="D18" i="3"/>
  <c r="D10" i="5" s="1"/>
  <c r="C18" i="3"/>
  <c r="C10" i="5" s="1"/>
  <c r="U54" i="5" s="1"/>
  <c r="B18" i="3"/>
  <c r="M17" i="3"/>
  <c r="M9" i="5" s="1"/>
  <c r="K17" i="3"/>
  <c r="K9" i="5" s="1"/>
  <c r="J17" i="3"/>
  <c r="J9" i="5" s="1"/>
  <c r="I17" i="3"/>
  <c r="I9" i="5" s="1"/>
  <c r="H17" i="3"/>
  <c r="H9" i="5" s="1"/>
  <c r="V53" i="5" s="1"/>
  <c r="G17" i="3"/>
  <c r="G9" i="5" s="1"/>
  <c r="F17" i="3"/>
  <c r="F9" i="5" s="1"/>
  <c r="E17" i="3"/>
  <c r="E9" i="5" s="1"/>
  <c r="D17" i="3"/>
  <c r="D9" i="5" s="1"/>
  <c r="C17" i="3"/>
  <c r="C9" i="5" s="1"/>
  <c r="U53" i="5" s="1"/>
  <c r="B17" i="3"/>
  <c r="M16" i="3"/>
  <c r="M8" i="5" s="1"/>
  <c r="K16" i="3"/>
  <c r="K8" i="5" s="1"/>
  <c r="J16" i="3"/>
  <c r="J8" i="5" s="1"/>
  <c r="I16" i="3"/>
  <c r="I8" i="5" s="1"/>
  <c r="H16" i="3"/>
  <c r="H8" i="5" s="1"/>
  <c r="V52" i="5" s="1"/>
  <c r="G16" i="3"/>
  <c r="G8" i="5" s="1"/>
  <c r="F16" i="3"/>
  <c r="F8" i="5" s="1"/>
  <c r="E16" i="3"/>
  <c r="E8" i="5" s="1"/>
  <c r="D16" i="3"/>
  <c r="D8" i="5" s="1"/>
  <c r="C16" i="3"/>
  <c r="C8" i="5" s="1"/>
  <c r="U52" i="5" s="1"/>
  <c r="B16" i="3"/>
  <c r="M15" i="3"/>
  <c r="M7" i="5" s="1"/>
  <c r="K15" i="3"/>
  <c r="K7" i="5" s="1"/>
  <c r="J15" i="3"/>
  <c r="J7" i="5" s="1"/>
  <c r="I15" i="3"/>
  <c r="I7" i="5" s="1"/>
  <c r="H15" i="3"/>
  <c r="H7" i="5" s="1"/>
  <c r="V51" i="5" s="1"/>
  <c r="G15" i="3"/>
  <c r="G7" i="5" s="1"/>
  <c r="F15" i="3"/>
  <c r="F7" i="5" s="1"/>
  <c r="E15" i="3"/>
  <c r="E7" i="5" s="1"/>
  <c r="D15" i="3"/>
  <c r="D7" i="5" s="1"/>
  <c r="C15" i="3"/>
  <c r="C7" i="5" s="1"/>
  <c r="U51" i="5" s="1"/>
  <c r="B15" i="3"/>
  <c r="M14" i="3"/>
  <c r="M6" i="5" s="1"/>
  <c r="K14" i="3"/>
  <c r="K6" i="5" s="1"/>
  <c r="J14" i="3"/>
  <c r="J6" i="5" s="1"/>
  <c r="I14" i="3"/>
  <c r="I6" i="5" s="1"/>
  <c r="H14" i="3"/>
  <c r="H6" i="5" s="1"/>
  <c r="V50" i="5" s="1"/>
  <c r="G14" i="3"/>
  <c r="G6" i="5" s="1"/>
  <c r="F14" i="3"/>
  <c r="F6" i="5" s="1"/>
  <c r="E14" i="3"/>
  <c r="E6" i="5" s="1"/>
  <c r="D14" i="3"/>
  <c r="D6" i="5" s="1"/>
  <c r="C14" i="3"/>
  <c r="C6" i="5" s="1"/>
  <c r="U50" i="5" s="1"/>
  <c r="B14" i="3"/>
  <c r="M13" i="3"/>
  <c r="M5" i="5" s="1"/>
  <c r="K13" i="3"/>
  <c r="K5" i="5" s="1"/>
  <c r="J13" i="3"/>
  <c r="J5" i="5" s="1"/>
  <c r="I13" i="3"/>
  <c r="I5" i="5" s="1"/>
  <c r="H13" i="3"/>
  <c r="H5" i="5" s="1"/>
  <c r="V49" i="5" s="1"/>
  <c r="G13" i="3"/>
  <c r="G5" i="5" s="1"/>
  <c r="F13" i="3"/>
  <c r="F5" i="5" s="1"/>
  <c r="E13" i="3"/>
  <c r="E5" i="5" s="1"/>
  <c r="D13" i="3"/>
  <c r="D5" i="5" s="1"/>
  <c r="C13" i="3"/>
  <c r="C5" i="5" s="1"/>
  <c r="U49" i="5" s="1"/>
  <c r="B13" i="3"/>
  <c r="M12" i="3"/>
  <c r="M4" i="5" s="1"/>
  <c r="K12" i="3"/>
  <c r="K4" i="5" s="1"/>
  <c r="J12" i="3"/>
  <c r="J4" i="5" s="1"/>
  <c r="I12" i="3"/>
  <c r="I4" i="5" s="1"/>
  <c r="H12" i="3"/>
  <c r="H4" i="5" s="1"/>
  <c r="V48" i="5" s="1"/>
  <c r="G12" i="3"/>
  <c r="G4" i="5" s="1"/>
  <c r="F12" i="3"/>
  <c r="F4" i="5" s="1"/>
  <c r="E12" i="3"/>
  <c r="E4" i="5" s="1"/>
  <c r="D12" i="3"/>
  <c r="D4" i="5" s="1"/>
  <c r="C12" i="3"/>
  <c r="C4" i="5" s="1"/>
  <c r="U48" i="5" s="1"/>
  <c r="B12" i="3"/>
  <c r="M11" i="3"/>
  <c r="M3" i="5" s="1"/>
  <c r="K11" i="3"/>
  <c r="K3" i="5" s="1"/>
  <c r="J11" i="3"/>
  <c r="J3" i="5" s="1"/>
  <c r="I11" i="3"/>
  <c r="I3" i="5" s="1"/>
  <c r="H11" i="3"/>
  <c r="G11" i="3"/>
  <c r="G3" i="5" s="1"/>
  <c r="F11" i="3"/>
  <c r="F3" i="5" s="1"/>
  <c r="E11" i="3"/>
  <c r="E3" i="5" s="1"/>
  <c r="D11" i="3"/>
  <c r="D3" i="5" s="1"/>
  <c r="C11" i="3"/>
  <c r="C3" i="5" s="1"/>
  <c r="U47" i="5" s="1"/>
  <c r="B11" i="3"/>
  <c r="K10" i="3"/>
  <c r="K2" i="5" s="1"/>
  <c r="J10" i="3"/>
  <c r="I10" i="3"/>
  <c r="I2" i="5" s="1"/>
  <c r="H10" i="3"/>
  <c r="H2" i="5" s="1"/>
  <c r="V46" i="5" s="1"/>
  <c r="G10" i="3"/>
  <c r="G2" i="5" s="1"/>
  <c r="F10" i="3"/>
  <c r="F2" i="5" s="1"/>
  <c r="E10" i="3"/>
  <c r="E2" i="5" s="1"/>
  <c r="D10" i="3"/>
  <c r="D2" i="5" s="1"/>
  <c r="C10" i="3"/>
  <c r="C2" i="5" s="1"/>
  <c r="U46" i="5" s="1"/>
  <c r="B10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B5" i="3"/>
  <c r="B4" i="3"/>
  <c r="C78" i="3"/>
  <c r="C79" i="3"/>
  <c r="C87" i="3" l="1"/>
  <c r="B87" i="3"/>
  <c r="M10" i="3"/>
  <c r="M2" i="5" s="1"/>
  <c r="B5" i="5"/>
  <c r="T49" i="5" s="1"/>
  <c r="N13" i="3"/>
  <c r="N5" i="5" s="1"/>
  <c r="B13" i="5"/>
  <c r="T57" i="5" s="1"/>
  <c r="N21" i="3"/>
  <c r="N13" i="5" s="1"/>
  <c r="B18" i="5"/>
  <c r="T62" i="5" s="1"/>
  <c r="N26" i="3"/>
  <c r="N18" i="5" s="1"/>
  <c r="B8" i="5"/>
  <c r="T52" i="5" s="1"/>
  <c r="N16" i="3"/>
  <c r="N8" i="5" s="1"/>
  <c r="B16" i="5"/>
  <c r="T60" i="5" s="1"/>
  <c r="N24" i="3"/>
  <c r="N16" i="5" s="1"/>
  <c r="B10" i="5"/>
  <c r="T54" i="5" s="1"/>
  <c r="N18" i="3"/>
  <c r="N10" i="5" s="1"/>
  <c r="B3" i="5"/>
  <c r="T47" i="5" s="1"/>
  <c r="N11" i="3"/>
  <c r="N3" i="5" s="1"/>
  <c r="B11" i="5"/>
  <c r="T55" i="5" s="1"/>
  <c r="N19" i="3"/>
  <c r="N11" i="5" s="1"/>
  <c r="B19" i="5"/>
  <c r="T63" i="5" s="1"/>
  <c r="N27" i="3"/>
  <c r="N19" i="5" s="1"/>
  <c r="B6" i="5"/>
  <c r="T50" i="5" s="1"/>
  <c r="N14" i="3"/>
  <c r="N6" i="5" s="1"/>
  <c r="B14" i="5"/>
  <c r="T58" i="5" s="1"/>
  <c r="N22" i="3"/>
  <c r="N14" i="5" s="1"/>
  <c r="B9" i="5"/>
  <c r="T53" i="5" s="1"/>
  <c r="N17" i="3"/>
  <c r="N9" i="5" s="1"/>
  <c r="B17" i="5"/>
  <c r="T61" i="5" s="1"/>
  <c r="N25" i="3"/>
  <c r="N17" i="5" s="1"/>
  <c r="B4" i="5"/>
  <c r="T48" i="5" s="1"/>
  <c r="N12" i="3"/>
  <c r="N4" i="5" s="1"/>
  <c r="B12" i="5"/>
  <c r="T56" i="5" s="1"/>
  <c r="N20" i="3"/>
  <c r="N12" i="5" s="1"/>
  <c r="B7" i="5"/>
  <c r="T51" i="5" s="1"/>
  <c r="N15" i="3"/>
  <c r="N7" i="5" s="1"/>
  <c r="B15" i="5"/>
  <c r="T59" i="5" s="1"/>
  <c r="N23" i="3"/>
  <c r="N15" i="5" s="1"/>
  <c r="J33" i="3"/>
  <c r="J34" i="3"/>
  <c r="I51" i="3"/>
  <c r="H51" i="3"/>
  <c r="J40" i="3"/>
  <c r="J41" i="3"/>
  <c r="J42" i="3"/>
  <c r="J46" i="3"/>
  <c r="J48" i="3"/>
  <c r="J49" i="3"/>
  <c r="J50" i="3"/>
  <c r="B74" i="3"/>
  <c r="H74" i="3"/>
  <c r="F51" i="3"/>
  <c r="E51" i="3"/>
  <c r="J36" i="3"/>
  <c r="J37" i="3"/>
  <c r="J38" i="3"/>
  <c r="J39" i="3"/>
  <c r="G51" i="3"/>
  <c r="J43" i="3"/>
  <c r="J44" i="3"/>
  <c r="J45" i="3"/>
  <c r="J47" i="3"/>
  <c r="D51" i="3"/>
  <c r="C51" i="3"/>
  <c r="K58" i="3"/>
  <c r="K62" i="3"/>
  <c r="K57" i="3"/>
  <c r="K61" i="3"/>
  <c r="K59" i="3"/>
  <c r="K63" i="3"/>
  <c r="K56" i="3"/>
  <c r="K60" i="3"/>
  <c r="K64" i="3"/>
  <c r="K65" i="3"/>
  <c r="K66" i="3"/>
  <c r="K67" i="3"/>
  <c r="K68" i="3"/>
  <c r="K69" i="3"/>
  <c r="K70" i="3"/>
  <c r="K71" i="3"/>
  <c r="K72" i="3"/>
  <c r="K73" i="3"/>
  <c r="C28" i="3"/>
  <c r="C20" i="5" s="1"/>
  <c r="D28" i="3"/>
  <c r="D20" i="5" s="1"/>
  <c r="C74" i="3"/>
  <c r="G28" i="3"/>
  <c r="G20" i="5" s="1"/>
  <c r="K28" i="3"/>
  <c r="K20" i="5" s="1"/>
  <c r="D74" i="3"/>
  <c r="E74" i="3"/>
  <c r="F28" i="3"/>
  <c r="F20" i="5" s="1"/>
  <c r="I28" i="3"/>
  <c r="I20" i="5" s="1"/>
  <c r="F74" i="3"/>
  <c r="J28" i="3"/>
  <c r="J20" i="5" s="1"/>
  <c r="H28" i="3"/>
  <c r="H20" i="5" s="1"/>
  <c r="I74" i="3"/>
  <c r="G74" i="3"/>
  <c r="W52" i="5"/>
  <c r="W58" i="5"/>
  <c r="W54" i="5"/>
  <c r="W47" i="5"/>
  <c r="W49" i="5"/>
  <c r="W55" i="5"/>
  <c r="W57" i="5"/>
  <c r="W51" i="5"/>
  <c r="W59" i="5"/>
  <c r="W61" i="5"/>
  <c r="E28" i="3"/>
  <c r="E20" i="5" s="1"/>
  <c r="B2" i="5"/>
  <c r="T46" i="5" s="1"/>
  <c r="J2" i="5"/>
  <c r="D197" i="3"/>
  <c r="C197" i="3"/>
  <c r="H3" i="5"/>
  <c r="V47" i="5" s="1"/>
  <c r="W48" i="5"/>
  <c r="W50" i="5"/>
  <c r="W53" i="5"/>
  <c r="W56" i="5"/>
  <c r="W60" i="5"/>
  <c r="W63" i="5"/>
  <c r="W62" i="5"/>
  <c r="B28" i="3"/>
  <c r="B51" i="3"/>
  <c r="J35" i="3"/>
  <c r="H49" i="5" l="1"/>
  <c r="W46" i="5"/>
  <c r="M28" i="3"/>
  <c r="M20" i="5" s="1"/>
  <c r="N10" i="3"/>
  <c r="N2" i="5" s="1"/>
  <c r="B20" i="5"/>
  <c r="H47" i="5" s="1"/>
  <c r="J51" i="3"/>
  <c r="D87" i="3"/>
  <c r="D86" i="3"/>
  <c r="K74" i="3"/>
  <c r="H48" i="5"/>
  <c r="D79" i="3"/>
  <c r="D80" i="3"/>
  <c r="D82" i="3"/>
  <c r="D85" i="3"/>
  <c r="D83" i="3"/>
  <c r="D78" i="3"/>
  <c r="D84" i="3"/>
  <c r="D81" i="3"/>
  <c r="H50" i="5" l="1"/>
  <c r="N28" i="3"/>
  <c r="N20" i="5" s="1"/>
  <c r="M21" i="5" s="1"/>
  <c r="L21" i="5" l="1"/>
  <c r="E21" i="5"/>
  <c r="C21" i="5"/>
  <c r="J21" i="5"/>
  <c r="I21" i="5"/>
  <c r="H21" i="5"/>
  <c r="K21" i="5"/>
  <c r="F21" i="5"/>
  <c r="D21" i="5"/>
  <c r="G21" i="5"/>
  <c r="B21" i="5"/>
</calcChain>
</file>

<file path=xl/sharedStrings.xml><?xml version="1.0" encoding="utf-8"?>
<sst xmlns="http://schemas.openxmlformats.org/spreadsheetml/2006/main" count="12614" uniqueCount="5933">
  <si>
    <t>Location of Displacement</t>
  </si>
  <si>
    <t>Shelter type</t>
  </si>
  <si>
    <t>Period of displacement</t>
  </si>
  <si>
    <t>Link for Map</t>
  </si>
  <si>
    <t>Place id</t>
  </si>
  <si>
    <t>Governorate</t>
  </si>
  <si>
    <t>District</t>
  </si>
  <si>
    <t>Location name
in English</t>
  </si>
  <si>
    <t xml:space="preserve">Location name
in Arabic </t>
  </si>
  <si>
    <t>Latitude</t>
  </si>
  <si>
    <t>Longitude</t>
  </si>
  <si>
    <t>Individuals</t>
  </si>
  <si>
    <t>Anbar</t>
  </si>
  <si>
    <t>Babylon</t>
  </si>
  <si>
    <t>Baghdad</t>
  </si>
  <si>
    <t>Basrah</t>
  </si>
  <si>
    <t>Dahuk</t>
  </si>
  <si>
    <t>Diyala</t>
  </si>
  <si>
    <t>Erbil</t>
  </si>
  <si>
    <t>Kerbala</t>
  </si>
  <si>
    <t>Kirkuk</t>
  </si>
  <si>
    <t>Missan</t>
  </si>
  <si>
    <t>Muthanna</t>
  </si>
  <si>
    <t>Najaf</t>
  </si>
  <si>
    <t>Ninewa</t>
  </si>
  <si>
    <t>Qadissiya</t>
  </si>
  <si>
    <t>Salah al-Din</t>
  </si>
  <si>
    <t>Sulaymaniyah</t>
  </si>
  <si>
    <t>Thi-Qar</t>
  </si>
  <si>
    <t>Wassit</t>
  </si>
  <si>
    <t>Camp</t>
  </si>
  <si>
    <t>Host families</t>
  </si>
  <si>
    <t>Hotel/Motel or short-term rental</t>
  </si>
  <si>
    <t>Informal settlements</t>
  </si>
  <si>
    <t>Other shelter type</t>
  </si>
  <si>
    <t>Religious building</t>
  </si>
  <si>
    <t>Rental (Habitable)</t>
  </si>
  <si>
    <t>Rental(Uninhabitable)</t>
  </si>
  <si>
    <t>School building</t>
  </si>
  <si>
    <t>Unfinished/Abandoned building</t>
  </si>
  <si>
    <t>Unknown shelter type</t>
  </si>
  <si>
    <t xml:space="preserve">Pre-June14 </t>
  </si>
  <si>
    <t xml:space="preserve">June-July14 </t>
  </si>
  <si>
    <t>August14</t>
  </si>
  <si>
    <t xml:space="preserve">Post September14 </t>
  </si>
  <si>
    <t xml:space="preserve">Post April15 </t>
  </si>
  <si>
    <t>Post March16</t>
  </si>
  <si>
    <t>Post 17 October16</t>
  </si>
  <si>
    <t>July 17</t>
  </si>
  <si>
    <t>Open Street Map</t>
  </si>
  <si>
    <t>Google Map</t>
  </si>
  <si>
    <t>Bing Map</t>
  </si>
  <si>
    <t>Al-Ka'im</t>
  </si>
  <si>
    <t>Al-Rutba</t>
  </si>
  <si>
    <t>Al Askaree</t>
  </si>
  <si>
    <t>حي العسكري</t>
  </si>
  <si>
    <t>Al Haara</t>
  </si>
  <si>
    <t>حي الحارة</t>
  </si>
  <si>
    <t>Al Wadi</t>
  </si>
  <si>
    <t>حي الوادي</t>
  </si>
  <si>
    <t>Antesar</t>
  </si>
  <si>
    <t>حي الانتصار</t>
  </si>
  <si>
    <t>Hay Al Meethagh</t>
  </si>
  <si>
    <t>حي الميثاق</t>
  </si>
  <si>
    <t>Hay Al-Matar</t>
  </si>
  <si>
    <t>حي المطار</t>
  </si>
  <si>
    <t>Ana</t>
  </si>
  <si>
    <t>Al Tadamon</t>
  </si>
  <si>
    <t>حي التضامن</t>
  </si>
  <si>
    <t>Hay Al Nasir</t>
  </si>
  <si>
    <t>حي النصر</t>
  </si>
  <si>
    <t>Hay Al Qadissiyah</t>
  </si>
  <si>
    <t>حي القادسية</t>
  </si>
  <si>
    <t>Hay Al Salam</t>
  </si>
  <si>
    <t>حي السلام</t>
  </si>
  <si>
    <t>Rayhana</t>
  </si>
  <si>
    <t>مجمع الريحانه</t>
  </si>
  <si>
    <t>Falluja</t>
  </si>
  <si>
    <t>Al Amiriyah</t>
  </si>
  <si>
    <t xml:space="preserve">العامرية </t>
  </si>
  <si>
    <t>Al-Amirya-Al Betra</t>
  </si>
  <si>
    <t>البترا</t>
  </si>
  <si>
    <t>Al-Amirya-Al Hmedin</t>
  </si>
  <si>
    <t>الحميدين</t>
  </si>
  <si>
    <t>Al-Amirya-Al Mouilha</t>
  </si>
  <si>
    <t>المويلحة</t>
  </si>
  <si>
    <t>Al-Amirya-Albu Jaber</t>
  </si>
  <si>
    <t>البوجابر</t>
  </si>
  <si>
    <t>Al-Amirya-Albu Jasim</t>
  </si>
  <si>
    <t>البوجاسم</t>
  </si>
  <si>
    <t>Al-Amirya-Albu Jwad</t>
  </si>
  <si>
    <t>البوجواد</t>
  </si>
  <si>
    <t>Al-Amirya-Albu Saleh</t>
  </si>
  <si>
    <t>البوصالح</t>
  </si>
  <si>
    <t>Al-Amirya-Albu Salman</t>
  </si>
  <si>
    <t>البوسليمان</t>
  </si>
  <si>
    <t>Al-Amirya-Tal Ghatas</t>
  </si>
  <si>
    <t>تل غطاس</t>
  </si>
  <si>
    <t>Al-Ekhaa Compaund</t>
  </si>
  <si>
    <t>مجمع الاخاء السكني</t>
  </si>
  <si>
    <t>Al-Huraimat</t>
  </si>
  <si>
    <t xml:space="preserve">الهريمات </t>
  </si>
  <si>
    <t>Albu Dhaher-Albu Dhaher</t>
  </si>
  <si>
    <t>البوظاهر</t>
  </si>
  <si>
    <t>Albu Hori</t>
  </si>
  <si>
    <t>البوحوري</t>
  </si>
  <si>
    <t>Amriyat Al-Fallujah Camp</t>
  </si>
  <si>
    <t>مخيم عامرية الفلوجة</t>
  </si>
  <si>
    <t>Habbaniya Tourist City camp</t>
  </si>
  <si>
    <t>مخيم المدينة السياحية الحبانية</t>
  </si>
  <si>
    <t>Haditha</t>
  </si>
  <si>
    <t>Haqlaniyah-Hay Al-Faroq</t>
  </si>
  <si>
    <t>حي الفاروق-حقلانية</t>
  </si>
  <si>
    <t>Hay Al Haqlaniyah Qadim</t>
  </si>
  <si>
    <t>حي حقلانية القديمة</t>
  </si>
  <si>
    <t>Hay Al Saray</t>
  </si>
  <si>
    <t>حي السراي</t>
  </si>
  <si>
    <t>Hay Al Shurta</t>
  </si>
  <si>
    <t>حي الشرطة</t>
  </si>
  <si>
    <t>Hay Al Yarmuk</t>
  </si>
  <si>
    <t>حي اليرموك</t>
  </si>
  <si>
    <t>Hay Al-Mulameen</t>
  </si>
  <si>
    <t>حي المعلمين</t>
  </si>
  <si>
    <t>Hay Al-Subhani</t>
  </si>
  <si>
    <t>حي السبحاني</t>
  </si>
  <si>
    <t>Hay Al-Thamaniya</t>
  </si>
  <si>
    <t>حي الثمانية</t>
  </si>
  <si>
    <t>Heet</t>
  </si>
  <si>
    <t>Al Muhamdee</t>
  </si>
  <si>
    <t xml:space="preserve">المحمدي </t>
  </si>
  <si>
    <t>Al-Mamora</t>
  </si>
  <si>
    <t>المعمورة</t>
  </si>
  <si>
    <t>Al-Mujama Al-Sakani</t>
  </si>
  <si>
    <t>الحي السكني</t>
  </si>
  <si>
    <t>Al-Qalqalah</t>
  </si>
  <si>
    <t xml:space="preserve">القلقة </t>
  </si>
  <si>
    <t>Al-Ummal</t>
  </si>
  <si>
    <t xml:space="preserve">العمال </t>
  </si>
  <si>
    <t>Hay al Jury</t>
  </si>
  <si>
    <t>الجري</t>
  </si>
  <si>
    <t>Hay Al-Etfaa</t>
  </si>
  <si>
    <t>حي الاطفاء</t>
  </si>
  <si>
    <t>Hay Al-Jabal</t>
  </si>
  <si>
    <t xml:space="preserve">الجبل </t>
  </si>
  <si>
    <t>Hay Al-Qadisiyah</t>
  </si>
  <si>
    <t>القادسية</t>
  </si>
  <si>
    <t>Hay Al-Zuhoor</t>
  </si>
  <si>
    <t>حي الزهور</t>
  </si>
  <si>
    <t>Ra'ua</t>
  </si>
  <si>
    <t>Ramadi</t>
  </si>
  <si>
    <t>5 Kilo</t>
  </si>
  <si>
    <t>الخمسة كيلو</t>
  </si>
  <si>
    <t>7 Killo-al-mojamaa al-sakany</t>
  </si>
  <si>
    <t>السبعة كيلو-المجمع السكني</t>
  </si>
  <si>
    <t>Abu Fless</t>
  </si>
  <si>
    <t>Al Khulafaa</t>
  </si>
  <si>
    <t>الخلفاء</t>
  </si>
  <si>
    <t>Al Sofeya</t>
  </si>
  <si>
    <t>الصوفية</t>
  </si>
  <si>
    <t>Al Urobah</t>
  </si>
  <si>
    <t>العروبة</t>
  </si>
  <si>
    <t>Al-Jeraishi</t>
  </si>
  <si>
    <t>الجرايشي</t>
  </si>
  <si>
    <t>Hay Al-Madani</t>
  </si>
  <si>
    <t xml:space="preserve">الحي المدني </t>
  </si>
  <si>
    <t>Hay Al-Salam</t>
  </si>
  <si>
    <t>السلام</t>
  </si>
  <si>
    <t>Hay Al-Umal</t>
  </si>
  <si>
    <t xml:space="preserve">حي العمال </t>
  </si>
  <si>
    <t>Qadisiya-1</t>
  </si>
  <si>
    <t>القادسية الاولى</t>
  </si>
  <si>
    <t>Sin Al-Thubban</t>
  </si>
  <si>
    <t>سن الذبان</t>
  </si>
  <si>
    <t>Warar</t>
  </si>
  <si>
    <t>الورار</t>
  </si>
  <si>
    <t>Zoyaha Al-Thuban</t>
  </si>
  <si>
    <t>زوية الذبان</t>
  </si>
  <si>
    <t>Al-Mahawil</t>
  </si>
  <si>
    <t>Abu Sudairah</t>
  </si>
  <si>
    <t>ابو سديره</t>
  </si>
  <si>
    <t>Al Mansoory</t>
  </si>
  <si>
    <t>المنصوري</t>
  </si>
  <si>
    <t>Al Qasabah Al Kadimah</t>
  </si>
  <si>
    <t>Al Rashayed</t>
  </si>
  <si>
    <t>الرشايد</t>
  </si>
  <si>
    <t>Al-Jadrjy</t>
  </si>
  <si>
    <t>الجادرجي</t>
  </si>
  <si>
    <t>Al-Jazra</t>
  </si>
  <si>
    <t>الجزرا</t>
  </si>
  <si>
    <t>Al-lubat</t>
  </si>
  <si>
    <t>اللوبات</t>
  </si>
  <si>
    <t>Al-Mahawil-Hay Al-Mashtal</t>
  </si>
  <si>
    <t>حي المشتل</t>
  </si>
  <si>
    <t>Alazawea</t>
  </si>
  <si>
    <t>العزاويه</t>
  </si>
  <si>
    <t>Albada-hay Alaskari</t>
  </si>
  <si>
    <t>البدع-حي العسكري</t>
  </si>
  <si>
    <t>Btt Merry</t>
  </si>
  <si>
    <t>بتت ميري</t>
  </si>
  <si>
    <t>Btt Wahby</t>
  </si>
  <si>
    <t>بتت وهبي</t>
  </si>
  <si>
    <t>Findhiya</t>
  </si>
  <si>
    <t>الفنديه</t>
  </si>
  <si>
    <t>Hay Al Farook</t>
  </si>
  <si>
    <t>حي الفاروق</t>
  </si>
  <si>
    <t>Hay Al Rasool</t>
  </si>
  <si>
    <t>حي الرسول</t>
  </si>
  <si>
    <t>Hay Al Shuhadaa</t>
  </si>
  <si>
    <t>حي الشهداء</t>
  </si>
  <si>
    <t>Hay Al Zahraa</t>
  </si>
  <si>
    <t>حي الزهراء-المركز-</t>
  </si>
  <si>
    <t>Hay Al-Ameer-Al Niel</t>
  </si>
  <si>
    <t>حي الامير-النيل</t>
  </si>
  <si>
    <t>Hay Al-Askari</t>
  </si>
  <si>
    <t xml:space="preserve">حي العسكري </t>
  </si>
  <si>
    <t>Hay Al-Intisar</t>
  </si>
  <si>
    <t>Hay Al-Jamhoreiah</t>
  </si>
  <si>
    <t>حي الجمهوري</t>
  </si>
  <si>
    <t>Hay Al-Karama</t>
  </si>
  <si>
    <t>حي الكرامة</t>
  </si>
  <si>
    <t>Hay Al-Murtadha</t>
  </si>
  <si>
    <t>حي المرتضى</t>
  </si>
  <si>
    <t>Hay Al-Neil</t>
  </si>
  <si>
    <t>حي النيل</t>
  </si>
  <si>
    <t>Hay Al-Noor</t>
  </si>
  <si>
    <t>حي النور</t>
  </si>
  <si>
    <t>Al-Musayab</t>
  </si>
  <si>
    <t>Abo Luka</t>
  </si>
  <si>
    <t>ناحيه الاسكندريه-ابولوكه</t>
  </si>
  <si>
    <t>Al Abtan</t>
  </si>
  <si>
    <t>ال عبطان</t>
  </si>
  <si>
    <t>Al Gelawia</t>
  </si>
  <si>
    <t>الجيلاوية</t>
  </si>
  <si>
    <t>Al Ghadeer 2</t>
  </si>
  <si>
    <t>الغدير 2</t>
  </si>
  <si>
    <t>Al Hamiyah Al Amer Village</t>
  </si>
  <si>
    <t>الحامية-قرية ال عامر</t>
  </si>
  <si>
    <t>Al Hamiyah Al Sheab Village</t>
  </si>
  <si>
    <t>الحامية-قرية ال شهاب</t>
  </si>
  <si>
    <t>Al Hamiyah-Al Mutaqedin 1</t>
  </si>
  <si>
    <t>الحامية-المتقاعدين 1</t>
  </si>
  <si>
    <t>Al Hamiyah-Al Mutaqedin 2</t>
  </si>
  <si>
    <t>الحامية-المتقاعدين 2</t>
  </si>
  <si>
    <t>Al Hamiyah-Oayef village</t>
  </si>
  <si>
    <t>الحامية-قرية عويف</t>
  </si>
  <si>
    <t>Al Iskandariyah Area-Mowelha</t>
  </si>
  <si>
    <t>ناحية الاسكندرية-مويلحة</t>
  </si>
  <si>
    <t>القصبه القديمه</t>
  </si>
  <si>
    <t>Al Qasabah Al Kadimah-Al-Iskandaria-</t>
  </si>
  <si>
    <t>القصبه القديمه-الاسكندرية-</t>
  </si>
  <si>
    <t>Al-Iskandaria-Hay Al-Muthana</t>
  </si>
  <si>
    <t>حي المثنى</t>
  </si>
  <si>
    <t>Al-Iskandaria-Shawara AlKhudhir</t>
  </si>
  <si>
    <t>شوارع الخضر</t>
  </si>
  <si>
    <t>Al-Jazirah-Al Eskandariya</t>
  </si>
  <si>
    <t>ناحيه الاسكندريه-الجزيره</t>
  </si>
  <si>
    <t>Al-Shoyokh</t>
  </si>
  <si>
    <t>الشيوخ</t>
  </si>
  <si>
    <t>Al-Sikak 2</t>
  </si>
  <si>
    <t>السكك-2</t>
  </si>
  <si>
    <t>Albo Hamdan</t>
  </si>
  <si>
    <t>البو حمدان</t>
  </si>
  <si>
    <t>Awlad Kazim</t>
  </si>
  <si>
    <t>اولاد كاظم</t>
  </si>
  <si>
    <t>Awlad Muslim</t>
  </si>
  <si>
    <t>اولاد مسلم</t>
  </si>
  <si>
    <t>Hay Aday-Al Eskandariya</t>
  </si>
  <si>
    <t>ناحيه الاسكندريه-حي عداي</t>
  </si>
  <si>
    <t>Hay Al Amer</t>
  </si>
  <si>
    <t>حي الامير</t>
  </si>
  <si>
    <t>Hay Al Ataba</t>
  </si>
  <si>
    <t>حي الاطباء</t>
  </si>
  <si>
    <t>Hay Al Baladea</t>
  </si>
  <si>
    <t>حي البلديه</t>
  </si>
  <si>
    <t>Hay Al Ghadeer 1</t>
  </si>
  <si>
    <t>الغدير 1</t>
  </si>
  <si>
    <t>Hay Al Ghadeer 3</t>
  </si>
  <si>
    <t>الغدير 3</t>
  </si>
  <si>
    <t>Hay Al Ghadeer 4</t>
  </si>
  <si>
    <t>الغدير 4</t>
  </si>
  <si>
    <t>Hay Al Moatnen 1</t>
  </si>
  <si>
    <t>حي المواطنين 1</t>
  </si>
  <si>
    <t>Hay Al Moatnen 2</t>
  </si>
  <si>
    <t>حي المواطنين 2</t>
  </si>
  <si>
    <t>Hay Al Moatnen 3</t>
  </si>
  <si>
    <t>حي المواطنين 3</t>
  </si>
  <si>
    <t>Hay Al Mowadhafeen</t>
  </si>
  <si>
    <t>حي الموظفين</t>
  </si>
  <si>
    <t>Hay Al Quds-Al Eskandariya</t>
  </si>
  <si>
    <t>ناحيه الاسكندريه-حي القدس</t>
  </si>
  <si>
    <t>Hay Al Ray</t>
  </si>
  <si>
    <t>ناحيه السده-حي الري</t>
  </si>
  <si>
    <t>Hay Al-Anwar-Al Eskandariya</t>
  </si>
  <si>
    <t>ناحيه الاسكندريه-حي الانوار</t>
  </si>
  <si>
    <t>الجمهوريه</t>
  </si>
  <si>
    <t>Hay Al-Mustafa</t>
  </si>
  <si>
    <t>حي المصطفى</t>
  </si>
  <si>
    <t>Hay Al-Rafedain</t>
  </si>
  <si>
    <t>ناحيه الاسكندريه-حي الرافدين</t>
  </si>
  <si>
    <t>Hay Al-Risalah-Al Eskandariya</t>
  </si>
  <si>
    <t>ناحيه الاسكندريه-حي الرساله</t>
  </si>
  <si>
    <t>Hay Al-Shuhadaa</t>
  </si>
  <si>
    <t>Hay Alaskarey</t>
  </si>
  <si>
    <t>ناحيه الاسكندريه-حي العسكري</t>
  </si>
  <si>
    <t>Hay Alaskary-AlThaghet</t>
  </si>
  <si>
    <t>حي العسكري-الضغط</t>
  </si>
  <si>
    <t>Hay AlHussein</t>
  </si>
  <si>
    <t>حي الحسين</t>
  </si>
  <si>
    <t>Hay Almualmeen 1</t>
  </si>
  <si>
    <t>حي المعلمين 1</t>
  </si>
  <si>
    <t>Hay Almualmeen 2</t>
  </si>
  <si>
    <t>حي المعلمين 2</t>
  </si>
  <si>
    <t>Hay Almualmeen 3</t>
  </si>
  <si>
    <t>حي المعلمين 3</t>
  </si>
  <si>
    <t>Hitten Complex</t>
  </si>
  <si>
    <t>اسكان حطين</t>
  </si>
  <si>
    <t>Hur Husaein</t>
  </si>
  <si>
    <t>هور حسين</t>
  </si>
  <si>
    <t>Mafrg AlSada</t>
  </si>
  <si>
    <t>مفرق السده</t>
  </si>
  <si>
    <t>Sadat Al-Ameir</t>
  </si>
  <si>
    <t>السدة-حي الامير</t>
  </si>
  <si>
    <t>Saddat Al Zahraa</t>
  </si>
  <si>
    <t>ناحية السده-حي الزهراء</t>
  </si>
  <si>
    <t>Shara AlSada Alkadeem</t>
  </si>
  <si>
    <t>شارع السده القديم</t>
  </si>
  <si>
    <t>Hashimiya</t>
  </si>
  <si>
    <t>Al Dabla</t>
  </si>
  <si>
    <t>الدبلة</t>
  </si>
  <si>
    <t>Al Madhatiyah-Hay Imam</t>
  </si>
  <si>
    <t>ناحية المدحتية-حي الامام</t>
  </si>
  <si>
    <t>Al Midhatiyah-Hay Al Zahraa</t>
  </si>
  <si>
    <t>ناحية المدحتية-حي الزهراء</t>
  </si>
  <si>
    <t>Al Nasser</t>
  </si>
  <si>
    <t>ناحية الشوملي-النصر</t>
  </si>
  <si>
    <t>Al Qasim-Al Askari</t>
  </si>
  <si>
    <t>ناحية القاسم-العسكري</t>
  </si>
  <si>
    <t>Al Shomaly-Hay Al Sada</t>
  </si>
  <si>
    <t>ناحية الشوملي-حي الساده</t>
  </si>
  <si>
    <t>Al Shoumly-Al Jawadia village</t>
  </si>
  <si>
    <t>ناحية الشوملي-قرية الجواديه</t>
  </si>
  <si>
    <t>Al Taleeaa-Al Gamiea wa Al Hussainea</t>
  </si>
  <si>
    <t>ناحية الطليعة-الجمعية والحسينية</t>
  </si>
  <si>
    <t>Al-ibrahemiyah</t>
  </si>
  <si>
    <t>الابراهيمية</t>
  </si>
  <si>
    <t>Hay Al Intifadheh</t>
  </si>
  <si>
    <t>مركز القضاء-الانتفاضه</t>
  </si>
  <si>
    <t>Hay Al Zahraa-Qassim</t>
  </si>
  <si>
    <t>حي الزهراء-القاسم</t>
  </si>
  <si>
    <t>Hay al-jidedah</t>
  </si>
  <si>
    <t>الجديدة</t>
  </si>
  <si>
    <t>Hay al-tahady</t>
  </si>
  <si>
    <t>ناحية الشوملي-التحدي</t>
  </si>
  <si>
    <t>Hay khirbatt</t>
  </si>
  <si>
    <t>ناحية القاسم-خرباط</t>
  </si>
  <si>
    <t>Hay Um Ayash</t>
  </si>
  <si>
    <t>ناحية القاسم-ام عياش</t>
  </si>
  <si>
    <t>Khalaf al-imam</t>
  </si>
  <si>
    <t>خلف الامام</t>
  </si>
  <si>
    <t>Musa Al Kadhum</t>
  </si>
  <si>
    <t>حي موسى الكاظم</t>
  </si>
  <si>
    <t>Hilla</t>
  </si>
  <si>
    <t>Abi Gharaq-Ahmed Ben Kadhum</t>
  </si>
  <si>
    <t>قرية احمد بن كاظم</t>
  </si>
  <si>
    <t>Abi Gharaq-Albu Hamdan</t>
  </si>
  <si>
    <t>قرية البو حمدان</t>
  </si>
  <si>
    <t>Abu Khastawi</t>
  </si>
  <si>
    <t>أبو خستاوي</t>
  </si>
  <si>
    <t>Al Abodiya</t>
  </si>
  <si>
    <t>العبوديه</t>
  </si>
  <si>
    <t>Al adel</t>
  </si>
  <si>
    <t>العدل</t>
  </si>
  <si>
    <t>Al Akrameen</t>
  </si>
  <si>
    <t>الاكرمين</t>
  </si>
  <si>
    <t>Al Bakraly-3</t>
  </si>
  <si>
    <t>البكرلي-3</t>
  </si>
  <si>
    <t>Al Baqer</t>
  </si>
  <si>
    <t>قرية الباقر</t>
  </si>
  <si>
    <t>Al Hamam</t>
  </si>
  <si>
    <t>ناحية ابي غرق-الحمام</t>
  </si>
  <si>
    <t>Al Hay Al Askary-Street 80</t>
  </si>
  <si>
    <t>العسكري-80</t>
  </si>
  <si>
    <t>Al Ibrahimiyah-Al Mashtah</t>
  </si>
  <si>
    <t>الابراهيمية والماشطة</t>
  </si>
  <si>
    <t>Al Iskan</t>
  </si>
  <si>
    <t>الاسكان</t>
  </si>
  <si>
    <t>Al Jamjamah</t>
  </si>
  <si>
    <t>الجمجمة</t>
  </si>
  <si>
    <t>Al Jazrah-Siha</t>
  </si>
  <si>
    <t>الجزره والصحة</t>
  </si>
  <si>
    <t>Al Kafal Area-Al Shahbiyah</t>
  </si>
  <si>
    <t>ناحية الكفل-الشهابية</t>
  </si>
  <si>
    <t>Al Kafal-Khan Sayed Nour</t>
  </si>
  <si>
    <t>ناحية الكفل-خان سيد نور</t>
  </si>
  <si>
    <t>Al Kafel-7 Nissan</t>
  </si>
  <si>
    <t>ناحية الكفل-7 نيسان</t>
  </si>
  <si>
    <t>Al Kefel-Al Qasaba Al Qadima</t>
  </si>
  <si>
    <t>ناحية الكفل-القصبة القديمة</t>
  </si>
  <si>
    <t>Al Kifil-Al Meghadhbia</t>
  </si>
  <si>
    <t>ناحية الكفل-المغضبيه</t>
  </si>
  <si>
    <t>Al Marana</t>
  </si>
  <si>
    <t>المرانة</t>
  </si>
  <si>
    <t>Al Neshaish</t>
  </si>
  <si>
    <t>النشيش</t>
  </si>
  <si>
    <t>Al Sajad Alshimaly</t>
  </si>
  <si>
    <t>السجاد الشمالي</t>
  </si>
  <si>
    <t>Al Shuhadaa</t>
  </si>
  <si>
    <t>Al Tuhmazya</t>
  </si>
  <si>
    <t>الطهمازيه</t>
  </si>
  <si>
    <t>Al-Kifil-Hay Al Ghadeer</t>
  </si>
  <si>
    <t>حي الغدير</t>
  </si>
  <si>
    <t>Al-Muhandiseen 4</t>
  </si>
  <si>
    <t>حي المهندسين-4</t>
  </si>
  <si>
    <t>Al-Thawra Al-Sharqia</t>
  </si>
  <si>
    <t>مركز القضاء-الثورة الشرقية</t>
  </si>
  <si>
    <t>Albo Alyan</t>
  </si>
  <si>
    <t>البو عليان</t>
  </si>
  <si>
    <t>Albo Hamir</t>
  </si>
  <si>
    <t>البو حمير</t>
  </si>
  <si>
    <t>AlMarashdah Villge</t>
  </si>
  <si>
    <t>قرية المراشده</t>
  </si>
  <si>
    <t>Bustan Al-helu</t>
  </si>
  <si>
    <t>بستان الحلو</t>
  </si>
  <si>
    <t>Hay Al Abbas</t>
  </si>
  <si>
    <t>حي العباس</t>
  </si>
  <si>
    <t>Hay Al Asatitha</t>
  </si>
  <si>
    <t>الاساتذه</t>
  </si>
  <si>
    <t>Hay Al Dhubbat</t>
  </si>
  <si>
    <t>حي الضباط</t>
  </si>
  <si>
    <t>Hay Al Hussain-Abu Gharaq</t>
  </si>
  <si>
    <t>ناحية ابي غرق-حي الحسين</t>
  </si>
  <si>
    <t>Hay Al-Akrad</t>
  </si>
  <si>
    <t>حي الاكراد</t>
  </si>
  <si>
    <t>Hay al-amer</t>
  </si>
  <si>
    <t>Hay Al-Bakarley 4</t>
  </si>
  <si>
    <t>البكرلي-4</t>
  </si>
  <si>
    <t>Hay Al-Muhandiseen 2</t>
  </si>
  <si>
    <t>حي المهندسين-2</t>
  </si>
  <si>
    <t>Hay Alzahraa</t>
  </si>
  <si>
    <t>ناحية ابي غرق-حي الزهراء</t>
  </si>
  <si>
    <t>Hilla Area-Hay Imam</t>
  </si>
  <si>
    <t>منطقة الحلة-حي الأمام</t>
  </si>
  <si>
    <t>Hilla-Nader Al Baker</t>
  </si>
  <si>
    <t>نادر-الباقر</t>
  </si>
  <si>
    <t>Kureteah</t>
  </si>
  <si>
    <t>كريطعه</t>
  </si>
  <si>
    <t>Muhaizem 2-Abu Gharaq</t>
  </si>
  <si>
    <t>ناحية ابي غرق-محيزم 2</t>
  </si>
  <si>
    <t>Mustafa Ragheb</t>
  </si>
  <si>
    <t>مصطفى راغب</t>
  </si>
  <si>
    <t>Nader 3-Al Sajad</t>
  </si>
  <si>
    <t>نادر3-السجاد</t>
  </si>
  <si>
    <t>Qas Sowelem-Compound</t>
  </si>
  <si>
    <t>كص سويلم-المجمع السكني</t>
  </si>
  <si>
    <t>Saif Saad</t>
  </si>
  <si>
    <t>سيف سعد</t>
  </si>
  <si>
    <t>Tajia village</t>
  </si>
  <si>
    <t>التاجية</t>
  </si>
  <si>
    <t>Zighaib al-arab-1</t>
  </si>
  <si>
    <t>ناحية ابي غرق-زغيب العرب</t>
  </si>
  <si>
    <t>Abu Ghraib</t>
  </si>
  <si>
    <t>1 Athar</t>
  </si>
  <si>
    <t>1 اذار</t>
  </si>
  <si>
    <t>1 Huzairan</t>
  </si>
  <si>
    <t>1 حزيران</t>
  </si>
  <si>
    <t>Abo Moniaser</t>
  </si>
  <si>
    <t>ابو منيصير</t>
  </si>
  <si>
    <t>Akr koof-14</t>
  </si>
  <si>
    <t>عكركوف(14)</t>
  </si>
  <si>
    <t>Al Ayashiyah 9</t>
  </si>
  <si>
    <t>العياشية-9</t>
  </si>
  <si>
    <t>Al Emarat Al Sakaniyah</t>
  </si>
  <si>
    <t>العمارات السكنية</t>
  </si>
  <si>
    <t>Al Hamdaniyah</t>
  </si>
  <si>
    <t>الحمدانية</t>
  </si>
  <si>
    <t>Al Shams Camp</t>
  </si>
  <si>
    <t>مخيم الشمس</t>
  </si>
  <si>
    <t>Al Thaniya</t>
  </si>
  <si>
    <t>الثنية</t>
  </si>
  <si>
    <t>Al Zaidan-Al sultan village</t>
  </si>
  <si>
    <t>الزيدان-قرية السلطان</t>
  </si>
  <si>
    <t>Al Zaidan-Zawaba village</t>
  </si>
  <si>
    <t>الزيدان-قرية زوبع</t>
  </si>
  <si>
    <t>Al Zaitoon</t>
  </si>
  <si>
    <t>الزيتون</t>
  </si>
  <si>
    <t>Al-Dhahab Al-Abyadh</t>
  </si>
  <si>
    <t>الذهب الأبيض</t>
  </si>
  <si>
    <t>Al-Nasir Walsalam-1000</t>
  </si>
  <si>
    <t>النصر والسلام-1000</t>
  </si>
  <si>
    <t>Al-Nasir Walsalam-2000</t>
  </si>
  <si>
    <t>النصر والسلام-2000</t>
  </si>
  <si>
    <t>Al-Nasir Walsalam-3000</t>
  </si>
  <si>
    <t>النصر والسلام-3000</t>
  </si>
  <si>
    <t>Al-Nasir Walsalam-4000</t>
  </si>
  <si>
    <t>النصر والسلام-4000</t>
  </si>
  <si>
    <t>Al-Nasir Walsalam-5000</t>
  </si>
  <si>
    <t>النصر والسلام-5000</t>
  </si>
  <si>
    <t>Al-Nasir Walsalam-6000</t>
  </si>
  <si>
    <t>النصر والسلام-6000</t>
  </si>
  <si>
    <t>Al-Nasir Walsalam-7000</t>
  </si>
  <si>
    <t>النصر والسلام-7000</t>
  </si>
  <si>
    <t>Al-Nasir Walsalam-8000</t>
  </si>
  <si>
    <t>النصر والسلام-8000</t>
  </si>
  <si>
    <t>Al-Resalah</t>
  </si>
  <si>
    <t>الرسالة</t>
  </si>
  <si>
    <t>Alahel Camp</t>
  </si>
  <si>
    <t>مخيم الاهل</t>
  </si>
  <si>
    <t>Arab Tahoos</t>
  </si>
  <si>
    <t>عرب طاحوس</t>
  </si>
  <si>
    <t>Door Al hummer</t>
  </si>
  <si>
    <t>دور الحمر</t>
  </si>
  <si>
    <t>Hamid Al Hasan</t>
  </si>
  <si>
    <t>حميد الحسن</t>
  </si>
  <si>
    <t>Hay Al Asreyah</t>
  </si>
  <si>
    <t>حي العصرية</t>
  </si>
  <si>
    <t>Hay Al Ghawassah</t>
  </si>
  <si>
    <t>حي الغواصة</t>
  </si>
  <si>
    <t>Hay Al Sadiq</t>
  </si>
  <si>
    <t>حي الصديق</t>
  </si>
  <si>
    <t>Hay Al Zohor</t>
  </si>
  <si>
    <t>حي الشهداء-خان ضاري</t>
  </si>
  <si>
    <t>Hay Ashbilia</t>
  </si>
  <si>
    <t>حي اشبيليه</t>
  </si>
  <si>
    <t>Hay-Busatan</t>
  </si>
  <si>
    <t>حي البستان</t>
  </si>
  <si>
    <t>Joabh-3</t>
  </si>
  <si>
    <t>جويبة-3</t>
  </si>
  <si>
    <t>Kadem Al Athab village</t>
  </si>
  <si>
    <t>كاظم العذاب</t>
  </si>
  <si>
    <t>Khan Dhari Center</t>
  </si>
  <si>
    <t>خان ضاري مركز</t>
  </si>
  <si>
    <t>Khernabat-South</t>
  </si>
  <si>
    <t>خرنابات الجنوبيه</t>
  </si>
  <si>
    <t>North Khernabat</t>
  </si>
  <si>
    <t>خرنابات الشمالية</t>
  </si>
  <si>
    <t>Sayed Sajit</t>
  </si>
  <si>
    <t>سيد ساجت</t>
  </si>
  <si>
    <t>Shuhada Markza-Shuhadda the first</t>
  </si>
  <si>
    <t>الشهداءالمركز-شهداء الاولى</t>
  </si>
  <si>
    <t>Shuhada Markza-Shuhadda the third</t>
  </si>
  <si>
    <t>الشهداء المركز-شهداء الثالثة</t>
  </si>
  <si>
    <t>Shuhada Markza-Shuhdda the second</t>
  </si>
  <si>
    <t>الشهداء المركز-شهداء الثانية</t>
  </si>
  <si>
    <t>Adhamia</t>
  </si>
  <si>
    <t>Abu Guffa Village</t>
  </si>
  <si>
    <t>قرية أبو كفة</t>
  </si>
  <si>
    <t>Adhamia-308</t>
  </si>
  <si>
    <t>الاعظمية-308</t>
  </si>
  <si>
    <t>Adhamia-312</t>
  </si>
  <si>
    <t>الاعظمية-312</t>
  </si>
  <si>
    <t>Adhamia-314</t>
  </si>
  <si>
    <t>الأعظمية-314</t>
  </si>
  <si>
    <t>Adhamiya-310</t>
  </si>
  <si>
    <t>الاعظمية-310</t>
  </si>
  <si>
    <t>Al Arakna Village</t>
  </si>
  <si>
    <t>العراكنة</t>
  </si>
  <si>
    <t>Al Basaten Al sadren complex</t>
  </si>
  <si>
    <t>البساتين-مجمع الصدرين</t>
  </si>
  <si>
    <t>Al Basaten-348</t>
  </si>
  <si>
    <t>البساتين-348</t>
  </si>
  <si>
    <t>Al Basaten-362</t>
  </si>
  <si>
    <t>البساتين-362</t>
  </si>
  <si>
    <t>Al Biydhaa-315</t>
  </si>
  <si>
    <t>البيضاء-315</t>
  </si>
  <si>
    <t>Al Biydhaa-321</t>
  </si>
  <si>
    <t>البيضاء-321</t>
  </si>
  <si>
    <t>Al Bu Hayat Village</t>
  </si>
  <si>
    <t>قرية البوحياة</t>
  </si>
  <si>
    <t>Al Haj Jasim Village</t>
  </si>
  <si>
    <t>قرية الحاج جاسم</t>
  </si>
  <si>
    <t>Al Husayniya-221</t>
  </si>
  <si>
    <t>الحسينية-221</t>
  </si>
  <si>
    <t>Al Husayniya-225</t>
  </si>
  <si>
    <t>الحسينية-225</t>
  </si>
  <si>
    <t>Al Hussainiya-202</t>
  </si>
  <si>
    <t>الحسينية-202</t>
  </si>
  <si>
    <t>Al Hussainiya-209</t>
  </si>
  <si>
    <t>الحسينية-209</t>
  </si>
  <si>
    <t>Al Hussainiya-211</t>
  </si>
  <si>
    <t>الحسينية-211</t>
  </si>
  <si>
    <t>Al Hussainiya-213</t>
  </si>
  <si>
    <t>الحسينية-213</t>
  </si>
  <si>
    <t>Al Hussainiya-216</t>
  </si>
  <si>
    <t>الحسينية-216</t>
  </si>
  <si>
    <t>Al Hussainiya-217</t>
  </si>
  <si>
    <t>الحسينية-217</t>
  </si>
  <si>
    <t>Al Hussainiya-219</t>
  </si>
  <si>
    <t>الحسينية-219</t>
  </si>
  <si>
    <t>Al Hussayniya-207</t>
  </si>
  <si>
    <t>الحسينية-207</t>
  </si>
  <si>
    <t>Al Hussayniya-210</t>
  </si>
  <si>
    <t>الحسينية-210</t>
  </si>
  <si>
    <t>Al Hussayniya-218</t>
  </si>
  <si>
    <t>الحسينية-218</t>
  </si>
  <si>
    <t>Al Hussayniya-222</t>
  </si>
  <si>
    <t>الحسينية-222</t>
  </si>
  <si>
    <t>Al Hussiniyah-223</t>
  </si>
  <si>
    <t>الحسينية-223</t>
  </si>
  <si>
    <t>Al Kouther</t>
  </si>
  <si>
    <t>الكوثر</t>
  </si>
  <si>
    <t>Al Maghreb-302</t>
  </si>
  <si>
    <t>المغرب-302</t>
  </si>
  <si>
    <t>Al Maghreb-304</t>
  </si>
  <si>
    <t>المغرب-304</t>
  </si>
  <si>
    <t>Al Marasma village</t>
  </si>
  <si>
    <t>قرية المراسمة</t>
  </si>
  <si>
    <t>Al Noor Village</t>
  </si>
  <si>
    <t>قرية النور</t>
  </si>
  <si>
    <t>Al Qahira-307</t>
  </si>
  <si>
    <t>القاهرة-307</t>
  </si>
  <si>
    <t>Al Qahira-309</t>
  </si>
  <si>
    <t>القاهرة-309</t>
  </si>
  <si>
    <t>Al Qahira-311</t>
  </si>
  <si>
    <t>القاهرة-311</t>
  </si>
  <si>
    <t>Al Qahira-313</t>
  </si>
  <si>
    <t>القاهرة-313</t>
  </si>
  <si>
    <t>Al Qahira-322</t>
  </si>
  <si>
    <t>القاهرة-322</t>
  </si>
  <si>
    <t>Al Qahira-324</t>
  </si>
  <si>
    <t>القاهرة-324</t>
  </si>
  <si>
    <t>Al Qudus</t>
  </si>
  <si>
    <t xml:space="preserve">القدس </t>
  </si>
  <si>
    <t>Al Shaab-331</t>
  </si>
  <si>
    <t>الشعب-331</t>
  </si>
  <si>
    <t>Al Shaab-333</t>
  </si>
  <si>
    <t>الشعب-333</t>
  </si>
  <si>
    <t>AL Shaab-335</t>
  </si>
  <si>
    <t>الشعب-335</t>
  </si>
  <si>
    <t>AL Shaab-337</t>
  </si>
  <si>
    <t>الشعب-337</t>
  </si>
  <si>
    <t>Al Shaab-339</t>
  </si>
  <si>
    <t>الشعب-339</t>
  </si>
  <si>
    <t>AL Shaab-343</t>
  </si>
  <si>
    <t>الشعب-343</t>
  </si>
  <si>
    <t>Al Shaab-351</t>
  </si>
  <si>
    <t>الشعب-351</t>
  </si>
  <si>
    <t>AL Shaab-357</t>
  </si>
  <si>
    <t>الشعب-357</t>
  </si>
  <si>
    <t>Al Shamasiyah-316</t>
  </si>
  <si>
    <t>الشماسية-316</t>
  </si>
  <si>
    <t>Al Shamasiyah-318</t>
  </si>
  <si>
    <t>الشماسية-318</t>
  </si>
  <si>
    <t>Al Shamasiyah-320</t>
  </si>
  <si>
    <t>الشماسية-320</t>
  </si>
  <si>
    <t>Al Waha Al Khadhraa Village</t>
  </si>
  <si>
    <t>قرية الواحة الخضراء</t>
  </si>
  <si>
    <t>Al Waziriyah-301</t>
  </si>
  <si>
    <t>الوزيرية-301</t>
  </si>
  <si>
    <t>Ali Al Faiadh village</t>
  </si>
  <si>
    <t>قرية علي الفياض</t>
  </si>
  <si>
    <t>Bob Al Sham-361</t>
  </si>
  <si>
    <t>بوب الشام-361</t>
  </si>
  <si>
    <t>Bob Al Sham-365</t>
  </si>
  <si>
    <t>بوب الشام-365</t>
  </si>
  <si>
    <t>Bob Al Sham-367</t>
  </si>
  <si>
    <t>بوب الشام-367</t>
  </si>
  <si>
    <t>Bob Al Sham-388</t>
  </si>
  <si>
    <t>بوب الشام-388</t>
  </si>
  <si>
    <t>Gumaira Village</t>
  </si>
  <si>
    <t>قرية كميرة</t>
  </si>
  <si>
    <t>Hay Al Rabee-332</t>
  </si>
  <si>
    <t>حي الربيع-332</t>
  </si>
  <si>
    <t>Hay Al Rabee-334</t>
  </si>
  <si>
    <t>حي الربيع-334</t>
  </si>
  <si>
    <t>Hay Al Rabee-336</t>
  </si>
  <si>
    <t>حي الربيع-336</t>
  </si>
  <si>
    <t>Hay Al Rabee-340</t>
  </si>
  <si>
    <t>حي الربيع-340</t>
  </si>
  <si>
    <t>Hay Al Rabee-342</t>
  </si>
  <si>
    <t>حي الربيع-342</t>
  </si>
  <si>
    <t>Hay Ur-325</t>
  </si>
  <si>
    <t>حي اور-325</t>
  </si>
  <si>
    <t>Hay Ur-327</t>
  </si>
  <si>
    <t>حي اور-327</t>
  </si>
  <si>
    <t>Qaryat Al-Intisar</t>
  </si>
  <si>
    <t>الانتصار</t>
  </si>
  <si>
    <t>Saba Qusor</t>
  </si>
  <si>
    <t>سبع قصور</t>
  </si>
  <si>
    <t>Tarbiya-317</t>
  </si>
  <si>
    <t>التربية-317</t>
  </si>
  <si>
    <t>Tunis-326</t>
  </si>
  <si>
    <t>تونس-326</t>
  </si>
  <si>
    <t>Tunis-328</t>
  </si>
  <si>
    <t>تونس-328</t>
  </si>
  <si>
    <t>Tunis-330</t>
  </si>
  <si>
    <t>تونس-330</t>
  </si>
  <si>
    <t>Al Resafa</t>
  </si>
  <si>
    <t>14 Tamoz-508</t>
  </si>
  <si>
    <t>508-14 تموز</t>
  </si>
  <si>
    <t>14 Tamoz-510</t>
  </si>
  <si>
    <t>510-14 تموز</t>
  </si>
  <si>
    <t>Abu Nuas-102</t>
  </si>
  <si>
    <t>أبو نؤاس-102</t>
  </si>
  <si>
    <t>Al Ameen-737</t>
  </si>
  <si>
    <t>الامين-737</t>
  </si>
  <si>
    <t>Al Ameen-739</t>
  </si>
  <si>
    <t>الامين-739</t>
  </si>
  <si>
    <t>Al Ameen-741</t>
  </si>
  <si>
    <t>الامين-741</t>
  </si>
  <si>
    <t>Al Ameen-743</t>
  </si>
  <si>
    <t>الامين-743</t>
  </si>
  <si>
    <t>Al Ameen-745</t>
  </si>
  <si>
    <t>الامين-745</t>
  </si>
  <si>
    <t>Al Ameen-747</t>
  </si>
  <si>
    <t>الأمين-747</t>
  </si>
  <si>
    <t>Al Atebaa-120</t>
  </si>
  <si>
    <t>الاطباء-120</t>
  </si>
  <si>
    <t>Al baladiyat-728</t>
  </si>
  <si>
    <t>البلديات-728</t>
  </si>
  <si>
    <t>Al baladiyat-730</t>
  </si>
  <si>
    <t>البلديات-730</t>
  </si>
  <si>
    <t>Al baladiyat-732</t>
  </si>
  <si>
    <t>البلديات-732</t>
  </si>
  <si>
    <t>Al baladiyat-734</t>
  </si>
  <si>
    <t>البلديات-734</t>
  </si>
  <si>
    <t>Al baladiyat-738</t>
  </si>
  <si>
    <t>البلديات-738</t>
  </si>
  <si>
    <t>Al Baladiyat-744</t>
  </si>
  <si>
    <t>البلديات-744</t>
  </si>
  <si>
    <t>Al Edreesiy-505</t>
  </si>
  <si>
    <t>الأدريسي-505</t>
  </si>
  <si>
    <t>Al Edreesiy-507</t>
  </si>
  <si>
    <t>الادريسي-507</t>
  </si>
  <si>
    <t>Al Fudhiliyah-753</t>
  </si>
  <si>
    <t>الفضيلية-753</t>
  </si>
  <si>
    <t>Al Gilani-123</t>
  </si>
  <si>
    <t>الكيلاني-123</t>
  </si>
  <si>
    <t>Al Jadryiaa Al Jamiaa-911</t>
  </si>
  <si>
    <t>الجادرية الجامعة-911</t>
  </si>
  <si>
    <t>Al Jumhoriyah 111</t>
  </si>
  <si>
    <t>الجمهورية-111</t>
  </si>
  <si>
    <t>Al Jumhoriyah-109</t>
  </si>
  <si>
    <t>الجمهورية-109</t>
  </si>
  <si>
    <t>Al Jumhoriyah-117</t>
  </si>
  <si>
    <t>الجمهورية-117</t>
  </si>
  <si>
    <t>Al Jumhoriyah-119</t>
  </si>
  <si>
    <t>الجمهورية-119</t>
  </si>
  <si>
    <t>Al Kamaliya-757</t>
  </si>
  <si>
    <t>الكمالية-757</t>
  </si>
  <si>
    <t>Al Kamaliya-759</t>
  </si>
  <si>
    <t>الكمالية-759</t>
  </si>
  <si>
    <t>Al Kamaliya-765</t>
  </si>
  <si>
    <t>الكمالية-765</t>
  </si>
  <si>
    <t>Al Kamaliya-767</t>
  </si>
  <si>
    <t>الكمالية-767</t>
  </si>
  <si>
    <t>Al Karada-901</t>
  </si>
  <si>
    <t>الكرادة-901</t>
  </si>
  <si>
    <t>Al Karada-903</t>
  </si>
  <si>
    <t>الكرادة-903</t>
  </si>
  <si>
    <t>Al Karada-905</t>
  </si>
  <si>
    <t>الكرادة-905</t>
  </si>
  <si>
    <t>Al Karada-907</t>
  </si>
  <si>
    <t>الكرادة-907</t>
  </si>
  <si>
    <t>Al Maamil-771</t>
  </si>
  <si>
    <t>المعامل-771</t>
  </si>
  <si>
    <t>Al Maamil-772</t>
  </si>
  <si>
    <t>المعامل-772</t>
  </si>
  <si>
    <t>Al Maamil-773</t>
  </si>
  <si>
    <t>المعامل-773</t>
  </si>
  <si>
    <t>Al Maamil-774</t>
  </si>
  <si>
    <t>المعامل-774</t>
  </si>
  <si>
    <t>Al Maamil-779</t>
  </si>
  <si>
    <t>المعامل-779</t>
  </si>
  <si>
    <t>Al Maamil-781</t>
  </si>
  <si>
    <t>المعامل-781</t>
  </si>
  <si>
    <t>Al Maamil-799</t>
  </si>
  <si>
    <t>المعامل-799</t>
  </si>
  <si>
    <t>Al Mashtal-729</t>
  </si>
  <si>
    <t>المشتل-729</t>
  </si>
  <si>
    <t>Al Mashtal-731</t>
  </si>
  <si>
    <t>المشتل-731</t>
  </si>
  <si>
    <t>Al Mashtal-733</t>
  </si>
  <si>
    <t>المشتل-733</t>
  </si>
  <si>
    <t>Al Mashtal-735</t>
  </si>
  <si>
    <t>المشتل-735</t>
  </si>
  <si>
    <t>Al Mashtal-751</t>
  </si>
  <si>
    <t>المشتل-751</t>
  </si>
  <si>
    <t>Al muthana-710</t>
  </si>
  <si>
    <t>المثنى-710</t>
  </si>
  <si>
    <t>Al Muthana-712</t>
  </si>
  <si>
    <t>المثنى-712</t>
  </si>
  <si>
    <t>Al Muthana-714</t>
  </si>
  <si>
    <t>المثنى-714</t>
  </si>
  <si>
    <t>Al Muthana-716</t>
  </si>
  <si>
    <t>المثنى-716</t>
  </si>
  <si>
    <t>Al Muthana-718</t>
  </si>
  <si>
    <t>المثنى-718</t>
  </si>
  <si>
    <t>Al Nidhal-103</t>
  </si>
  <si>
    <t>النضال-103</t>
  </si>
  <si>
    <t>Al Nile-503</t>
  </si>
  <si>
    <t>النيل-503</t>
  </si>
  <si>
    <t>Al Rasheed-108</t>
  </si>
  <si>
    <t>الرشيد-108</t>
  </si>
  <si>
    <t>Al Rasheed-112</t>
  </si>
  <si>
    <t>الرشيد-112</t>
  </si>
  <si>
    <t>Al Riyadh-910</t>
  </si>
  <si>
    <t>الرياض-910</t>
  </si>
  <si>
    <t>Al Saadon-101</t>
  </si>
  <si>
    <t>السعدون-101</t>
  </si>
  <si>
    <t>Al Shaikh Omer-125</t>
  </si>
  <si>
    <t>الشيخ عمر-125</t>
  </si>
  <si>
    <t>Al Shaikh Omer-127</t>
  </si>
  <si>
    <t>الشيخ عمر-127</t>
  </si>
  <si>
    <t>Al Shaikh Omer-129</t>
  </si>
  <si>
    <t>الشيخ عمر-129</t>
  </si>
  <si>
    <t>Al Shaikh Omer-131</t>
  </si>
  <si>
    <t>الشيخ عمر-131</t>
  </si>
  <si>
    <t>Al Shaikh Omer-137</t>
  </si>
  <si>
    <t>الشيخ عمر-137</t>
  </si>
  <si>
    <t>Al Sindabad-979</t>
  </si>
  <si>
    <t>السندباد-979</t>
  </si>
  <si>
    <t>Al Sindebad-977</t>
  </si>
  <si>
    <t>السندباد-977</t>
  </si>
  <si>
    <t>Al Sindibad-949</t>
  </si>
  <si>
    <t>السندباد-949</t>
  </si>
  <si>
    <t>Al Ubaidy-752</t>
  </si>
  <si>
    <t>العبيدي-752</t>
  </si>
  <si>
    <t>Al Ubaidy-756</t>
  </si>
  <si>
    <t>العبيدي-756</t>
  </si>
  <si>
    <t>Al Ubaidy-762</t>
  </si>
  <si>
    <t>العبيدي-762</t>
  </si>
  <si>
    <t>Al Wehda-902</t>
  </si>
  <si>
    <t>الوحدة-902</t>
  </si>
  <si>
    <t>Al Wehda-904</t>
  </si>
  <si>
    <t>الوحدة-904</t>
  </si>
  <si>
    <t>Al Wehda-906</t>
  </si>
  <si>
    <t>الوحدة-906</t>
  </si>
  <si>
    <t>Al Zaafaranyah-951</t>
  </si>
  <si>
    <t>الزعفرانية-951</t>
  </si>
  <si>
    <t>Al Zaafaranyah-953</t>
  </si>
  <si>
    <t>الزعفرانية-953</t>
  </si>
  <si>
    <t>Al Zaafaranyah-955</t>
  </si>
  <si>
    <t>الزعفرانية-955</t>
  </si>
  <si>
    <t>Al Zaafaranyah-959</t>
  </si>
  <si>
    <t>الزعفرانية-959</t>
  </si>
  <si>
    <t>Al Zaafaranyah-961</t>
  </si>
  <si>
    <t>الزعفرانية-961</t>
  </si>
  <si>
    <t>Al Zaafaranyah-965</t>
  </si>
  <si>
    <t>الزعفرانية-965</t>
  </si>
  <si>
    <t>Al Zaafaranyah-969</t>
  </si>
  <si>
    <t>الزعفرانية-969</t>
  </si>
  <si>
    <t>Al Zafaraniyah-957</t>
  </si>
  <si>
    <t>الزعفرانية-957</t>
  </si>
  <si>
    <t>Baghdad Al Jadidah-701</t>
  </si>
  <si>
    <t>بغداد الجديدة-701</t>
  </si>
  <si>
    <t>Baghdad Al Jadidah-709</t>
  </si>
  <si>
    <t>بغداد الجديدة-709</t>
  </si>
  <si>
    <t>Baghdad Al Jadidia-711</t>
  </si>
  <si>
    <t>بغداد الجديدة-711</t>
  </si>
  <si>
    <t>Baghdad Al Jadidia-713</t>
  </si>
  <si>
    <t>بغداد الجديدة-713</t>
  </si>
  <si>
    <t>Baghdad Al Jadidia-717</t>
  </si>
  <si>
    <t>بغداد الجديدة-717</t>
  </si>
  <si>
    <t>Baghdad Al Jadidia-721</t>
  </si>
  <si>
    <t>بغداد الجديدة-721</t>
  </si>
  <si>
    <t>Baghdad Al Jadidia-723</t>
  </si>
  <si>
    <t>بغداد الجديدة-723</t>
  </si>
  <si>
    <t>Baghdad Al Jadidia-725</t>
  </si>
  <si>
    <t>بغداد الجديدة-725</t>
  </si>
  <si>
    <t>Baghdad Al Jadidia-727</t>
  </si>
  <si>
    <t>بغداد الجديدة-727</t>
  </si>
  <si>
    <t>Hay Diyala-930</t>
  </si>
  <si>
    <t>حي ديالى-930</t>
  </si>
  <si>
    <t>Hay Diyala-950</t>
  </si>
  <si>
    <t>حي ديالى-950</t>
  </si>
  <si>
    <t>Hay Diyala-952</t>
  </si>
  <si>
    <t>حي ديالى-952</t>
  </si>
  <si>
    <t>Hay Diyala-954</t>
  </si>
  <si>
    <t>حي ديالى-954</t>
  </si>
  <si>
    <t>Hay Diyala-958</t>
  </si>
  <si>
    <t>حي ديالى-958</t>
  </si>
  <si>
    <t>Hay Diyala-962</t>
  </si>
  <si>
    <t>حي ديالى-962</t>
  </si>
  <si>
    <t>Hay Diyala-964</t>
  </si>
  <si>
    <t>حي ديالى-964</t>
  </si>
  <si>
    <t>Hay Diyala-966</t>
  </si>
  <si>
    <t>حي ديالى-966</t>
  </si>
  <si>
    <t>Hay Diyala-970</t>
  </si>
  <si>
    <t>حي ديالى-970</t>
  </si>
  <si>
    <t>Hay Sumer-702</t>
  </si>
  <si>
    <t>حي سومر-702</t>
  </si>
  <si>
    <t>Hay Sumer-706</t>
  </si>
  <si>
    <t>حي سومر-706</t>
  </si>
  <si>
    <t>Hay Summer-704</t>
  </si>
  <si>
    <t>حي سومر-704</t>
  </si>
  <si>
    <t>Zayona Camp</t>
  </si>
  <si>
    <t>مخيم زيونة</t>
  </si>
  <si>
    <t>Kadhimia</t>
  </si>
  <si>
    <t>Abd Al Hammad village</t>
  </si>
  <si>
    <t>قرية عبد الحماد</t>
  </si>
  <si>
    <t>Ahmed Al Hamid village</t>
  </si>
  <si>
    <t>قرية أحمد الحميد</t>
  </si>
  <si>
    <t>Al Ahnaf-Al Rakia Fadel village</t>
  </si>
  <si>
    <t>الأحنف-اركية وفاضل</t>
  </si>
  <si>
    <t>Al Ahnaf-Al Sabaiyat</t>
  </si>
  <si>
    <t>الاحنف-الصابيات</t>
  </si>
  <si>
    <t>Al Ahnaf-Al Salamiat</t>
  </si>
  <si>
    <t>الاحنف-السلاميات</t>
  </si>
  <si>
    <t>Al Ateefia-407</t>
  </si>
  <si>
    <t>العطيفية-407</t>
  </si>
  <si>
    <t>Al Ateefia-409</t>
  </si>
  <si>
    <t>العطيفية-409</t>
  </si>
  <si>
    <t>Al Halabsa village</t>
  </si>
  <si>
    <t>قرية الحلابسة</t>
  </si>
  <si>
    <t>Al Huriyah-a 430</t>
  </si>
  <si>
    <t>الحرية-430</t>
  </si>
  <si>
    <t>Al Hurriyah-416</t>
  </si>
  <si>
    <t>الحرية-416</t>
  </si>
  <si>
    <t>Al Hurriyah-418</t>
  </si>
  <si>
    <t>الحرية-418</t>
  </si>
  <si>
    <t>Al Hurriyah-420</t>
  </si>
  <si>
    <t>الحرية-420</t>
  </si>
  <si>
    <t>Al Hurriyah-424</t>
  </si>
  <si>
    <t>الحرية-424</t>
  </si>
  <si>
    <t>Al Hurriyah-426</t>
  </si>
  <si>
    <t>الحرية-426</t>
  </si>
  <si>
    <t>Al Hurriyah-428</t>
  </si>
  <si>
    <t>الحرية-428</t>
  </si>
  <si>
    <t>Al Hurriyah-432</t>
  </si>
  <si>
    <t>الحرية-432</t>
  </si>
  <si>
    <t>Al Hurriyah-436</t>
  </si>
  <si>
    <t>الحرية-436</t>
  </si>
  <si>
    <t>Al Malahma(Al Sekak)Village</t>
  </si>
  <si>
    <t>قرية الملاحمة(دور السكك)</t>
  </si>
  <si>
    <t>Al Salam-404</t>
  </si>
  <si>
    <t>السلام-404</t>
  </si>
  <si>
    <t>Al Salam-406</t>
  </si>
  <si>
    <t>السلام-406</t>
  </si>
  <si>
    <t>Al Salam-408</t>
  </si>
  <si>
    <t>السلام-408</t>
  </si>
  <si>
    <t>Al Salam-410</t>
  </si>
  <si>
    <t>السلام-410</t>
  </si>
  <si>
    <t>Al Salam-412</t>
  </si>
  <si>
    <t>السلام-412</t>
  </si>
  <si>
    <t>Al Salehen Village</t>
  </si>
  <si>
    <t>قرية الصالحين</t>
  </si>
  <si>
    <t>Al Shehaa Village</t>
  </si>
  <si>
    <t>قرية الشيحة</t>
  </si>
  <si>
    <t>Al Sheik Amir Village</t>
  </si>
  <si>
    <t>قرية الشيخ عامر</t>
  </si>
  <si>
    <t>Al-Shalchiya</t>
  </si>
  <si>
    <t>الشالجية</t>
  </si>
  <si>
    <t>Albo Rkeaba Village</t>
  </si>
  <si>
    <t>قرية البو ركيبة</t>
  </si>
  <si>
    <t>Albo Sabah Village</t>
  </si>
  <si>
    <t>قرية البو صباح</t>
  </si>
  <si>
    <t>Albu Aied Village</t>
  </si>
  <si>
    <t>قرية ألبوعايد</t>
  </si>
  <si>
    <t>Albu Dawod Village</t>
  </si>
  <si>
    <t>قرية البو داوود</t>
  </si>
  <si>
    <t>Ali Al Hamad Village</t>
  </si>
  <si>
    <t>قرية علي الحمد</t>
  </si>
  <si>
    <t>Awad Al Hussain village</t>
  </si>
  <si>
    <t>قرية عواد الحسين</t>
  </si>
  <si>
    <t>Dheeb Al Dhari village</t>
  </si>
  <si>
    <t>قرية ذيب الضاري</t>
  </si>
  <si>
    <t>Fahad Al Fadhel village</t>
  </si>
  <si>
    <t>قرية فهد الفاضل</t>
  </si>
  <si>
    <t>Faisal Abbas village</t>
  </si>
  <si>
    <t>قرية فيصل عباس</t>
  </si>
  <si>
    <t>Hay Al Askreen</t>
  </si>
  <si>
    <t>حي العسكريين</t>
  </si>
  <si>
    <t>Hay Al Shuhada</t>
  </si>
  <si>
    <t>Hay Hasan AlAskari</t>
  </si>
  <si>
    <t>حي الحسن العسكري</t>
  </si>
  <si>
    <t>Jakook-425</t>
  </si>
  <si>
    <t>جكوك-425</t>
  </si>
  <si>
    <t>Jakook-440</t>
  </si>
  <si>
    <t>جكوك-440</t>
  </si>
  <si>
    <t>Jakook-442</t>
  </si>
  <si>
    <t>جكوك-442</t>
  </si>
  <si>
    <t>Jurf Al Milah</t>
  </si>
  <si>
    <t>جرف الملح</t>
  </si>
  <si>
    <t>Kasar Al Ali Village</t>
  </si>
  <si>
    <t>قرية كسار العلي</t>
  </si>
  <si>
    <t>Khalaf Jredhi Village</t>
  </si>
  <si>
    <t>قرية خلف جريدي</t>
  </si>
  <si>
    <t>Mulla Mukhlef Village</t>
  </si>
  <si>
    <t>قرية ملا مخلف</t>
  </si>
  <si>
    <t>Naif Al Hassan viilage</t>
  </si>
  <si>
    <t>قرية نايف الحسن</t>
  </si>
  <si>
    <t>North Al Kadhimia-447</t>
  </si>
  <si>
    <t>شمال الكاظمية-447</t>
  </si>
  <si>
    <t>North Al Kadhimia-Al kadraiya</t>
  </si>
  <si>
    <t>شمال الكاظمية-القادرية</t>
  </si>
  <si>
    <t>North Al Kadhimia-Alwan Al Jasim village</t>
  </si>
  <si>
    <t>شمال الكاظمية-قرية علوان الجاسم</t>
  </si>
  <si>
    <t>North Al Kadhimia-Tajyat shata Al Taji</t>
  </si>
  <si>
    <t>شمال الكاظمية-تاجيات شاطئ التاجي</t>
  </si>
  <si>
    <t>Rezaige Al Badaa village</t>
  </si>
  <si>
    <t>قرية رزيج البداع</t>
  </si>
  <si>
    <t>Sabea Al Buor(Al Basam)</t>
  </si>
  <si>
    <t>سبع البور(مقاطعة البصام)</t>
  </si>
  <si>
    <t>Sabea Al Buor-11000</t>
  </si>
  <si>
    <t>سبع البور-11000</t>
  </si>
  <si>
    <t>Sabea Al Buor-12000</t>
  </si>
  <si>
    <t>سبع البور-12000</t>
  </si>
  <si>
    <t>Sabea Al Buor-13000</t>
  </si>
  <si>
    <t>سبع البور-13000</t>
  </si>
  <si>
    <t>Sabea Al Buor-14000</t>
  </si>
  <si>
    <t>سبع البور-14000</t>
  </si>
  <si>
    <t>Sabea Al Buor-15000</t>
  </si>
  <si>
    <t>سبع البور-15000</t>
  </si>
  <si>
    <t>Sabea Al Buor-16000</t>
  </si>
  <si>
    <t>سبع البور-16000</t>
  </si>
  <si>
    <t>Sabea Al Buor-8000</t>
  </si>
  <si>
    <t>سبع البور-8000</t>
  </si>
  <si>
    <t>Sabea Al Buor-9000</t>
  </si>
  <si>
    <t>سبع البور-9000</t>
  </si>
  <si>
    <t>Sabea Al Buor-Hamed Al Farij</t>
  </si>
  <si>
    <t>سبع البور-حميد الفرج</t>
  </si>
  <si>
    <t>Sabea Al Buor-Sakecht Al Ali</t>
  </si>
  <si>
    <t>سبع البور-ساجت العلي</t>
  </si>
  <si>
    <t xml:space="preserve">Salh Al Fayad </t>
  </si>
  <si>
    <t>قرية صالح الفياض</t>
  </si>
  <si>
    <t>Shate Al Taji(Mezurfa)Village</t>
  </si>
  <si>
    <t>شاطئ التاجي(مزرفة و حصيوة)</t>
  </si>
  <si>
    <t>Shoala-446</t>
  </si>
  <si>
    <t>الشعلة-446</t>
  </si>
  <si>
    <t>Shoala-448</t>
  </si>
  <si>
    <t>الشعلة-448</t>
  </si>
  <si>
    <t>Shoala-450</t>
  </si>
  <si>
    <t>الشعلة-450</t>
  </si>
  <si>
    <t>Shoala-454</t>
  </si>
  <si>
    <t>الشعلة-454</t>
  </si>
  <si>
    <t>Shoala-458</t>
  </si>
  <si>
    <t>الشعلة-458</t>
  </si>
  <si>
    <t>Shoala-460</t>
  </si>
  <si>
    <t>الشعلة-460</t>
  </si>
  <si>
    <t>Shoala-464</t>
  </si>
  <si>
    <t>الشعلة-464</t>
  </si>
  <si>
    <t>Shoala-Al Doanam</t>
  </si>
  <si>
    <t>الشعلة-الدوانم</t>
  </si>
  <si>
    <t>Shoala-Khatib</t>
  </si>
  <si>
    <t>الشعلة-الخطيب</t>
  </si>
  <si>
    <t>Um Najem village</t>
  </si>
  <si>
    <t>قرية أم نجم</t>
  </si>
  <si>
    <t>Zedan Al Jameel Vilage</t>
  </si>
  <si>
    <t>قرية زيدان الجميل</t>
  </si>
  <si>
    <t>Karkh</t>
  </si>
  <si>
    <t>Abu Dsheer-850</t>
  </si>
  <si>
    <t>ابو دشير-850</t>
  </si>
  <si>
    <t>Abu Dsheer-852</t>
  </si>
  <si>
    <t>ابو دشير-852</t>
  </si>
  <si>
    <t>Abu Dsheer-854</t>
  </si>
  <si>
    <t>ابو دشير-854</t>
  </si>
  <si>
    <t>Abu Dsheer-858</t>
  </si>
  <si>
    <t>ابو دشير-858</t>
  </si>
  <si>
    <t>Al Amerya-632</t>
  </si>
  <si>
    <t>العامرية-632</t>
  </si>
  <si>
    <t>Al Amerya-634</t>
  </si>
  <si>
    <t>العامرية-634</t>
  </si>
  <si>
    <t>Al Amerya-636</t>
  </si>
  <si>
    <t>العامرية-636</t>
  </si>
  <si>
    <t>Al Amerya-638</t>
  </si>
  <si>
    <t>العامرية-638</t>
  </si>
  <si>
    <t>Al Amreya-628</t>
  </si>
  <si>
    <t>العامرية-628</t>
  </si>
  <si>
    <t>Al Amreya-630</t>
  </si>
  <si>
    <t>العامرية-630</t>
  </si>
  <si>
    <t>Al Andls-613</t>
  </si>
  <si>
    <t>الاندلس-613</t>
  </si>
  <si>
    <t>Al Andulus-611</t>
  </si>
  <si>
    <t>الاندلس-611</t>
  </si>
  <si>
    <t>Al Andulus-617</t>
  </si>
  <si>
    <t>الاندلس-617</t>
  </si>
  <si>
    <t>Al Bayaa-817</t>
  </si>
  <si>
    <t>البياع-817</t>
  </si>
  <si>
    <t>Al Forat-893</t>
  </si>
  <si>
    <t>الفرات-893</t>
  </si>
  <si>
    <t>Al Forat-Shaka 6</t>
  </si>
  <si>
    <t>الفرات-شاخة 6</t>
  </si>
  <si>
    <t>Al Ghazaliya-649</t>
  </si>
  <si>
    <t>الغزالية-649</t>
  </si>
  <si>
    <t>Al Ghazaliya-651</t>
  </si>
  <si>
    <t>الغزالية-651</t>
  </si>
  <si>
    <t>Al Ghazaliya-653</t>
  </si>
  <si>
    <t>الغزالية-653</t>
  </si>
  <si>
    <t>Al Ghazaliya-655</t>
  </si>
  <si>
    <t>الغزالية-655</t>
  </si>
  <si>
    <t>Al Ghazaliya-659</t>
  </si>
  <si>
    <t>الغزالية-659</t>
  </si>
  <si>
    <t>Al Ghazaliya-665</t>
  </si>
  <si>
    <t>الغزالية-665</t>
  </si>
  <si>
    <t>Al Ghazaliya-667</t>
  </si>
  <si>
    <t>الغزالية-667</t>
  </si>
  <si>
    <t>Al Ghazaliya-681</t>
  </si>
  <si>
    <t>الغزالية-681</t>
  </si>
  <si>
    <t>Al Ghazaliyah-685</t>
  </si>
  <si>
    <t>الغزالية-685</t>
  </si>
  <si>
    <t>Al Ilam-829</t>
  </si>
  <si>
    <t>الأعلام-829</t>
  </si>
  <si>
    <t>Al Ilam-831</t>
  </si>
  <si>
    <t>الأعلام-831</t>
  </si>
  <si>
    <t>Al Iskan(Al Masfi)-822</t>
  </si>
  <si>
    <t>الاسكان-822(المصافي)</t>
  </si>
  <si>
    <t>Al Jameah-627</t>
  </si>
  <si>
    <t>الجامعة-627</t>
  </si>
  <si>
    <t>Al Jameah-629</t>
  </si>
  <si>
    <t>الجامعة-629</t>
  </si>
  <si>
    <t>Al Jameah-631</t>
  </si>
  <si>
    <t>الجامعة-631</t>
  </si>
  <si>
    <t>Al Jameah-633</t>
  </si>
  <si>
    <t>الجامعة-633</t>
  </si>
  <si>
    <t>Al Jameah-635</t>
  </si>
  <si>
    <t>الجامعة 635</t>
  </si>
  <si>
    <t>Al Jamhoriyah(Al Masfi)-838</t>
  </si>
  <si>
    <t>الجمهورية 838(المصافي)</t>
  </si>
  <si>
    <t>Al Jazaer-804</t>
  </si>
  <si>
    <t>الجزائر-804</t>
  </si>
  <si>
    <t>Al Jazaer-818</t>
  </si>
  <si>
    <t>الجزائر-818</t>
  </si>
  <si>
    <t>Al Jazaer-820</t>
  </si>
  <si>
    <t>الجزائر-820</t>
  </si>
  <si>
    <t>Al Jazera-806</t>
  </si>
  <si>
    <t>الجزيرة-806</t>
  </si>
  <si>
    <t>Al Jazera-808</t>
  </si>
  <si>
    <t>الجزيرة-808</t>
  </si>
  <si>
    <t>Al Jazera-812</t>
  </si>
  <si>
    <t>الجزيرة-812</t>
  </si>
  <si>
    <t>Al Jazera-814</t>
  </si>
  <si>
    <t>الجزيرة-814</t>
  </si>
  <si>
    <t>Al Karkh-212</t>
  </si>
  <si>
    <t>الكرخ-212</t>
  </si>
  <si>
    <t>Al Karkh-216</t>
  </si>
  <si>
    <t>الكرخ-216</t>
  </si>
  <si>
    <t>Al Khadraa-639</t>
  </si>
  <si>
    <t>الخضراء-639</t>
  </si>
  <si>
    <t>Al Khadraa-640</t>
  </si>
  <si>
    <t>الخضراء-640</t>
  </si>
  <si>
    <t>Al Maalef-837</t>
  </si>
  <si>
    <t>المعالف-837</t>
  </si>
  <si>
    <t>Al Maalef-843</t>
  </si>
  <si>
    <t>المعالف-843</t>
  </si>
  <si>
    <t>Al Mechanic (Al Hader)-834</t>
  </si>
  <si>
    <t>الميكانيك-834(الحضر)</t>
  </si>
  <si>
    <t>Al Mechanic(Al Hader)-830</t>
  </si>
  <si>
    <t>الميكانيك-830(الحضر)</t>
  </si>
  <si>
    <t>Al Mechanic(Al Hader)-832</t>
  </si>
  <si>
    <t>الميكانيك-832(الحضر)</t>
  </si>
  <si>
    <t>Al Mowasalat-863</t>
  </si>
  <si>
    <t>المواصلات-863</t>
  </si>
  <si>
    <t>Al Mutanbi-603</t>
  </si>
  <si>
    <t>المتنبي-603</t>
  </si>
  <si>
    <t>Al Mutanbi-605</t>
  </si>
  <si>
    <t>المتنبي-605</t>
  </si>
  <si>
    <t>Al Mutanbi-607</t>
  </si>
  <si>
    <t>المتنبي-607</t>
  </si>
  <si>
    <t>Al Mutanbi-615</t>
  </si>
  <si>
    <t>المتنبي-615</t>
  </si>
  <si>
    <t>Al Qadissiya-602</t>
  </si>
  <si>
    <t>القادسية-602</t>
  </si>
  <si>
    <t>Al Qadissiya-604</t>
  </si>
  <si>
    <t>القادسية-604</t>
  </si>
  <si>
    <t>Al Qadissiya-606</t>
  </si>
  <si>
    <t>القادسية-606</t>
  </si>
  <si>
    <t>Al Radwania</t>
  </si>
  <si>
    <t>منطقة الرضوانية</t>
  </si>
  <si>
    <t>Al Raie 861</t>
  </si>
  <si>
    <t>الري 861</t>
  </si>
  <si>
    <t>Al Resala-849</t>
  </si>
  <si>
    <t>الرسالة-849</t>
  </si>
  <si>
    <t>Al Resala-851</t>
  </si>
  <si>
    <t>الرسالة-851</t>
  </si>
  <si>
    <t>Al Resala-853</t>
  </si>
  <si>
    <t>الرسالة-853</t>
  </si>
  <si>
    <t>Al Resala-855</t>
  </si>
  <si>
    <t>الرسالة-855</t>
  </si>
  <si>
    <t>Al Salahiya-222</t>
  </si>
  <si>
    <t>الصالحية-222</t>
  </si>
  <si>
    <t>Al Saydia-835</t>
  </si>
  <si>
    <t>السيدية-835</t>
  </si>
  <si>
    <t>Al Saydiya-821</t>
  </si>
  <si>
    <t>السيدية-821</t>
  </si>
  <si>
    <t>Al Saydiya-823</t>
  </si>
  <si>
    <t>السيدية-823</t>
  </si>
  <si>
    <t>Al Saydiya-825</t>
  </si>
  <si>
    <t>السيدية-825</t>
  </si>
  <si>
    <t>Al Shabab-839</t>
  </si>
  <si>
    <t>الشباب-839</t>
  </si>
  <si>
    <t>Al Shurta-857</t>
  </si>
  <si>
    <t>الشرطة-857</t>
  </si>
  <si>
    <t>Al Shurta-865</t>
  </si>
  <si>
    <t>الشرطة-865</t>
  </si>
  <si>
    <t>Al Shurta-869</t>
  </si>
  <si>
    <t>الشرطة-869</t>
  </si>
  <si>
    <t>Al Shurta-875</t>
  </si>
  <si>
    <t>الشرطة-875</t>
  </si>
  <si>
    <t>Al Shurtah-867</t>
  </si>
  <si>
    <t>الشرطة-867</t>
  </si>
  <si>
    <t>Al Toma(Al Masfi)-826</t>
  </si>
  <si>
    <t>الطعمة-826(المصافي)</t>
  </si>
  <si>
    <t>Al Wadi(Al Masfi)-824</t>
  </si>
  <si>
    <t>الوادي-824(المصافي)</t>
  </si>
  <si>
    <t>Al Yarmok-614</t>
  </si>
  <si>
    <t>اليرموك-614</t>
  </si>
  <si>
    <t>Al Yarmouk-608</t>
  </si>
  <si>
    <t>اليرموك-608</t>
  </si>
  <si>
    <t>Al Yarmouk-610</t>
  </si>
  <si>
    <t>اليرموك-610</t>
  </si>
  <si>
    <t>Al Yarmouk-612</t>
  </si>
  <si>
    <t>اليرموك-612</t>
  </si>
  <si>
    <t>Al Yarmouk-616</t>
  </si>
  <si>
    <t>اليرموك-616</t>
  </si>
  <si>
    <t>Al-Mansour-601</t>
  </si>
  <si>
    <t>حي المنصور-601</t>
  </si>
  <si>
    <t>Al-Mansour-609</t>
  </si>
  <si>
    <t>حي المنصور-609</t>
  </si>
  <si>
    <t>Albo_Aitha</t>
  </si>
  <si>
    <t>البو عيثا</t>
  </si>
  <si>
    <t>Arab jbor</t>
  </si>
  <si>
    <t>عرب جبور</t>
  </si>
  <si>
    <t>Asia(Al Hader)-836</t>
  </si>
  <si>
    <t>اسيا-836(الحضر)</t>
  </si>
  <si>
    <t>Hateen-620</t>
  </si>
  <si>
    <t>حطين-620</t>
  </si>
  <si>
    <t>Hateen-622</t>
  </si>
  <si>
    <t>حطين-622</t>
  </si>
  <si>
    <t>Hay Al Adil-647</t>
  </si>
  <si>
    <t>حي العدل-647</t>
  </si>
  <si>
    <t>Hay Al Adil-657</t>
  </si>
  <si>
    <t>حي العدل-657</t>
  </si>
  <si>
    <t>Hay Al Amel-805</t>
  </si>
  <si>
    <t>حي العامل-805</t>
  </si>
  <si>
    <t>Hay Al Amel-811</t>
  </si>
  <si>
    <t>حي العامل-811</t>
  </si>
  <si>
    <t>Hay Al Amil-801</t>
  </si>
  <si>
    <t>حي العامل-801</t>
  </si>
  <si>
    <t>Hay Al Amil-803</t>
  </si>
  <si>
    <t>حي العامل-803</t>
  </si>
  <si>
    <t>Hay Al Amil-807</t>
  </si>
  <si>
    <t>حي العامل-807</t>
  </si>
  <si>
    <t>Hay Al Amil-809</t>
  </si>
  <si>
    <t>حي العامل-809</t>
  </si>
  <si>
    <t>Hay Al Amil-813</t>
  </si>
  <si>
    <t>حي العامل-813</t>
  </si>
  <si>
    <t>Hay Al Amil-815</t>
  </si>
  <si>
    <t>حي العامل-815</t>
  </si>
  <si>
    <t>Hay al jamiyah (Al Masfi)-842</t>
  </si>
  <si>
    <t>حي الجمعية-842(المصافي)</t>
  </si>
  <si>
    <t>Hay Al Jehad-879</t>
  </si>
  <si>
    <t>حي الجهاد-879</t>
  </si>
  <si>
    <t>Hay Al Jehad-881</t>
  </si>
  <si>
    <t>حي الجهاد-881</t>
  </si>
  <si>
    <t>Hay Al Jehad-883</t>
  </si>
  <si>
    <t>حي الجهاد-883</t>
  </si>
  <si>
    <t>Hay Al Jehad-887</t>
  </si>
  <si>
    <t>حي الجهاد-887</t>
  </si>
  <si>
    <t>Hay Al Jehad-891</t>
  </si>
  <si>
    <t>حي الجهاد-891</t>
  </si>
  <si>
    <t>Hoor Rajab</t>
  </si>
  <si>
    <t>هور رجب</t>
  </si>
  <si>
    <t>Sheikh Maaroof-204</t>
  </si>
  <si>
    <t>شيخ معروف-204</t>
  </si>
  <si>
    <t>Sheikh Maaroof-206</t>
  </si>
  <si>
    <t>شيخ معروف-206</t>
  </si>
  <si>
    <t>Sheikh Maaroof-208</t>
  </si>
  <si>
    <t>شيخ معروف-208</t>
  </si>
  <si>
    <t>Sheikh Maaroof-210</t>
  </si>
  <si>
    <t>شيخ معروف-210</t>
  </si>
  <si>
    <t>Sheikh Maaroof-214</t>
  </si>
  <si>
    <t>شيخ معروف-214</t>
  </si>
  <si>
    <t>Shurta Al Masafi-840</t>
  </si>
  <si>
    <t>شرطة المصافي 840(المصافي)</t>
  </si>
  <si>
    <t>Shurtah Al Hader-846</t>
  </si>
  <si>
    <t>شرطة الحضر-846</t>
  </si>
  <si>
    <t>Suwaib-871</t>
  </si>
  <si>
    <t>سويب-871</t>
  </si>
  <si>
    <t>Uwayrij</t>
  </si>
  <si>
    <t>عويريج</t>
  </si>
  <si>
    <t>Mada'in</t>
  </si>
  <si>
    <t>9 Nissan</t>
  </si>
  <si>
    <t>9 نيسان</t>
  </si>
  <si>
    <t>Abu Thaila Village</t>
  </si>
  <si>
    <t>قرية ابو ثيلة</t>
  </si>
  <si>
    <t>Al Arefia</t>
  </si>
  <si>
    <t>العريفية</t>
  </si>
  <si>
    <t>Al Ehsan Complex</t>
  </si>
  <si>
    <t>مجمع الاحسان</t>
  </si>
  <si>
    <t>Al Imam Al Redha Village</t>
  </si>
  <si>
    <t>قرية الامام الرضا</t>
  </si>
  <si>
    <t>Al Karagolia</t>
  </si>
  <si>
    <t>الكرغولية</t>
  </si>
  <si>
    <t>Al Reyad</t>
  </si>
  <si>
    <t>الرياض</t>
  </si>
  <si>
    <t>Al Samadia</t>
  </si>
  <si>
    <t>الصمدية</t>
  </si>
  <si>
    <t>Al Tuwetha</t>
  </si>
  <si>
    <t>التويثة</t>
  </si>
  <si>
    <t>Al Wardia</t>
  </si>
  <si>
    <t>الوردية</t>
  </si>
  <si>
    <t>Al Wehda-Village 10</t>
  </si>
  <si>
    <t>الوحده-القرية 10</t>
  </si>
  <si>
    <t>Al-Murtadha Village</t>
  </si>
  <si>
    <t>قرية المرتضى</t>
  </si>
  <si>
    <t>Al-Nabi Younis Camp</t>
  </si>
  <si>
    <t>مخيم النبي يونس</t>
  </si>
  <si>
    <t>Hay Al Arooba</t>
  </si>
  <si>
    <t>حي العروبة</t>
  </si>
  <si>
    <t>Hay Al Farwk</t>
  </si>
  <si>
    <t>Hay al Jamaiya</t>
  </si>
  <si>
    <t>حي الجمعية</t>
  </si>
  <si>
    <t>Hay Al Mujtaba</t>
  </si>
  <si>
    <t>حي المجتبى</t>
  </si>
  <si>
    <t>Hay Al Murtha</t>
  </si>
  <si>
    <t xml:space="preserve">Hay al Qadsiya </t>
  </si>
  <si>
    <t>Hay Al Taaf</t>
  </si>
  <si>
    <t>حي الطف</t>
  </si>
  <si>
    <t>Hay Al-Muntathar</t>
  </si>
  <si>
    <t>حي المنتظر</t>
  </si>
  <si>
    <t>Hay Ali Al kaaby</t>
  </si>
  <si>
    <t>حي علي الكعبي</t>
  </si>
  <si>
    <t>Hay Haethm Al Zaidy</t>
  </si>
  <si>
    <t>حي هيثم الزيدي</t>
  </si>
  <si>
    <t>Jaara</t>
  </si>
  <si>
    <t>جعارة</t>
  </si>
  <si>
    <t>Mahmoudiya</t>
  </si>
  <si>
    <t>14 Tamooz</t>
  </si>
  <si>
    <t>حي 14 تموز</t>
  </si>
  <si>
    <t>Al Adwaniya</t>
  </si>
  <si>
    <t>العدوانية</t>
  </si>
  <si>
    <t>Al Latefia-Al Qadessia</t>
  </si>
  <si>
    <t>اللطيفية-حي القادسية</t>
  </si>
  <si>
    <t>Al Latefia-Al Salam</t>
  </si>
  <si>
    <t>اللطيفية-السلام</t>
  </si>
  <si>
    <t>Al Qaser Al Wsat Area-Hai Al Jameia</t>
  </si>
  <si>
    <t>القصر والوسط-حي الجمعية</t>
  </si>
  <si>
    <t>Al Radhwania Al Sharkia-Obaid Al Saher Village</t>
  </si>
  <si>
    <t>الرضوانية الشرقية-قرية عبيد الساهر</t>
  </si>
  <si>
    <t>Al sajad Complex</t>
  </si>
  <si>
    <t>مجمع السجاد</t>
  </si>
  <si>
    <t>Al Zahraa Complex</t>
  </si>
  <si>
    <t>مجمع الزهراء</t>
  </si>
  <si>
    <t>Al-Rasheed-14 Tamoz</t>
  </si>
  <si>
    <t>الرشيد-14 تموز</t>
  </si>
  <si>
    <t>Biyar Al-Hamam</t>
  </si>
  <si>
    <t>مقاطعة بير الحمام</t>
  </si>
  <si>
    <t>Dereia w Um Mahar</t>
  </si>
  <si>
    <t>مقاطعة ديرية وأم محار</t>
  </si>
  <si>
    <t>Hay Al Mazraa</t>
  </si>
  <si>
    <t xml:space="preserve">حي المزرعة </t>
  </si>
  <si>
    <t>Hay Al Modhafeen-210</t>
  </si>
  <si>
    <t>حي الموظفين-210</t>
  </si>
  <si>
    <t>Hay Al Rasul</t>
  </si>
  <si>
    <t>Hay Al Shuhada(Al kragolyia)</t>
  </si>
  <si>
    <t>حي الشهداء(الكرغولية)</t>
  </si>
  <si>
    <t>Hay Al Zuhoor</t>
  </si>
  <si>
    <t>Hay Al-Askary</t>
  </si>
  <si>
    <t>Hay Al-Rubaiy-204</t>
  </si>
  <si>
    <t>حي الربيعي-204</t>
  </si>
  <si>
    <t>Hay Al-Sajjad</t>
  </si>
  <si>
    <t>حي السجاد</t>
  </si>
  <si>
    <t>Hay Al-Zaahraa</t>
  </si>
  <si>
    <t>حي الزهراء</t>
  </si>
  <si>
    <t>Hay Al-Zayton</t>
  </si>
  <si>
    <t>حي الزيتون</t>
  </si>
  <si>
    <t>Hay Bader</t>
  </si>
  <si>
    <t>حي بدر</t>
  </si>
  <si>
    <t>Kilo 18</t>
  </si>
  <si>
    <t>كيلو 18</t>
  </si>
  <si>
    <t>Kilo 25</t>
  </si>
  <si>
    <t>كيلو 25</t>
  </si>
  <si>
    <t>Kilo 31</t>
  </si>
  <si>
    <t>كيلو 31</t>
  </si>
  <si>
    <t>Latifiya 1 &amp; 2 Camp</t>
  </si>
  <si>
    <t>مخيم اللطيفية</t>
  </si>
  <si>
    <t>Sader Al Yousfiya</t>
  </si>
  <si>
    <t>صدر اليوسفية</t>
  </si>
  <si>
    <t>Tell Al Sumer village</t>
  </si>
  <si>
    <t>قرية تل السمر</t>
  </si>
  <si>
    <t>Tarmia</t>
  </si>
  <si>
    <t>Abu Sreweel Village</t>
  </si>
  <si>
    <t>قرية أبو سريويل</t>
  </si>
  <si>
    <t>Al Farook Quarter-1</t>
  </si>
  <si>
    <t>حي الفاروق-1</t>
  </si>
  <si>
    <t>Al Farook Quarter-2</t>
  </si>
  <si>
    <t>حي الفاروق-2</t>
  </si>
  <si>
    <t>Al Khadraa village</t>
  </si>
  <si>
    <t>قرية الخضراء</t>
  </si>
  <si>
    <t>Al Rawad</t>
  </si>
  <si>
    <t>الرواد</t>
  </si>
  <si>
    <t>Al Tarmiya Center</t>
  </si>
  <si>
    <t>مركز الطارمية</t>
  </si>
  <si>
    <t>Al-Abayechi-1</t>
  </si>
  <si>
    <t>العبايجي-1</t>
  </si>
  <si>
    <t>Al-Abayechi-10</t>
  </si>
  <si>
    <t>العبايجي-10</t>
  </si>
  <si>
    <t>Hai Al Hukem Al Mahali</t>
  </si>
  <si>
    <t>حي الحكم المحلي</t>
  </si>
  <si>
    <t>Hai Al Qadessia-1</t>
  </si>
  <si>
    <t>حي القادسية-1</t>
  </si>
  <si>
    <t>Hai Al Qadessia-2</t>
  </si>
  <si>
    <t>حي القادسية-2</t>
  </si>
  <si>
    <t>Hai Al Resala</t>
  </si>
  <si>
    <t>حي الرسالة</t>
  </si>
  <si>
    <t>Hai Al Sedeq</t>
  </si>
  <si>
    <t>Hai Al Turba</t>
  </si>
  <si>
    <t>حي التربة</t>
  </si>
  <si>
    <t>Hai Al Wehda</t>
  </si>
  <si>
    <t>حي الوحدة</t>
  </si>
  <si>
    <t>Hamadi Al Khalil Village</t>
  </si>
  <si>
    <t>قرية حمادي الخليل</t>
  </si>
  <si>
    <t>Nadeem-1 Village</t>
  </si>
  <si>
    <t>قرية نديم-1</t>
  </si>
  <si>
    <t>Nadeem-2 Village</t>
  </si>
  <si>
    <t>قرية نديم-2</t>
  </si>
  <si>
    <t>Thawra1</t>
  </si>
  <si>
    <t>Al Sadir-527</t>
  </si>
  <si>
    <t>الصدر-527</t>
  </si>
  <si>
    <t>Thawra2</t>
  </si>
  <si>
    <t>Al Sadir 2-511</t>
  </si>
  <si>
    <t>الصدر 2-511</t>
  </si>
  <si>
    <t>Al Sadir 2-512</t>
  </si>
  <si>
    <t>الصدر 2-512</t>
  </si>
  <si>
    <t>Al Sadir 2-513</t>
  </si>
  <si>
    <t>الصدر-513</t>
  </si>
  <si>
    <t>Al Sadir 2-515</t>
  </si>
  <si>
    <t>الصدر-515</t>
  </si>
  <si>
    <t>Al Sadir 2-516</t>
  </si>
  <si>
    <t>الصدر-516</t>
  </si>
  <si>
    <t>Al Sadir 2-517</t>
  </si>
  <si>
    <t>الصدر-517</t>
  </si>
  <si>
    <t>Al Sadir 2-518</t>
  </si>
  <si>
    <t>الصدر-518</t>
  </si>
  <si>
    <t>Al Sadir 2-541</t>
  </si>
  <si>
    <t>الصدر-541</t>
  </si>
  <si>
    <t>Al Sadir 2-571</t>
  </si>
  <si>
    <t>الصدر-571</t>
  </si>
  <si>
    <t>Al Sadir 3-555</t>
  </si>
  <si>
    <t>الصدر 3-555</t>
  </si>
  <si>
    <t>Al Sadir 5-528</t>
  </si>
  <si>
    <t>الصدر-528</t>
  </si>
  <si>
    <t>Al Sadir 8-550</t>
  </si>
  <si>
    <t>الصدر 8-550</t>
  </si>
  <si>
    <t>Al Sadir3-535</t>
  </si>
  <si>
    <t>الصدر-535</t>
  </si>
  <si>
    <t>Al Sadir3-537</t>
  </si>
  <si>
    <t>الصدر-537</t>
  </si>
  <si>
    <t>Al Sadir4-547</t>
  </si>
  <si>
    <t>الصدر-547</t>
  </si>
  <si>
    <t>Al Sadir5-520</t>
  </si>
  <si>
    <t>الصدر-520</t>
  </si>
  <si>
    <t>Al Sadir5-522</t>
  </si>
  <si>
    <t>الصدر-522</t>
  </si>
  <si>
    <t>Al Sadir5-530</t>
  </si>
  <si>
    <t>الصدر-530</t>
  </si>
  <si>
    <t>Al Sadir5-532</t>
  </si>
  <si>
    <t>الصدر-532</t>
  </si>
  <si>
    <t>Al Sadir6-573</t>
  </si>
  <si>
    <t>الصدر-573</t>
  </si>
  <si>
    <t>Al Sadir6-575</t>
  </si>
  <si>
    <t>الصدر-575</t>
  </si>
  <si>
    <t>Al Sadir7-538</t>
  </si>
  <si>
    <t>الصدر-538</t>
  </si>
  <si>
    <t>Al Sadir7-544</t>
  </si>
  <si>
    <t>الصدر-544</t>
  </si>
  <si>
    <t>Abu Al-Khaseeb</t>
  </si>
  <si>
    <t>Abo Jawzy</t>
  </si>
  <si>
    <t>البصرة-ابو الخصيب-ابو الجوزي</t>
  </si>
  <si>
    <t>Abu flos</t>
  </si>
  <si>
    <t>البصرة-ابو الخصيب-ابو فلوس</t>
  </si>
  <si>
    <t>Abu Kusra</t>
  </si>
  <si>
    <t>ابو كوصره</t>
  </si>
  <si>
    <t>Abu magheera</t>
  </si>
  <si>
    <t>ابو مغيره</t>
  </si>
  <si>
    <t>Al Ibraheem</t>
  </si>
  <si>
    <t>ال ابراهيم</t>
  </si>
  <si>
    <t>Al-Abdaliyan</t>
  </si>
  <si>
    <t>البصرة-ابو الخصيب-العبدليان</t>
  </si>
  <si>
    <t>Al-Awjah</t>
  </si>
  <si>
    <t>البصرة-ابو الخصيب-العوجه</t>
  </si>
  <si>
    <t>Al-bahadria</t>
  </si>
  <si>
    <t xml:space="preserve">البهادرية </t>
  </si>
  <si>
    <t>Al-Dhaheeria</t>
  </si>
  <si>
    <t>ظاهرية</t>
  </si>
  <si>
    <t>Al-jadida</t>
  </si>
  <si>
    <t>البصرة-ابو الخصيب-الجُديدا</t>
  </si>
  <si>
    <t>Al-Nizelah</t>
  </si>
  <si>
    <t xml:space="preserve">النزيلة </t>
  </si>
  <si>
    <t>Al-romia</t>
  </si>
  <si>
    <t>الرومية</t>
  </si>
  <si>
    <t>Al-Sankar</t>
  </si>
  <si>
    <t>الصنكر</t>
  </si>
  <si>
    <t>Al-Sibiliat</t>
  </si>
  <si>
    <t>السيبيليات</t>
  </si>
  <si>
    <t>Awaisian</t>
  </si>
  <si>
    <t>عويسيان</t>
  </si>
  <si>
    <t>Bab al-dabagh</t>
  </si>
  <si>
    <t>باب دباغ</t>
  </si>
  <si>
    <t>Bab midan</t>
  </si>
  <si>
    <t xml:space="preserve">باب ميدان </t>
  </si>
  <si>
    <t>Bab sulaiman</t>
  </si>
  <si>
    <t>باب سليمان</t>
  </si>
  <si>
    <t>Bab taweel</t>
  </si>
  <si>
    <t>البصرة-ابو الخصيب-باب طويل</t>
  </si>
  <si>
    <t>Balad Sultan</t>
  </si>
  <si>
    <t>ابو الخصيب-بلد سلطان</t>
  </si>
  <si>
    <t>Darb Al-lebany</t>
  </si>
  <si>
    <t>البصرة-ابو الخصيب-درب اللباني</t>
  </si>
  <si>
    <t>Door Alasmeadh</t>
  </si>
  <si>
    <t>البصرة-ابو الخصيب-دور الاسمدة</t>
  </si>
  <si>
    <t>Hamdan</t>
  </si>
  <si>
    <t>البصرة-ابو الخصيب-حمدن</t>
  </si>
  <si>
    <t>Hay Al Askarye</t>
  </si>
  <si>
    <t xml:space="preserve">الحي العسكري </t>
  </si>
  <si>
    <t>Jekor</t>
  </si>
  <si>
    <t>جيكور</t>
  </si>
  <si>
    <t>Jelab</t>
  </si>
  <si>
    <t>جلاب</t>
  </si>
  <si>
    <t>Kut Al Solhy</t>
  </si>
  <si>
    <t>ابو الخصيب-كوت الصلحي</t>
  </si>
  <si>
    <t>Kut thewainy</t>
  </si>
  <si>
    <t>كوت ثويني</t>
  </si>
  <si>
    <t xml:space="preserve">Markas AlSiba </t>
  </si>
  <si>
    <t xml:space="preserve">مركز السيبة </t>
  </si>
  <si>
    <t>Mehila</t>
  </si>
  <si>
    <t>محيلة</t>
  </si>
  <si>
    <t>Mhjeran</t>
  </si>
  <si>
    <t>مهيجران</t>
  </si>
  <si>
    <t>Nahir khuz</t>
  </si>
  <si>
    <t>نهر خوز</t>
  </si>
  <si>
    <t>Yousifan</t>
  </si>
  <si>
    <t>البصرة-ابو الخصيب-يوسفان</t>
  </si>
  <si>
    <t>Al-Midaina</t>
  </si>
  <si>
    <t>Abo Shaoui</t>
  </si>
  <si>
    <t>ابو شاوي</t>
  </si>
  <si>
    <t>Abuv Ghazlan</t>
  </si>
  <si>
    <t>ابو غزلان</t>
  </si>
  <si>
    <t>Al Khas</t>
  </si>
  <si>
    <t>الخاص</t>
  </si>
  <si>
    <t>Al-a_wijah</t>
  </si>
  <si>
    <t>العويجة</t>
  </si>
  <si>
    <t>Al-rahmaniyah</t>
  </si>
  <si>
    <t xml:space="preserve">الرحمانية </t>
  </si>
  <si>
    <t>Alwan</t>
  </si>
  <si>
    <t>مدينة-العلوان</t>
  </si>
  <si>
    <t>Badran</t>
  </si>
  <si>
    <t>البصرة-المدينة-البدران</t>
  </si>
  <si>
    <t>Shuwayj</t>
  </si>
  <si>
    <t>ام الشويج</t>
  </si>
  <si>
    <t>Al-Qurna</t>
  </si>
  <si>
    <t>Al Dair-Al Zahra</t>
  </si>
  <si>
    <t>الدير-حي الزهراء</t>
  </si>
  <si>
    <t>Al Dair-Al-sharamkha</t>
  </si>
  <si>
    <t>الدير-الشرامخة</t>
  </si>
  <si>
    <t>Al Dair-Hay Al-Amil</t>
  </si>
  <si>
    <t>الدير-حي العامل</t>
  </si>
  <si>
    <t>Al Jelaa</t>
  </si>
  <si>
    <t>البصره-القرنه-الجلعه</t>
  </si>
  <si>
    <t>Al Sharsh Shalhat Al-Hassan</t>
  </si>
  <si>
    <t>الشرش-شلهة الحسن</t>
  </si>
  <si>
    <t>Al Thagar-Al-Nekhelat</t>
  </si>
  <si>
    <t>الثغر-النخيلات</t>
  </si>
  <si>
    <t>Al-Dair Al Imam Al Abas</t>
  </si>
  <si>
    <t>الدير-حي الامام العباس</t>
  </si>
  <si>
    <t>Al-mezearah</t>
  </si>
  <si>
    <t xml:space="preserve">القرنة-المزيرعة </t>
  </si>
  <si>
    <t>Al-nehairat</t>
  </si>
  <si>
    <t>النهيرات</t>
  </si>
  <si>
    <t>Al-nesaer</t>
  </si>
  <si>
    <t>النصير</t>
  </si>
  <si>
    <t>Al-shannanh</t>
  </si>
  <si>
    <t>الشنانه</t>
  </si>
  <si>
    <t>Hay al-juma_a</t>
  </si>
  <si>
    <t>البصرة-القرنة-حي جمعة</t>
  </si>
  <si>
    <t>Hay Al-Rabeaa</t>
  </si>
  <si>
    <t>حي الربيع</t>
  </si>
  <si>
    <t>Shifia</t>
  </si>
  <si>
    <t>شيفيا</t>
  </si>
  <si>
    <t>Al-Zubair</t>
  </si>
  <si>
    <t>Al Dawajin</t>
  </si>
  <si>
    <t>الزبير-الدواجن</t>
  </si>
  <si>
    <t>Al Dirhamiyah 1</t>
  </si>
  <si>
    <t>البصرة-الزبير-الدرهمية 1</t>
  </si>
  <si>
    <t>Al Petro</t>
  </si>
  <si>
    <t>الزبير-البيترو</t>
  </si>
  <si>
    <t>Al Rumilah Al Shamaliyah</t>
  </si>
  <si>
    <t>البصرة-الزبير-الرميلة الشمالية</t>
  </si>
  <si>
    <t>Al-Dur Al-Jahiza</t>
  </si>
  <si>
    <t>البصرة-الزبير-دور الجاهزة</t>
  </si>
  <si>
    <t>Al-jamhoriyah al-olah</t>
  </si>
  <si>
    <t>البصرة-الزبير-الجمهورية 1</t>
  </si>
  <si>
    <t>Al-jamhoriyah al-thaniyah</t>
  </si>
  <si>
    <t>الجمهورية 2</t>
  </si>
  <si>
    <t>Al-Kut</t>
  </si>
  <si>
    <t>الزبير-الكوت</t>
  </si>
  <si>
    <t>Al-marbed al-kadeem</t>
  </si>
  <si>
    <t xml:space="preserve">المربد القديم </t>
  </si>
  <si>
    <t>Al-rasheidiyah al-thaniyah</t>
  </si>
  <si>
    <t>البصرة-الزبير-الرشيدية 2</t>
  </si>
  <si>
    <t>Al-Rasheidiyah Alolh</t>
  </si>
  <si>
    <t>البصرة-الزبير-الرشيدية 1</t>
  </si>
  <si>
    <t>Al-Shemal Area</t>
  </si>
  <si>
    <t>البصرة-الزبير-محلة الشمال</t>
  </si>
  <si>
    <t>Al-Shuaiba Hay Al-Murtadh</t>
  </si>
  <si>
    <t>الشعيبة حي المرتضى</t>
  </si>
  <si>
    <t>Al-Zubair Hay AlAthar</t>
  </si>
  <si>
    <t>البصرة-الزبير-حي الاثار</t>
  </si>
  <si>
    <t>Door al-farook</t>
  </si>
  <si>
    <t xml:space="preserve">حي الفاروق </t>
  </si>
  <si>
    <t>Door Al-Mokawalat</t>
  </si>
  <si>
    <t>دور المقاولات</t>
  </si>
  <si>
    <t>Hai Al-Mualemin</t>
  </si>
  <si>
    <t>ام قصر حي المعلمين</t>
  </si>
  <si>
    <t>الزبير حي العسكري</t>
  </si>
  <si>
    <t>Hay Al Dirhamiyah 3</t>
  </si>
  <si>
    <t>البصرة-الزبير-الدرهمية 3</t>
  </si>
  <si>
    <t>Hay Al Fedaa</t>
  </si>
  <si>
    <t xml:space="preserve">حي الفداء </t>
  </si>
  <si>
    <t>Hay Al Hussain</t>
  </si>
  <si>
    <t>البصرة-الزبير-حي الحسين</t>
  </si>
  <si>
    <t>Hay Al Qaed Al muntadar</t>
  </si>
  <si>
    <t>حي القائد المنتظر</t>
  </si>
  <si>
    <t>Hay Al Sajad</t>
  </si>
  <si>
    <t>Hay Al-hakim 2</t>
  </si>
  <si>
    <t>البصرة-الزبير-حي الحكيم-2</t>
  </si>
  <si>
    <t>Hay Alansar 1</t>
  </si>
  <si>
    <t>البصرة-الزبير-حي الانصار 1</t>
  </si>
  <si>
    <t>Hay Alansar 2</t>
  </si>
  <si>
    <t>البصرة-الزبير-حي الانصار2</t>
  </si>
  <si>
    <t>Hay Alansar 3</t>
  </si>
  <si>
    <t>البصرة-الزبير-حي الانصار3</t>
  </si>
  <si>
    <t>Hay Khalid</t>
  </si>
  <si>
    <t>حي خالد</t>
  </si>
  <si>
    <t>Hey Al khatoa</t>
  </si>
  <si>
    <t>حي الخطوة</t>
  </si>
  <si>
    <t>khor Al Zubair-Al-khwaisat</t>
  </si>
  <si>
    <t>خور الزبير-الخويسات</t>
  </si>
  <si>
    <t>khor Al Zubair-Hay Al Baqer Al Thaniyah</t>
  </si>
  <si>
    <t>خور الزبير-الباقر الثانية</t>
  </si>
  <si>
    <t>khor Al Zubair-Hay Al Baqer Al Ula</t>
  </si>
  <si>
    <t>خور الزبير-الباقر الاولى</t>
  </si>
  <si>
    <t>khor Al Zubair-Hay AL Hasan</t>
  </si>
  <si>
    <t>البصرة-الزبير-خور الزبير-حي الحسن</t>
  </si>
  <si>
    <t>Khor Al Zubir-Al Shuqaq</t>
  </si>
  <si>
    <t>خور الزبير-الشقق</t>
  </si>
  <si>
    <t>Khor Al zubir-Hay Al Zahra</t>
  </si>
  <si>
    <t>خور الزبير-حي الزهراء</t>
  </si>
  <si>
    <t>Khor Al zubir-Hay Al-Hakeem</t>
  </si>
  <si>
    <t>خور الزبير-حي الحكيم</t>
  </si>
  <si>
    <t>Khor Al zubir-Hay Al-Rasoul</t>
  </si>
  <si>
    <t>خور الزبير-حي الرسول</t>
  </si>
  <si>
    <t>Mahalat Al-Arab</t>
  </si>
  <si>
    <t>البصرة-الزبير-محلة العرب</t>
  </si>
  <si>
    <t>Safwan-Hay Al Risala</t>
  </si>
  <si>
    <t>سفوان-حي الرساله</t>
  </si>
  <si>
    <t>Safwan-Hay Al Tahreer</t>
  </si>
  <si>
    <t>سفوان-حي التحرير</t>
  </si>
  <si>
    <t>Umm Qasr-Al-hindiyah Al-Janobia</t>
  </si>
  <si>
    <t>ام قصير-الهندية الجنوبية</t>
  </si>
  <si>
    <t>Umm Qasr-Door Al-Moaneaa 1-Street 11</t>
  </si>
  <si>
    <t>دور الموانئ 1-أم قصير-شارع 11</t>
  </si>
  <si>
    <t>Umm Qasr-Hay Al-Qaeda</t>
  </si>
  <si>
    <t>ام قصير-حي القاعدة</t>
  </si>
  <si>
    <t>Village Al-Nakheel Al-Asria</t>
  </si>
  <si>
    <t>قرية النخيل العصرية</t>
  </si>
  <si>
    <t>5 Miles Al Bidhan</t>
  </si>
  <si>
    <t>5ميل البيضان</t>
  </si>
  <si>
    <t>5 Miles(Al Hady Al Thaniyah)</t>
  </si>
  <si>
    <t>5ميل الهادي الثانية</t>
  </si>
  <si>
    <t>5 Miles-AlHadi Al-Thalitha</t>
  </si>
  <si>
    <t xml:space="preserve">5ميل الهادي الثالثة </t>
  </si>
  <si>
    <t>Abu Hilwa</t>
  </si>
  <si>
    <t>الهارثة-ابو حلوه</t>
  </si>
  <si>
    <t>Abu sukhair</t>
  </si>
  <si>
    <t>ابو صخير</t>
  </si>
  <si>
    <t>Al Ablah</t>
  </si>
  <si>
    <t>البصرة-المعقل-الابله</t>
  </si>
  <si>
    <t>Al Amn Al Dakhly</t>
  </si>
  <si>
    <t xml:space="preserve">البصرة-الامن الداخلي </t>
  </si>
  <si>
    <t>Al Andolous</t>
  </si>
  <si>
    <t>الاندلس</t>
  </si>
  <si>
    <t>Al Ashar</t>
  </si>
  <si>
    <t>البصرة-العشار-العطيرية</t>
  </si>
  <si>
    <t>Al Ashar Center</t>
  </si>
  <si>
    <t>مركز العشار</t>
  </si>
  <si>
    <t>Al Harthah-Altaleaa</t>
  </si>
  <si>
    <t>الهارثة-الطليعة</t>
  </si>
  <si>
    <t>Al Harthah-Hay Al Risalah</t>
  </si>
  <si>
    <t>الهارثة-حي الرسالة</t>
  </si>
  <si>
    <t>Al Jazair-Al-Forsey</t>
  </si>
  <si>
    <t>الجزائر-الفرسي</t>
  </si>
  <si>
    <t>Al Jumhuriya</t>
  </si>
  <si>
    <t>البصرة-الجمهورية</t>
  </si>
  <si>
    <t>Al Kaim 1</t>
  </si>
  <si>
    <t>القائم 1</t>
  </si>
  <si>
    <t>Al Khaleej1</t>
  </si>
  <si>
    <t>البصرة-الجمعيات-حي الخليج 1</t>
  </si>
  <si>
    <t>Al Khaleej2</t>
  </si>
  <si>
    <t>البصرة-الجمعيات-حي الخليج 2</t>
  </si>
  <si>
    <t>Al Khaleej4</t>
  </si>
  <si>
    <t>البصرة-الجمعيات-حي الخليج 4</t>
  </si>
  <si>
    <t>Al Maqil</t>
  </si>
  <si>
    <t>البصرة-المعقل-حي جنادين</t>
  </si>
  <si>
    <t>Al Maqil-Al-Farancea</t>
  </si>
  <si>
    <t>المعقل-الفرنسية</t>
  </si>
  <si>
    <t>Al Maqil-Al-kindi</t>
  </si>
  <si>
    <t>البصرة-المعقل-الكندي</t>
  </si>
  <si>
    <t>Al Maqil-AlAhrar</t>
  </si>
  <si>
    <t>المعقل الاحرار</t>
  </si>
  <si>
    <t>AL Mowafaqiah</t>
  </si>
  <si>
    <t>البصرة-الموفقية</t>
  </si>
  <si>
    <t>Al Muhallab</t>
  </si>
  <si>
    <t>البصرة-حي المهلب</t>
  </si>
  <si>
    <t>Al Qabla-Hay Al Baladiyat</t>
  </si>
  <si>
    <t>البصرة-القبلة-حي البلديات</t>
  </si>
  <si>
    <t>Al Qibla-Al Shahid Al Sadir</t>
  </si>
  <si>
    <t>القبلة-الشهيد الصدر</t>
  </si>
  <si>
    <t>AL Qiziza</t>
  </si>
  <si>
    <t>الكزيزه</t>
  </si>
  <si>
    <t>AL Qiziza Hay AlSalam</t>
  </si>
  <si>
    <t>الكزيزه-حي السلام</t>
  </si>
  <si>
    <t>Al Sholah</t>
  </si>
  <si>
    <t>الشعله</t>
  </si>
  <si>
    <t>Al Tameemiya</t>
  </si>
  <si>
    <t>البصرة-التميمية</t>
  </si>
  <si>
    <t>Al Tuwaysa</t>
  </si>
  <si>
    <t>البصرة-الطويسه</t>
  </si>
  <si>
    <t>Al-abbasya</t>
  </si>
  <si>
    <t xml:space="preserve">العباسية </t>
  </si>
  <si>
    <t>Al-asma_i al-jadeed</t>
  </si>
  <si>
    <t>الاصمعي الجديد</t>
  </si>
  <si>
    <t>Al-badran</t>
  </si>
  <si>
    <t>البصرة-الهارثة-البدران</t>
  </si>
  <si>
    <t>Al-Baker &amp; Al-Ahrar</t>
  </si>
  <si>
    <t>البكر والاحرار</t>
  </si>
  <si>
    <t>Al-bradhia</t>
  </si>
  <si>
    <t>البصرة-البراضعية</t>
  </si>
  <si>
    <t>Al-hakeem</t>
  </si>
  <si>
    <t>البصرة-القبلة-حي الحكيم</t>
  </si>
  <si>
    <t>Al-hakemia</t>
  </si>
  <si>
    <t>البصرة-الحكيمية</t>
  </si>
  <si>
    <t>Al-hkadrawia</t>
  </si>
  <si>
    <t>الخضراوية</t>
  </si>
  <si>
    <t>Al-Jnaina</t>
  </si>
  <si>
    <t xml:space="preserve">الجنينة </t>
  </si>
  <si>
    <t>Al-jubaila_</t>
  </si>
  <si>
    <t>الجبيله</t>
  </si>
  <si>
    <t>Al-meshraq al-qadeem</t>
  </si>
  <si>
    <t>البصرة-المشراق القديم</t>
  </si>
  <si>
    <t>Al-Mishraq Al-Jadeed</t>
  </si>
  <si>
    <t>البصرة-المشراق-المشراق الجديد</t>
  </si>
  <si>
    <t>Al-mutaiha</t>
  </si>
  <si>
    <t xml:space="preserve">المطيحة </t>
  </si>
  <si>
    <t>Al-Sabkha Al-Kabeera</t>
  </si>
  <si>
    <t xml:space="preserve">الصبخة الكبيرة </t>
  </si>
  <si>
    <t>Al-Sabkha Al-Sagera</t>
  </si>
  <si>
    <t xml:space="preserve">الصبخة الصغيرة </t>
  </si>
  <si>
    <t>Al-tahseeniya al-qadeema</t>
  </si>
  <si>
    <t>التحسينية القديمة</t>
  </si>
  <si>
    <t>Al-Wiless</t>
  </si>
  <si>
    <t>المعقل الوايلس</t>
  </si>
  <si>
    <t>As-sa_ii</t>
  </si>
  <si>
    <t>الساعي</t>
  </si>
  <si>
    <t>As-safat-Al Qadima</t>
  </si>
  <si>
    <t>البصرة القديمة-الصفاة</t>
  </si>
  <si>
    <t>At-tahseeniya al-jadeda</t>
  </si>
  <si>
    <t>البصرة-التحسينية-التحسينية الجديده</t>
  </si>
  <si>
    <t>Basra al qadima-Al Sadoniyah</t>
  </si>
  <si>
    <t>البصرة القديمة-السعدونية</t>
  </si>
  <si>
    <t>Braiha</t>
  </si>
  <si>
    <t xml:space="preserve">بريهة </t>
  </si>
  <si>
    <t>Casino Lebnan</t>
  </si>
  <si>
    <t>البصرة-كازينو لبنان</t>
  </si>
  <si>
    <t>collective Al Assry(5 Miles Markets)</t>
  </si>
  <si>
    <t>مجمع العصري(سوق 5ميل)</t>
  </si>
  <si>
    <t>Door Al Dubbat</t>
  </si>
  <si>
    <t>دور الضباط</t>
  </si>
  <si>
    <t>Door al-hendiya</t>
  </si>
  <si>
    <t xml:space="preserve">دور الهندية </t>
  </si>
  <si>
    <t>Door Al-Saha</t>
  </si>
  <si>
    <t>دور الصحة</t>
  </si>
  <si>
    <t>Door Al-Shooen</t>
  </si>
  <si>
    <t>دور الشؤون</t>
  </si>
  <si>
    <t>Door Al-Shorta</t>
  </si>
  <si>
    <t>دور الشرطة</t>
  </si>
  <si>
    <t>Door as-sailo_</t>
  </si>
  <si>
    <t>دور السايلو</t>
  </si>
  <si>
    <t>Door at-taqa</t>
  </si>
  <si>
    <t xml:space="preserve">دور الطاقة </t>
  </si>
  <si>
    <t>Durr Al Naaft</t>
  </si>
  <si>
    <t>البصرة-دور النفط</t>
  </si>
  <si>
    <t xml:space="preserve">Dwaed </t>
  </si>
  <si>
    <t xml:space="preserve">دويد </t>
  </si>
  <si>
    <t>Hai al-bato_l</t>
  </si>
  <si>
    <t>حي البتول</t>
  </si>
  <si>
    <t>Hai al-hussain-1</t>
  </si>
  <si>
    <t>الحيانية-حي الحسين 1</t>
  </si>
  <si>
    <t>Hai al-hussain-2</t>
  </si>
  <si>
    <t>الحيانية-حي الحسين 2</t>
  </si>
  <si>
    <t>Hai al-kafa_at</t>
  </si>
  <si>
    <t>البصرة-حي الكفاءات</t>
  </si>
  <si>
    <t>Hai Al-Khadhraa</t>
  </si>
  <si>
    <t>حي الخضراء</t>
  </si>
  <si>
    <t>Hai al-mohandesin</t>
  </si>
  <si>
    <t>البصرة-حي المهندسين</t>
  </si>
  <si>
    <t>Hai al-mu_alemin</t>
  </si>
  <si>
    <t>البصرة القديمة-حي المعلمين</t>
  </si>
  <si>
    <t>Hai amman</t>
  </si>
  <si>
    <t>حي عمان</t>
  </si>
  <si>
    <t>حي الاساتذة</t>
  </si>
  <si>
    <t>Hay Al Hussain 4</t>
  </si>
  <si>
    <t>البصرة-الحيانية-حي الحسين 4</t>
  </si>
  <si>
    <t>Hay AL Hussainyia</t>
  </si>
  <si>
    <t>البصرة-حي الحسينية</t>
  </si>
  <si>
    <t>Hay Al Jamiah</t>
  </si>
  <si>
    <t>البصرة-القبلة-حي الجامعة</t>
  </si>
  <si>
    <t>Hay Al Qaim 2</t>
  </si>
  <si>
    <t>البصرة-القبلة-القائم 2</t>
  </si>
  <si>
    <t>Hay Al Rasheed</t>
  </si>
  <si>
    <t>البصرة-القبلة-حي الرشيد</t>
  </si>
  <si>
    <t>Hay Al Risalah</t>
  </si>
  <si>
    <t>البصرة-حي الرسالة</t>
  </si>
  <si>
    <t>القبلة-حي الشهداء</t>
  </si>
  <si>
    <t>Hay Al Zaiton</t>
  </si>
  <si>
    <t>Hay Al-Asdiqaa</t>
  </si>
  <si>
    <t>حي الاصدقاء</t>
  </si>
  <si>
    <t>Hay Al-Asmae Al-Qadeem</t>
  </si>
  <si>
    <t xml:space="preserve">حي الاصمعي القديم </t>
  </si>
  <si>
    <t>Hay Al-Husain 3</t>
  </si>
  <si>
    <t>البصرة-الحيانية-حي الحسين 3</t>
  </si>
  <si>
    <t>Hay Al-Morabaa</t>
  </si>
  <si>
    <t>الحيانية حي المربع</t>
  </si>
  <si>
    <t>Hay Al-Zohoor</t>
  </si>
  <si>
    <t>البصرة-العشار-حي الزهور</t>
  </si>
  <si>
    <t>Hay Tariq</t>
  </si>
  <si>
    <t>البصرة-المعقل-حي طارق</t>
  </si>
  <si>
    <t>Karmat Ali Hay Al Sadrain</t>
  </si>
  <si>
    <t>كرمة علي-حي الصدرين</t>
  </si>
  <si>
    <t>Kut al-hejaj</t>
  </si>
  <si>
    <t>البصرة-كوت الحجاج</t>
  </si>
  <si>
    <t>Kut al-hejaj-al-jadeed</t>
  </si>
  <si>
    <t>البصرة-كوت الحجاج الجديد</t>
  </si>
  <si>
    <t>Manawi Lajim Quarter</t>
  </si>
  <si>
    <t xml:space="preserve">مناوي لجم </t>
  </si>
  <si>
    <t>Manawi pasha</t>
  </si>
  <si>
    <t>مناوي باشا</t>
  </si>
  <si>
    <t>Markaz Al Harthah</t>
  </si>
  <si>
    <t>البصرة-مركز الهارثة</t>
  </si>
  <si>
    <t>Mojamaa Al Hussain Al Sakni</t>
  </si>
  <si>
    <t xml:space="preserve">مجمع الحسين السكني </t>
  </si>
  <si>
    <t>Mosa Kadhim</t>
  </si>
  <si>
    <t>البصرة-القبلة-موسى الكاظم</t>
  </si>
  <si>
    <t>Nadhran</t>
  </si>
  <si>
    <t>البصرة-نظران</t>
  </si>
  <si>
    <t>Najibiah</t>
  </si>
  <si>
    <t xml:space="preserve">نجيبية </t>
  </si>
  <si>
    <t>Sabkhat al-arab</t>
  </si>
  <si>
    <t>صبخة العرب</t>
  </si>
  <si>
    <t>Shafqat Al-Amil</t>
  </si>
  <si>
    <t>شفقة العامل</t>
  </si>
  <si>
    <t>Shatt Al-Tuark</t>
  </si>
  <si>
    <t>شط الترك</t>
  </si>
  <si>
    <t>Shuqaq al-faw</t>
  </si>
  <si>
    <t>البصرة-شقق الفاو</t>
  </si>
  <si>
    <t>Um Al Neajj</t>
  </si>
  <si>
    <t>البصرة-منطقة ام النعاج</t>
  </si>
  <si>
    <t>Yaseen Khurebtt</t>
  </si>
  <si>
    <t>ياسين خريبط</t>
  </si>
  <si>
    <t>Fao</t>
  </si>
  <si>
    <t>FAO Al Shamaliya-Hay Al Salam</t>
  </si>
  <si>
    <t>FAO Al-Shamaliya-Hay Al-Madaina</t>
  </si>
  <si>
    <t>حي المدينة</t>
  </si>
  <si>
    <t>FAO Aljanubia-Hay Al Hussain</t>
  </si>
  <si>
    <t>FAO Aljanubia-Hay Al Karar</t>
  </si>
  <si>
    <t>حي الكرار</t>
  </si>
  <si>
    <t>FAO Aljanubia-Hay Al Zahra</t>
  </si>
  <si>
    <t xml:space="preserve">Markaz Al Bahhar </t>
  </si>
  <si>
    <t>مركز البحار</t>
  </si>
  <si>
    <t>Shatt Al-Arab</t>
  </si>
  <si>
    <t>Al Hota</t>
  </si>
  <si>
    <t xml:space="preserve">الحوطة </t>
  </si>
  <si>
    <t>AL Jazira 3</t>
  </si>
  <si>
    <t>البصرة-شط العرب-الجزيرة 3</t>
  </si>
  <si>
    <t>Al Jazira-2</t>
  </si>
  <si>
    <t>البصرة-شط العرب-الجزيرة 2</t>
  </si>
  <si>
    <t>Al Nashwa-Mayah Aldhawaen</t>
  </si>
  <si>
    <t>النشوة-مياح الضواعن</t>
  </si>
  <si>
    <t>Al Sahel village</t>
  </si>
  <si>
    <t>شط العرب التنومه-الساحل</t>
  </si>
  <si>
    <t>Al-Kibasi Kabeer</t>
  </si>
  <si>
    <t>البصرة-شط العرب-الكباسي الكبير</t>
  </si>
  <si>
    <t>Alzregi</t>
  </si>
  <si>
    <t>الزريجي</t>
  </si>
  <si>
    <t>As salehiyah</t>
  </si>
  <si>
    <t xml:space="preserve">الصالحية </t>
  </si>
  <si>
    <t>Geridlan</t>
  </si>
  <si>
    <t>شط العرب التنومه-كردلان</t>
  </si>
  <si>
    <t>Hay Al Ghadeer</t>
  </si>
  <si>
    <t>شط العرب التنومه-حي الغدير</t>
  </si>
  <si>
    <t>Hay al-jami_a</t>
  </si>
  <si>
    <t>البصرة-شط العرب-حي الجامعة</t>
  </si>
  <si>
    <t>Shatt Al-Arab-Tanoma-17 St</t>
  </si>
  <si>
    <t>التنومه شارع 17</t>
  </si>
  <si>
    <t>Shatt Al-Arab-Tanoma-36 St</t>
  </si>
  <si>
    <t>شط العرب التنومه-شارع 36</t>
  </si>
  <si>
    <t>Street 40</t>
  </si>
  <si>
    <t>شط العرب التنومه-شارع 40</t>
  </si>
  <si>
    <t>Amedi</t>
  </si>
  <si>
    <t>عمادية</t>
  </si>
  <si>
    <t>Aradin</t>
  </si>
  <si>
    <t>ارادن</t>
  </si>
  <si>
    <t>Azadi</t>
  </si>
  <si>
    <t>آزادي</t>
  </si>
  <si>
    <t>Bamarne</t>
  </si>
  <si>
    <t>بامرني</t>
  </si>
  <si>
    <t>Barchi</t>
  </si>
  <si>
    <t>برجي</t>
  </si>
  <si>
    <t>Bebade</t>
  </si>
  <si>
    <t>بيبادي</t>
  </si>
  <si>
    <t>Benata</t>
  </si>
  <si>
    <t>بيناتا</t>
  </si>
  <si>
    <t>Blijanke</t>
  </si>
  <si>
    <t>بليجانكي</t>
  </si>
  <si>
    <t>Chalke</t>
  </si>
  <si>
    <t>جلكي</t>
  </si>
  <si>
    <t>Chamanke</t>
  </si>
  <si>
    <t>جمانكي</t>
  </si>
  <si>
    <t>Dawadia Camp</t>
  </si>
  <si>
    <t>مخيم داودية</t>
  </si>
  <si>
    <t>Dawodia Village</t>
  </si>
  <si>
    <t>قرية داودية</t>
  </si>
  <si>
    <t>Deraluk</t>
  </si>
  <si>
    <t>ديرلوك</t>
  </si>
  <si>
    <t>Dhe</t>
  </si>
  <si>
    <t>دهي</t>
  </si>
  <si>
    <t>Ghlbish</t>
  </si>
  <si>
    <t>غلبيش</t>
  </si>
  <si>
    <t>Goharze</t>
  </si>
  <si>
    <t>كوهرزي</t>
  </si>
  <si>
    <t>Hamza</t>
  </si>
  <si>
    <t>همزا</t>
  </si>
  <si>
    <t>Hamzike</t>
  </si>
  <si>
    <t>همزيكي</t>
  </si>
  <si>
    <t>Inishke</t>
  </si>
  <si>
    <t>اينشكي</t>
  </si>
  <si>
    <t>Kani</t>
  </si>
  <si>
    <t>كاني</t>
  </si>
  <si>
    <t>Kani Mase</t>
  </si>
  <si>
    <t>كاني ماسي</t>
  </si>
  <si>
    <t>Kanika</t>
  </si>
  <si>
    <t>كانيكا</t>
  </si>
  <si>
    <t>Kaniya Mala</t>
  </si>
  <si>
    <t>كانيا مالا</t>
  </si>
  <si>
    <t>Merstak</t>
  </si>
  <si>
    <t>ميرستك</t>
  </si>
  <si>
    <t>Mizi Village</t>
  </si>
  <si>
    <t>قرية ميزي</t>
  </si>
  <si>
    <t>Nahla Area</t>
  </si>
  <si>
    <t>منطقة نهلة</t>
  </si>
  <si>
    <t>Qadish Collective</t>
  </si>
  <si>
    <t>قدش</t>
  </si>
  <si>
    <t>Sarsink</t>
  </si>
  <si>
    <t>سرسنك</t>
  </si>
  <si>
    <t>Sayidava</t>
  </si>
  <si>
    <t>سيدافا</t>
  </si>
  <si>
    <t>Shekh Mama</t>
  </si>
  <si>
    <t>شيخ مما</t>
  </si>
  <si>
    <t>Sheladize Collective</t>
  </si>
  <si>
    <t>شيلادزي</t>
  </si>
  <si>
    <t>Sikreen</t>
  </si>
  <si>
    <t>سكرين</t>
  </si>
  <si>
    <t>Sowaratoka</t>
  </si>
  <si>
    <t>سوارتوكا</t>
  </si>
  <si>
    <t>Spindare</t>
  </si>
  <si>
    <t>سبيندارى</t>
  </si>
  <si>
    <t>Al Sinaah</t>
  </si>
  <si>
    <t>الصناعة</t>
  </si>
  <si>
    <t>Ashti</t>
  </si>
  <si>
    <t>آشتي</t>
  </si>
  <si>
    <t>Avrike</t>
  </si>
  <si>
    <t>افريكي</t>
  </si>
  <si>
    <t>Bablu</t>
  </si>
  <si>
    <t>بابلو</t>
  </si>
  <si>
    <t>Bagera</t>
  </si>
  <si>
    <t>باكيرا</t>
  </si>
  <si>
    <t>Bahdinan</t>
  </si>
  <si>
    <t>بهدينان</t>
  </si>
  <si>
    <t>Banasora</t>
  </si>
  <si>
    <t>بانصورا</t>
  </si>
  <si>
    <t>Banye</t>
  </si>
  <si>
    <t>باني</t>
  </si>
  <si>
    <t>Baroshka Saadin</t>
  </si>
  <si>
    <t>بروشكا سعدين</t>
  </si>
  <si>
    <t>Baroshke</t>
  </si>
  <si>
    <t>بروشكي</t>
  </si>
  <si>
    <t>Baroshke Complex</t>
  </si>
  <si>
    <t>مجمع بروشكي</t>
  </si>
  <si>
    <t>Bazaar</t>
  </si>
  <si>
    <t>بازار(سوق رئيسي)</t>
  </si>
  <si>
    <t>Betase</t>
  </si>
  <si>
    <t>بيتاسي</t>
  </si>
  <si>
    <t>Bintika</t>
  </si>
  <si>
    <t>بنتيكا</t>
  </si>
  <si>
    <t>Botan</t>
  </si>
  <si>
    <t>بوتان</t>
  </si>
  <si>
    <t>Dabin</t>
  </si>
  <si>
    <t>دابين</t>
  </si>
  <si>
    <t>Dabin 2</t>
  </si>
  <si>
    <t>دابين 2</t>
  </si>
  <si>
    <t>Diyari</t>
  </si>
  <si>
    <t>دياري</t>
  </si>
  <si>
    <t>Eminke</t>
  </si>
  <si>
    <t>امينكي</t>
  </si>
  <si>
    <t>Etit</t>
  </si>
  <si>
    <t>ايتيت</t>
  </si>
  <si>
    <t>Gali Dohuk</t>
  </si>
  <si>
    <t>كلي دهوك</t>
  </si>
  <si>
    <t>Gavarrke</t>
  </si>
  <si>
    <t>كفركي</t>
  </si>
  <si>
    <t>Kari Basi</t>
  </si>
  <si>
    <t>كري باصي</t>
  </si>
  <si>
    <t>Kevila</t>
  </si>
  <si>
    <t>كيفيلا</t>
  </si>
  <si>
    <t>Khabat Kojar</t>
  </si>
  <si>
    <t>خبات(كوجر)</t>
  </si>
  <si>
    <t>Kora</t>
  </si>
  <si>
    <t>كورا</t>
  </si>
  <si>
    <t>Kovle</t>
  </si>
  <si>
    <t>كوفلي</t>
  </si>
  <si>
    <t>Lower Malta</t>
  </si>
  <si>
    <t>مالتا سفلى</t>
  </si>
  <si>
    <t>Mangesh</t>
  </si>
  <si>
    <t>مانكيش</t>
  </si>
  <si>
    <t>Masik-1</t>
  </si>
  <si>
    <t>ماسيك 1</t>
  </si>
  <si>
    <t>Masik-2</t>
  </si>
  <si>
    <t>ماسيك 2</t>
  </si>
  <si>
    <t>Mazi</t>
  </si>
  <si>
    <t>مازي</t>
  </si>
  <si>
    <t>Midiya</t>
  </si>
  <si>
    <t>ميديا</t>
  </si>
  <si>
    <t>Mjlmakht</t>
  </si>
  <si>
    <t>مجلمخت</t>
  </si>
  <si>
    <t>Muhabad</t>
  </si>
  <si>
    <t>مهاباد</t>
  </si>
  <si>
    <t>Naor</t>
  </si>
  <si>
    <t>ناعور</t>
  </si>
  <si>
    <t>Nawroz</t>
  </si>
  <si>
    <t>نوروز</t>
  </si>
  <si>
    <t>Nazarke</t>
  </si>
  <si>
    <t>نزاركي</t>
  </si>
  <si>
    <t>Qassara</t>
  </si>
  <si>
    <t>قسارا</t>
  </si>
  <si>
    <t>Rashanke</t>
  </si>
  <si>
    <t>رشانكي</t>
  </si>
  <si>
    <t>Raza</t>
  </si>
  <si>
    <t>رزا</t>
  </si>
  <si>
    <t>Rizgari</t>
  </si>
  <si>
    <t>رزكاري</t>
  </si>
  <si>
    <t>Sarbasti</t>
  </si>
  <si>
    <t>سربستي</t>
  </si>
  <si>
    <t>Sarheldan</t>
  </si>
  <si>
    <t>سرهلدان</t>
  </si>
  <si>
    <t>Shahidan</t>
  </si>
  <si>
    <t>شهيدان</t>
  </si>
  <si>
    <t>Shakhke</t>
  </si>
  <si>
    <t>شاخكي</t>
  </si>
  <si>
    <t>Shele</t>
  </si>
  <si>
    <t>شيلي</t>
  </si>
  <si>
    <t>Shindukha</t>
  </si>
  <si>
    <t>شندوخا</t>
  </si>
  <si>
    <t>Shorash (Al Jamyah)</t>
  </si>
  <si>
    <t>شورش (الجمعية)</t>
  </si>
  <si>
    <t>Upper Malta</t>
  </si>
  <si>
    <t>مالتا العليا</t>
  </si>
  <si>
    <t>Zawita</t>
  </si>
  <si>
    <t>زاويتة</t>
  </si>
  <si>
    <t>Zeri Land</t>
  </si>
  <si>
    <t>زري لاند</t>
  </si>
  <si>
    <t>Zirka</t>
  </si>
  <si>
    <t>زركا</t>
  </si>
  <si>
    <t>Zozan</t>
  </si>
  <si>
    <t>زوزان</t>
  </si>
  <si>
    <t>Sumel</t>
  </si>
  <si>
    <t>Avro City</t>
  </si>
  <si>
    <t>افرو سيتي</t>
  </si>
  <si>
    <t>Bajet Kandala Camp</t>
  </si>
  <si>
    <t>مخيم باجت كندالا</t>
  </si>
  <si>
    <t>Bajit Kandala</t>
  </si>
  <si>
    <t>باجت كندال</t>
  </si>
  <si>
    <t>Bakhitme</t>
  </si>
  <si>
    <t>باختمي</t>
  </si>
  <si>
    <t>Basetki</t>
  </si>
  <si>
    <t>باستكي</t>
  </si>
  <si>
    <t>Batel</t>
  </si>
  <si>
    <t>باتيل</t>
  </si>
  <si>
    <t>Bazalan</t>
  </si>
  <si>
    <t>بازلان</t>
  </si>
  <si>
    <t>Dolib</t>
  </si>
  <si>
    <t>دلب</t>
  </si>
  <si>
    <t>Domiz-Halat</t>
  </si>
  <si>
    <t>دوميز هلات</t>
  </si>
  <si>
    <t>Domiz-Rozh</t>
  </si>
  <si>
    <t>دوميز روز</t>
  </si>
  <si>
    <t>Fayda</t>
  </si>
  <si>
    <t>فايدة</t>
  </si>
  <si>
    <t>Girsheen</t>
  </si>
  <si>
    <t>كرشين</t>
  </si>
  <si>
    <t>Haweri</t>
  </si>
  <si>
    <t>هويري</t>
  </si>
  <si>
    <t>Hawshke</t>
  </si>
  <si>
    <t>حوشكي</t>
  </si>
  <si>
    <t>Kabarto</t>
  </si>
  <si>
    <t>كبرتو</t>
  </si>
  <si>
    <t>Kabarto 1 Camp</t>
  </si>
  <si>
    <t>مخيم كبرتو 1</t>
  </si>
  <si>
    <t>Kabarto 2 Camp</t>
  </si>
  <si>
    <t>مخيم كبرتو 2</t>
  </si>
  <si>
    <t>Kamona</t>
  </si>
  <si>
    <t>كمونا</t>
  </si>
  <si>
    <t>Kar City</t>
  </si>
  <si>
    <t>كار ستي</t>
  </si>
  <si>
    <t>Khanke Camp</t>
  </si>
  <si>
    <t>مخيم خانكي</t>
  </si>
  <si>
    <t>Khanke Qadima</t>
  </si>
  <si>
    <t>خانكي قديمة</t>
  </si>
  <si>
    <t>Kherava</t>
  </si>
  <si>
    <t>خيرافا</t>
  </si>
  <si>
    <t>Marina</t>
  </si>
  <si>
    <t>مرينا</t>
  </si>
  <si>
    <t>Misereek</t>
  </si>
  <si>
    <t>مسيريك</t>
  </si>
  <si>
    <t>Moaskar Domiz</t>
  </si>
  <si>
    <t>معسكر دوميز</t>
  </si>
  <si>
    <t>Namrike</t>
  </si>
  <si>
    <t>نمريكي</t>
  </si>
  <si>
    <t>Nawro City</t>
  </si>
  <si>
    <t>نورو ستي</t>
  </si>
  <si>
    <t>New Zinya</t>
  </si>
  <si>
    <t>زينيا جديدة</t>
  </si>
  <si>
    <t>Old Mam Shvana</t>
  </si>
  <si>
    <t>مام شفانا قديمة</t>
  </si>
  <si>
    <t>Old Qasr Yazddin</t>
  </si>
  <si>
    <t>قسريزدين قديمة</t>
  </si>
  <si>
    <t>Old Sorka</t>
  </si>
  <si>
    <t>صوركا قديمة</t>
  </si>
  <si>
    <t>Old Zinya</t>
  </si>
  <si>
    <t>زينيا قديمة</t>
  </si>
  <si>
    <t>Qasr Yazddin</t>
  </si>
  <si>
    <t>قسر يزدين</t>
  </si>
  <si>
    <t>Ramilan City</t>
  </si>
  <si>
    <t>راميلان ستي</t>
  </si>
  <si>
    <t>Ribeybi</t>
  </si>
  <si>
    <t>ربيبي</t>
  </si>
  <si>
    <t>Rwanga Community Camp</t>
  </si>
  <si>
    <t>مخيم روانكه</t>
  </si>
  <si>
    <t>Seje</t>
  </si>
  <si>
    <t>سيجي</t>
  </si>
  <si>
    <t>Semel</t>
  </si>
  <si>
    <t>سيميل</t>
  </si>
  <si>
    <t>Shariya</t>
  </si>
  <si>
    <t>شاريا</t>
  </si>
  <si>
    <t>Shariya Camp</t>
  </si>
  <si>
    <t>مخيم شاريا</t>
  </si>
  <si>
    <t>Shorash</t>
  </si>
  <si>
    <t>شورش</t>
  </si>
  <si>
    <t>Small Mam Shvana</t>
  </si>
  <si>
    <t>مام شفانا صغيرة</t>
  </si>
  <si>
    <t>Soriya</t>
  </si>
  <si>
    <t>صوريا</t>
  </si>
  <si>
    <t>Tanahi</t>
  </si>
  <si>
    <t>تناهي</t>
  </si>
  <si>
    <t>Waarvin City</t>
  </si>
  <si>
    <t>وارفين ستي</t>
  </si>
  <si>
    <t>War City</t>
  </si>
  <si>
    <t>وار ستي</t>
  </si>
  <si>
    <t>Zakho</t>
  </si>
  <si>
    <t>Abasiya Sector</t>
  </si>
  <si>
    <t>قطاع عباسية</t>
  </si>
  <si>
    <t>Afirma</t>
  </si>
  <si>
    <t>افرما</t>
  </si>
  <si>
    <t>Ashe Chami Sector</t>
  </si>
  <si>
    <t>قطاع آشي جمي</t>
  </si>
  <si>
    <t>Bajika</t>
  </si>
  <si>
    <t>باجيكا</t>
  </si>
  <si>
    <t>Bakorman</t>
  </si>
  <si>
    <t>باكورمان</t>
  </si>
  <si>
    <t>Batifa</t>
  </si>
  <si>
    <t>باتيفا</t>
  </si>
  <si>
    <t>Bazar Sector</t>
  </si>
  <si>
    <t>قطاع بازار</t>
  </si>
  <si>
    <t>Bedar Sector</t>
  </si>
  <si>
    <t>قطاع بيدار</t>
  </si>
  <si>
    <t>Berseve 1 Camp</t>
  </si>
  <si>
    <t>مخيم بيرسفي1</t>
  </si>
  <si>
    <t>Berseve 2 Camp</t>
  </si>
  <si>
    <t>مخيم بيرسفي2</t>
  </si>
  <si>
    <t>Bersive</t>
  </si>
  <si>
    <t>بيرسفي</t>
  </si>
  <si>
    <t>Betase Sector</t>
  </si>
  <si>
    <t>قطاع بيتاسي</t>
  </si>
  <si>
    <t>Chamishku Camp</t>
  </si>
  <si>
    <t>مخيم جمشكو</t>
  </si>
  <si>
    <t>Chamkork</t>
  </si>
  <si>
    <t>جم كورك</t>
  </si>
  <si>
    <t>Darhozan</t>
  </si>
  <si>
    <t>دارهوزان</t>
  </si>
  <si>
    <t>Darkar</t>
  </si>
  <si>
    <t>دركار</t>
  </si>
  <si>
    <t>Darkar Camp</t>
  </si>
  <si>
    <t>مخيم دركار</t>
  </si>
  <si>
    <t>Diraboon</t>
  </si>
  <si>
    <t>ديربون</t>
  </si>
  <si>
    <t>Firqa Sector</t>
  </si>
  <si>
    <t>قطاع فرقة</t>
  </si>
  <si>
    <t>Fishkhaboor</t>
  </si>
  <si>
    <t>فيشخابور</t>
  </si>
  <si>
    <t>Gofk</t>
  </si>
  <si>
    <t>كوفك</t>
  </si>
  <si>
    <t>Grksindi</t>
  </si>
  <si>
    <t>كركسندي</t>
  </si>
  <si>
    <t>Hizawa</t>
  </si>
  <si>
    <t>هيزاوا</t>
  </si>
  <si>
    <t>Khrababka Sector</t>
  </si>
  <si>
    <t>قطاع خرابابكا</t>
  </si>
  <si>
    <t>Kochka Honari</t>
  </si>
  <si>
    <t>قطاع كوجكا هوناري</t>
  </si>
  <si>
    <t>Levo</t>
  </si>
  <si>
    <t>ليفو</t>
  </si>
  <si>
    <t>Mergasor</t>
  </si>
  <si>
    <t>ميركاسور</t>
  </si>
  <si>
    <t>Nafkandala</t>
  </si>
  <si>
    <t>نافكندالا</t>
  </si>
  <si>
    <t>Qarawla</t>
  </si>
  <si>
    <t>قرولا</t>
  </si>
  <si>
    <t>Rkawa Sector</t>
  </si>
  <si>
    <t>قطاع ركاوا</t>
  </si>
  <si>
    <t>Shabaniya Sector</t>
  </si>
  <si>
    <t>قطاع شعبانية</t>
  </si>
  <si>
    <t>Shinava</t>
  </si>
  <si>
    <t>شينافا</t>
  </si>
  <si>
    <t>Spindarook</t>
  </si>
  <si>
    <t>سبينداروك</t>
  </si>
  <si>
    <t>Tiyan</t>
  </si>
  <si>
    <t>تيان</t>
  </si>
  <si>
    <t>Al-Khalis</t>
  </si>
  <si>
    <t>Al Aqssa Village</t>
  </si>
  <si>
    <t>قرية الاقصى</t>
  </si>
  <si>
    <t>Al Askary Qtr</t>
  </si>
  <si>
    <t>الحي العسكري</t>
  </si>
  <si>
    <t>Al Ghalbiya</t>
  </si>
  <si>
    <t>الغالبية</t>
  </si>
  <si>
    <t>Al Gserin Village</t>
  </si>
  <si>
    <t>قرية كصيرين</t>
  </si>
  <si>
    <t>Al Hadid</t>
  </si>
  <si>
    <t>الحديد</t>
  </si>
  <si>
    <t>Al Hadid Old</t>
  </si>
  <si>
    <t>الحديد القديمة</t>
  </si>
  <si>
    <t>Al Hadid-Al Benook Qtr</t>
  </si>
  <si>
    <t>الحديد-حي البنوك</t>
  </si>
  <si>
    <t>Al Mohandseen Alzraeen Village</t>
  </si>
  <si>
    <t>قرية المهندسين الزراعيين</t>
  </si>
  <si>
    <t>Al Qadissiya Qtr</t>
  </si>
  <si>
    <t>Al Sadah Al Neeam Village</t>
  </si>
  <si>
    <t>قرية السادة النعيم</t>
  </si>
  <si>
    <t>Al Salam</t>
  </si>
  <si>
    <t>ناحية السلام-مركز الناحية</t>
  </si>
  <si>
    <t>Al Sindiyah village</t>
  </si>
  <si>
    <t>قرية السندية</t>
  </si>
  <si>
    <t>Al-Makareen Village</t>
  </si>
  <si>
    <t>قرية المكاريين</t>
  </si>
  <si>
    <t>Al-Sadah Village</t>
  </si>
  <si>
    <t>قرية السادة</t>
  </si>
  <si>
    <t>Arab Hamdan Village</t>
  </si>
  <si>
    <t>قرية عرب حمدان</t>
  </si>
  <si>
    <t>Arab Shanon</t>
  </si>
  <si>
    <t>عرب شعنون</t>
  </si>
  <si>
    <t>Arab Tetn village</t>
  </si>
  <si>
    <t>قرية عرب تتن</t>
  </si>
  <si>
    <t>Dalli Abass-Al Moalmeen Qtr</t>
  </si>
  <si>
    <t>دلي عباس-حي المعلمين</t>
  </si>
  <si>
    <t>Dalli Abass-Al Rasheed Qtr</t>
  </si>
  <si>
    <t>دلي عباس-حي الرشيد</t>
  </si>
  <si>
    <t>Dalli Abass-Al Shekh Hassan Qtr</t>
  </si>
  <si>
    <t>دلي عباس-حي الشيخ حسن</t>
  </si>
  <si>
    <t>Dalli Abass-Al-Dhobat Qtr</t>
  </si>
  <si>
    <t>دلي عباس-حي الضباط</t>
  </si>
  <si>
    <t>Dalli Abass-Al-Shuhada Qtr</t>
  </si>
  <si>
    <t>دلي عباس-حي الشهداء</t>
  </si>
  <si>
    <t>Dalli Abass-Kurd Ali</t>
  </si>
  <si>
    <t>دلي عباس-كرد علي</t>
  </si>
  <si>
    <t>Dalli Abass-The Old Qtr</t>
  </si>
  <si>
    <t>دلي عباس-الحي القديم</t>
  </si>
  <si>
    <t>Dawod Al-Salom village</t>
  </si>
  <si>
    <t>قرية داوود السلوم</t>
  </si>
  <si>
    <t>Hawaish Village</t>
  </si>
  <si>
    <t>قرية الحويش</t>
  </si>
  <si>
    <t>Hibhib-Abo Khurda Village</t>
  </si>
  <si>
    <t>هبهب-قرية ابو خردة</t>
  </si>
  <si>
    <t>Hibhib-Al Askary Qtr</t>
  </si>
  <si>
    <t>Hibhib-Al Asry Qtr</t>
  </si>
  <si>
    <t>الحي العصري</t>
  </si>
  <si>
    <t>Hibhib-Al Hashmya Village</t>
  </si>
  <si>
    <t>هبهب-قرية الهاشمية</t>
  </si>
  <si>
    <t>Hibhib-Al Lokmanya Village</t>
  </si>
  <si>
    <t>هبهب-قرية اللقمانية</t>
  </si>
  <si>
    <t>Hibhib-Al Shohadaa Qtr</t>
  </si>
  <si>
    <t>هبهب-حي الشهداء</t>
  </si>
  <si>
    <t>Hibhib-Al Yarmook Qtr</t>
  </si>
  <si>
    <t>هبهب-حي اليرموك</t>
  </si>
  <si>
    <t>Hibhib-Hay Al Resala</t>
  </si>
  <si>
    <t>هبهب-حي الرسالة</t>
  </si>
  <si>
    <t>Jadidat Al Shat village</t>
  </si>
  <si>
    <t>قرية جديدة الشط</t>
  </si>
  <si>
    <t>Markaz Al Khalis</t>
  </si>
  <si>
    <t>مركز الخالص</t>
  </si>
  <si>
    <t>Markaz Hibhib</t>
  </si>
  <si>
    <t>مركز هبهب</t>
  </si>
  <si>
    <t>Mujadad village</t>
  </si>
  <si>
    <t>قرية المجدد</t>
  </si>
  <si>
    <t>Saif Saad Qtr</t>
  </si>
  <si>
    <t>حي سيف سعد</t>
  </si>
  <si>
    <t>Al-Muqdadiya</t>
  </si>
  <si>
    <t>Al Abaraa Village</t>
  </si>
  <si>
    <t>قرية العبارة</t>
  </si>
  <si>
    <t>Ba'quba</t>
  </si>
  <si>
    <t>Al Asri Qtr</t>
  </si>
  <si>
    <t>حي العصري</t>
  </si>
  <si>
    <t>Al Badaa Village</t>
  </si>
  <si>
    <t>قرية البدعة</t>
  </si>
  <si>
    <t>Al Dawasir Qtr</t>
  </si>
  <si>
    <t>حي الدواسر</t>
  </si>
  <si>
    <t>Al Gatoon-Al Mujama Qtr</t>
  </si>
  <si>
    <t>الكاطون-حي المجمع</t>
  </si>
  <si>
    <t>Al Gatoon-Al rahma</t>
  </si>
  <si>
    <t>الكاطون-الرحمة</t>
  </si>
  <si>
    <t>Al Gatoon-Al Yarmook Qtr</t>
  </si>
  <si>
    <t>الكاطون-حي اليرموك</t>
  </si>
  <si>
    <t>Al Hawidar</t>
  </si>
  <si>
    <t>الهويدر</t>
  </si>
  <si>
    <t>Al Homerat Vellage</t>
  </si>
  <si>
    <t>قرية الحميرات</t>
  </si>
  <si>
    <t>Al Intesar-1 Qtr</t>
  </si>
  <si>
    <t>حي الانتصار 1</t>
  </si>
  <si>
    <t>Al Karama village</t>
  </si>
  <si>
    <t xml:space="preserve">قرية الكرامة </t>
  </si>
  <si>
    <t>Al Khadra Qtr</t>
  </si>
  <si>
    <t>Al Mafraq</t>
  </si>
  <si>
    <t>المفرق</t>
  </si>
  <si>
    <t>Al Mashtl Qtr</t>
  </si>
  <si>
    <t>Al Nasr Qtr</t>
  </si>
  <si>
    <t>Al Oroba Qtr</t>
  </si>
  <si>
    <t>Al Qadisiya Qtr</t>
  </si>
  <si>
    <t>Al Rasool Qtr</t>
  </si>
  <si>
    <t>Al Resala Qtr</t>
  </si>
  <si>
    <t>Al Sabtiyah village</t>
  </si>
  <si>
    <t>قرية السبتية</t>
  </si>
  <si>
    <t>Al Sadah village</t>
  </si>
  <si>
    <t xml:space="preserve">قرية السادة </t>
  </si>
  <si>
    <t>Al Sadah Village</t>
  </si>
  <si>
    <t>قرية السعادة</t>
  </si>
  <si>
    <t>Al Sadiq Qtr</t>
  </si>
  <si>
    <t>Al Salam Qtr</t>
  </si>
  <si>
    <t>Al Shikh village</t>
  </si>
  <si>
    <t xml:space="preserve">قرية الشيخ </t>
  </si>
  <si>
    <t>Al Shrika Qtr</t>
  </si>
  <si>
    <t>حي الشركة</t>
  </si>
  <si>
    <t>Al Tahreer</t>
  </si>
  <si>
    <t>التحرير</t>
  </si>
  <si>
    <t>Al Takiya</t>
  </si>
  <si>
    <t xml:space="preserve">التكية </t>
  </si>
  <si>
    <t>Al-Manjara Qtr</t>
  </si>
  <si>
    <t>حي المنجرة</t>
  </si>
  <si>
    <t>Al-Mualimeen-Shahid wadah Qtr</t>
  </si>
  <si>
    <t>حي المعلمين-الشهيد وضاح</t>
  </si>
  <si>
    <t>Al-Mualmeen Qtr</t>
  </si>
  <si>
    <t xml:space="preserve">حي المعلمين </t>
  </si>
  <si>
    <t>Al-Mustafa Qtr</t>
  </si>
  <si>
    <t>Al-Qatoon-Al Raazi Qtr</t>
  </si>
  <si>
    <t>الكاطون-حي الرازي</t>
  </si>
  <si>
    <t>Al-Shuhada Qtr</t>
  </si>
  <si>
    <t>Al-Sumud Qtr</t>
  </si>
  <si>
    <t>حي الصمود</t>
  </si>
  <si>
    <t>Al-Swamra village</t>
  </si>
  <si>
    <t>قرية السوامرة</t>
  </si>
  <si>
    <t>Bane Saad-Al-Askari Qtr</t>
  </si>
  <si>
    <t>Bani Saad-Al Salam Qtr</t>
  </si>
  <si>
    <t>بني سعد-حي السلام</t>
  </si>
  <si>
    <t>Bani Saad-Zahraa Qtr</t>
  </si>
  <si>
    <t>بني سعد-حي زهراء</t>
  </si>
  <si>
    <t>Buhriz-Al-Asri Qtr</t>
  </si>
  <si>
    <t>بهرز-الحي العصري</t>
  </si>
  <si>
    <t>Buhriz-Al-Mustafa Qtr</t>
  </si>
  <si>
    <t>بهرز-حي المصطفى</t>
  </si>
  <si>
    <t>Buhriz-Borgha Qtr</t>
  </si>
  <si>
    <t>بهرز-حي برغة</t>
  </si>
  <si>
    <t>Dor Mindli Qtr</t>
  </si>
  <si>
    <t>حي دور مندلي</t>
  </si>
  <si>
    <t>Ejbainat village</t>
  </si>
  <si>
    <t>قرية جبينات</t>
  </si>
  <si>
    <t>Fars Tarish Village</t>
  </si>
  <si>
    <t>قرية فارس طارش</t>
  </si>
  <si>
    <t>Had Al-Akhdhar village</t>
  </si>
  <si>
    <t xml:space="preserve">قرية الحد الاخضر </t>
  </si>
  <si>
    <t>Had Mekser</t>
  </si>
  <si>
    <t>حد مكسر</t>
  </si>
  <si>
    <t>Jorf Al Milih Qtr</t>
  </si>
  <si>
    <t>حي جرف الملح</t>
  </si>
  <si>
    <t>Kanbar Village</t>
  </si>
  <si>
    <t>قرية قنبر</t>
  </si>
  <si>
    <t>Khirnabat village</t>
  </si>
  <si>
    <t xml:space="preserve">قرية خرنابات </t>
  </si>
  <si>
    <t>Markaz Al Abara</t>
  </si>
  <si>
    <t>مركز ناحية العبارة</t>
  </si>
  <si>
    <t>Markaz Kanaan</t>
  </si>
  <si>
    <t xml:space="preserve">مركز ناحية كنعان </t>
  </si>
  <si>
    <t>Mohamed sakran</t>
  </si>
  <si>
    <t>محمد سكران</t>
  </si>
  <si>
    <t>Muskar Saad Camp</t>
  </si>
  <si>
    <t>مخيم معسكر سعد</t>
  </si>
  <si>
    <t>Muskar Saad Qtr</t>
  </si>
  <si>
    <t xml:space="preserve">حي معسكر سعد </t>
  </si>
  <si>
    <t>Nahr Alshikh Village</t>
  </si>
  <si>
    <t>قرية نهر الشيخ</t>
  </si>
  <si>
    <t>Nahr Ibraheem Village</t>
  </si>
  <si>
    <t>قرية نهر ابراهيم</t>
  </si>
  <si>
    <t>New Baquba Qtr</t>
  </si>
  <si>
    <t>حي بعقوبة الجديدة</t>
  </si>
  <si>
    <t>Sesbana Village</t>
  </si>
  <si>
    <t>قرية سيسبانه</t>
  </si>
  <si>
    <t>Shiftah Village</t>
  </si>
  <si>
    <t xml:space="preserve">قرية شفته </t>
  </si>
  <si>
    <t>Um Al Edam Village</t>
  </si>
  <si>
    <t>قرية ام العظام</t>
  </si>
  <si>
    <t>Zahrah Village</t>
  </si>
  <si>
    <t xml:space="preserve">قرية زهرة </t>
  </si>
  <si>
    <t>Baladrooz</t>
  </si>
  <si>
    <t>Al-Asri Qtr</t>
  </si>
  <si>
    <t>Al-Ramaila Village</t>
  </si>
  <si>
    <t>قرية رميلة</t>
  </si>
  <si>
    <t>Al-Sadrania village</t>
  </si>
  <si>
    <t>قرية الصدرانية</t>
  </si>
  <si>
    <t>Dur Mandiliy Qtr</t>
  </si>
  <si>
    <t>Eksairat village</t>
  </si>
  <si>
    <t>قرية كسيرات</t>
  </si>
  <si>
    <t>Hay Al Bakir</t>
  </si>
  <si>
    <t>حي البكر</t>
  </si>
  <si>
    <t>Markaz Mandali</t>
  </si>
  <si>
    <t>مركز مندلي</t>
  </si>
  <si>
    <t>Khanaqin</t>
  </si>
  <si>
    <t>Agha and Khalifa</t>
  </si>
  <si>
    <t>أغا وخليفة</t>
  </si>
  <si>
    <t>Ahmed Hilal village</t>
  </si>
  <si>
    <t>قرية احمد هلال</t>
  </si>
  <si>
    <t>Ahmed Taher Village</t>
  </si>
  <si>
    <t>قرية احمد طاهر</t>
  </si>
  <si>
    <t>Al Askari Qtr</t>
  </si>
  <si>
    <t>حي عسكري</t>
  </si>
  <si>
    <t>Al Ukhwah village</t>
  </si>
  <si>
    <t>قرية الاخوة</t>
  </si>
  <si>
    <t>Al Ummal Qtr</t>
  </si>
  <si>
    <t>حي العمال</t>
  </si>
  <si>
    <t>Al Wand 2 Camp</t>
  </si>
  <si>
    <t>مخيم الوند 2</t>
  </si>
  <si>
    <t>aldarawsha village</t>
  </si>
  <si>
    <t>قرية الدراوشة</t>
  </si>
  <si>
    <t>Ali Beck village</t>
  </si>
  <si>
    <t>قرية علي بيك</t>
  </si>
  <si>
    <t>Ali Murad village</t>
  </si>
  <si>
    <t>قرية علي مراد</t>
  </si>
  <si>
    <t>Ali Saadoun village</t>
  </si>
  <si>
    <t>قرية علي سعدون</t>
  </si>
  <si>
    <t>alkalah village</t>
  </si>
  <si>
    <t>قرية القلعة</t>
  </si>
  <si>
    <t>alkubeah small village</t>
  </si>
  <si>
    <t>قرية الكبية الصغيرة</t>
  </si>
  <si>
    <t>Alshortah Qtr</t>
  </si>
  <si>
    <t>Arkawazi Qtr</t>
  </si>
  <si>
    <t>حي اركوازي</t>
  </si>
  <si>
    <t>Bahari Taza Area</t>
  </si>
  <si>
    <t>منطقة بهار تازة</t>
  </si>
  <si>
    <t>Bakhtiari Qtr</t>
  </si>
  <si>
    <t>حي بختياري</t>
  </si>
  <si>
    <t>bani arkab village</t>
  </si>
  <si>
    <t>قرية بني اركاب</t>
  </si>
  <si>
    <t>Banmil-1 Qtr</t>
  </si>
  <si>
    <t>حي بانميل-1</t>
  </si>
  <si>
    <t>Banmil-2 Qtr</t>
  </si>
  <si>
    <t>حي بانميل-2</t>
  </si>
  <si>
    <t>Banmil-3 Qtr</t>
  </si>
  <si>
    <t>حي بانميل-3</t>
  </si>
  <si>
    <t>Barika</t>
  </si>
  <si>
    <t>باريكة</t>
  </si>
  <si>
    <t>Basha Kobry Qtr</t>
  </si>
  <si>
    <t>حي باشا كوبري</t>
  </si>
  <si>
    <t>Clay Hussein village</t>
  </si>
  <si>
    <t>قرية كلاي حسين</t>
  </si>
  <si>
    <t>Dara Konarh Qtr</t>
  </si>
  <si>
    <t>حي دارة كونارة</t>
  </si>
  <si>
    <t>darwish village</t>
  </si>
  <si>
    <t>قرية درويش</t>
  </si>
  <si>
    <t>Elean village</t>
  </si>
  <si>
    <t>قرية عليان</t>
  </si>
  <si>
    <t>habib Abdullah village</t>
  </si>
  <si>
    <t>قرية حبيب عبد الله</t>
  </si>
  <si>
    <t>Hassan Garad Village</t>
  </si>
  <si>
    <t>قرية حسن جراد</t>
  </si>
  <si>
    <t>Ibrahim bek village</t>
  </si>
  <si>
    <t>قرية ابراهيم بيك</t>
  </si>
  <si>
    <t>Imam Abass Qtr</t>
  </si>
  <si>
    <t>حي إمام عباس</t>
  </si>
  <si>
    <t>Jibraoh village</t>
  </si>
  <si>
    <t>قرية جبراوة</t>
  </si>
  <si>
    <t>kader bek village</t>
  </si>
  <si>
    <t>قرية قادر بيك</t>
  </si>
  <si>
    <t>Kagol</t>
  </si>
  <si>
    <t>كاقول</t>
  </si>
  <si>
    <t>Kahriaz Sofla Area</t>
  </si>
  <si>
    <t>منطقة كهريز السفلى</t>
  </si>
  <si>
    <t>Kallat(Al Wand 1 Camp)</t>
  </si>
  <si>
    <t>كلات(مخيم الوند 1)</t>
  </si>
  <si>
    <t>Karim alDaoud village</t>
  </si>
  <si>
    <t>قرية كريم الداود</t>
  </si>
  <si>
    <t>Malik Shah Qtr</t>
  </si>
  <si>
    <t>حي ملك شاه</t>
  </si>
  <si>
    <t>Mazrah Qtr</t>
  </si>
  <si>
    <t>حي مزرعة</t>
  </si>
  <si>
    <t>mohammed humeli village</t>
  </si>
  <si>
    <t>قرية محمد هميلي</t>
  </si>
  <si>
    <t>Mullah Aziz village</t>
  </si>
  <si>
    <t>قرية ملا عزيز</t>
  </si>
  <si>
    <t>Obara-1 Qtr</t>
  </si>
  <si>
    <t>حي اوبارا-1</t>
  </si>
  <si>
    <t>Obara-2 Qtr</t>
  </si>
  <si>
    <t>حي اوبارا-2</t>
  </si>
  <si>
    <t>Qoratu Camp</t>
  </si>
  <si>
    <t>قوارتو كامب</t>
  </si>
  <si>
    <t>Quramin village</t>
  </si>
  <si>
    <t>قرية قرامين</t>
  </si>
  <si>
    <t>Qurato</t>
  </si>
  <si>
    <t>قوراتو</t>
  </si>
  <si>
    <t>Rahamalla Village</t>
  </si>
  <si>
    <t>قرية الرحاملة</t>
  </si>
  <si>
    <t>Rapren-1 Qtr</t>
  </si>
  <si>
    <t>حي رابرين-1</t>
  </si>
  <si>
    <t>Rapren-2 Qtr</t>
  </si>
  <si>
    <t>حي رابرين-2</t>
  </si>
  <si>
    <t>Salih Agha village</t>
  </si>
  <si>
    <t>قرية صالح اغا</t>
  </si>
  <si>
    <t>Sawzablagh</t>
  </si>
  <si>
    <t>سوزة بلاغ</t>
  </si>
  <si>
    <t>Shafiq village</t>
  </si>
  <si>
    <t>قرية شفيق</t>
  </si>
  <si>
    <t>Shakir village</t>
  </si>
  <si>
    <t>قرية شاكر</t>
  </si>
  <si>
    <t>sheark village</t>
  </si>
  <si>
    <t>قرية شيرك</t>
  </si>
  <si>
    <t>Sirwan Qtr</t>
  </si>
  <si>
    <t>حي سيروان</t>
  </si>
  <si>
    <t>Sparta Qtr</t>
  </si>
  <si>
    <t>حي سبارتا</t>
  </si>
  <si>
    <t>Tal Manjal village</t>
  </si>
  <si>
    <t>قرية تل منجل</t>
  </si>
  <si>
    <t>Topaskar</t>
  </si>
  <si>
    <t>توبعسكر</t>
  </si>
  <si>
    <t>Totk Village</t>
  </si>
  <si>
    <t>قرية توتك</t>
  </si>
  <si>
    <t>Tula Frosh Qtr</t>
  </si>
  <si>
    <t>حي تولا فروش</t>
  </si>
  <si>
    <t>Yosif Algaeed Village</t>
  </si>
  <si>
    <t>قرية يوسف الجايد</t>
  </si>
  <si>
    <t>Zurab village</t>
  </si>
  <si>
    <t>قرية زوراب</t>
  </si>
  <si>
    <t>Kifri</t>
  </si>
  <si>
    <t>12 Imam</t>
  </si>
  <si>
    <t>12 امام</t>
  </si>
  <si>
    <t>anfalakan</t>
  </si>
  <si>
    <t>انفالكان</t>
  </si>
  <si>
    <t>Awa Spi</t>
  </si>
  <si>
    <t>اوا سبي</t>
  </si>
  <si>
    <t>awbrey</t>
  </si>
  <si>
    <t>اوبري</t>
  </si>
  <si>
    <t>azadi</t>
  </si>
  <si>
    <t>ازدي</t>
  </si>
  <si>
    <t>Bakaly village</t>
  </si>
  <si>
    <t>قرية بكالي(البجاجيل)</t>
  </si>
  <si>
    <t>bawa shaswar</t>
  </si>
  <si>
    <t>باوة شاسوار</t>
  </si>
  <si>
    <t>Dora village</t>
  </si>
  <si>
    <t>قرية دورة</t>
  </si>
  <si>
    <t>emam mohammed</t>
  </si>
  <si>
    <t>امام محمد</t>
  </si>
  <si>
    <t xml:space="preserve">Hawari new </t>
  </si>
  <si>
    <t>هواري نوي</t>
  </si>
  <si>
    <t>Khozifah village</t>
  </si>
  <si>
    <t>قرية خزيفة</t>
  </si>
  <si>
    <t>mamostayan</t>
  </si>
  <si>
    <t>ماموستايان</t>
  </si>
  <si>
    <t>Markaz Jabara</t>
  </si>
  <si>
    <t>جبارة</t>
  </si>
  <si>
    <t>Nargis village</t>
  </si>
  <si>
    <t>قرية نرجس</t>
  </si>
  <si>
    <t>nawrooz</t>
  </si>
  <si>
    <t>Qaratappa</t>
  </si>
  <si>
    <t>قره تبه</t>
  </si>
  <si>
    <t>raparin</t>
  </si>
  <si>
    <t>رابرين</t>
  </si>
  <si>
    <t>rezgari</t>
  </si>
  <si>
    <t>sar qala</t>
  </si>
  <si>
    <t>سةرقةلا</t>
  </si>
  <si>
    <t>shahidan</t>
  </si>
  <si>
    <t>shoresh</t>
  </si>
  <si>
    <t>Zinana</t>
  </si>
  <si>
    <t>زنانة</t>
  </si>
  <si>
    <t>11 Athar</t>
  </si>
  <si>
    <t>11 اذار</t>
  </si>
  <si>
    <t>Ainkawa(108)</t>
  </si>
  <si>
    <t>108 عنكاوة</t>
  </si>
  <si>
    <t>Akad</t>
  </si>
  <si>
    <t>اكاد</t>
  </si>
  <si>
    <t>Al Eskan</t>
  </si>
  <si>
    <t>Al Qala(Hay khanaqa)</t>
  </si>
  <si>
    <t>القلعه(حي خانقا)</t>
  </si>
  <si>
    <t>Al Rihab</t>
  </si>
  <si>
    <t>الرحاب</t>
  </si>
  <si>
    <t xml:space="preserve">Al Saxra Complex </t>
  </si>
  <si>
    <t>مجمع الصخرة</t>
  </si>
  <si>
    <t>Al-Shurtta Qr</t>
  </si>
  <si>
    <t>Al-Ziraa Qr</t>
  </si>
  <si>
    <t>حي الزراعة</t>
  </si>
  <si>
    <t>Andazyaran</t>
  </si>
  <si>
    <t>ئه ندازياران</t>
  </si>
  <si>
    <t>Ashty</t>
  </si>
  <si>
    <t>اشتي</t>
  </si>
  <si>
    <t>Ashty 2</t>
  </si>
  <si>
    <t>اشتي 2</t>
  </si>
  <si>
    <t>Atlantic</t>
  </si>
  <si>
    <t>اتلانتك</t>
  </si>
  <si>
    <t>Aweney Shar</t>
  </si>
  <si>
    <t>اوينا شار</t>
  </si>
  <si>
    <t>Aynda</t>
  </si>
  <si>
    <t>آينده</t>
  </si>
  <si>
    <t>Aynda 2</t>
  </si>
  <si>
    <t>اينده 2</t>
  </si>
  <si>
    <t>Bahar</t>
  </si>
  <si>
    <t>بهار</t>
  </si>
  <si>
    <t>Baharka</t>
  </si>
  <si>
    <t>مخيم بحركه</t>
  </si>
  <si>
    <t>bahrka al jadeda</t>
  </si>
  <si>
    <t>بحركه الجديده</t>
  </si>
  <si>
    <t>Bahrka center</t>
  </si>
  <si>
    <t>مركز بحركة</t>
  </si>
  <si>
    <t>Bahrka gulan</t>
  </si>
  <si>
    <t>بحركه كولان</t>
  </si>
  <si>
    <t>Byaban</t>
  </si>
  <si>
    <t>بيابان</t>
  </si>
  <si>
    <t>Byaban Village</t>
  </si>
  <si>
    <t xml:space="preserve">قريه بيابان </t>
  </si>
  <si>
    <t>Chwarchra-Banslawa</t>
  </si>
  <si>
    <t>جوارجرا-بنصلاوة</t>
  </si>
  <si>
    <t>Daratu-Brayati</t>
  </si>
  <si>
    <t>داره تو-برايتي</t>
  </si>
  <si>
    <t>Daratu-Nishtiman</t>
  </si>
  <si>
    <t>داره تو-نيشتمان</t>
  </si>
  <si>
    <t>Dartu Nwee</t>
  </si>
  <si>
    <t>داره تو نوي</t>
  </si>
  <si>
    <t>Dashti bahasht</t>
  </si>
  <si>
    <t>دشتي بهشت</t>
  </si>
  <si>
    <t>Du sara fatah</t>
  </si>
  <si>
    <t>دوسرة فتاح</t>
  </si>
  <si>
    <t>Ganjan</t>
  </si>
  <si>
    <t>كنجان</t>
  </si>
  <si>
    <t>Gazna</t>
  </si>
  <si>
    <t>كزنه</t>
  </si>
  <si>
    <t>Hadiab</t>
  </si>
  <si>
    <t>حدياب</t>
  </si>
  <si>
    <t>Harem</t>
  </si>
  <si>
    <t>هريم</t>
  </si>
  <si>
    <t>هرشم 1</t>
  </si>
  <si>
    <t>هرشم 2</t>
  </si>
  <si>
    <t>هرشم 3</t>
  </si>
  <si>
    <t>Harshm *</t>
  </si>
  <si>
    <t>مخيم هرشم</t>
  </si>
  <si>
    <t>Havalan</t>
  </si>
  <si>
    <t>هفالان</t>
  </si>
  <si>
    <t>Hawler city</t>
  </si>
  <si>
    <t>هولير ستي</t>
  </si>
  <si>
    <t>Hawler nwee</t>
  </si>
  <si>
    <t>هوليرنوي</t>
  </si>
  <si>
    <t>Hay Askary</t>
  </si>
  <si>
    <t>Heran City</t>
  </si>
  <si>
    <t>هيران ستي</t>
  </si>
  <si>
    <t>Ishtar</t>
  </si>
  <si>
    <t>عشتار</t>
  </si>
  <si>
    <t>Kani Qarzhala</t>
  </si>
  <si>
    <t>كاني قرشالة</t>
  </si>
  <si>
    <t>Kany Gulan</t>
  </si>
  <si>
    <t>كاني كولان</t>
  </si>
  <si>
    <t>Karez</t>
  </si>
  <si>
    <t>كاريز</t>
  </si>
  <si>
    <t>Karizan</t>
  </si>
  <si>
    <t>كاريزان</t>
  </si>
  <si>
    <t>Kasnazan-1 Shubat</t>
  </si>
  <si>
    <t>كسنزان-ا شباط</t>
  </si>
  <si>
    <t>Kawa Collective</t>
  </si>
  <si>
    <t>مجمع كاوه</t>
  </si>
  <si>
    <t>Kawergosk</t>
  </si>
  <si>
    <t>كوركوسك</t>
  </si>
  <si>
    <t>Khabat</t>
  </si>
  <si>
    <t>خبات</t>
  </si>
  <si>
    <t>Khoragr</t>
  </si>
  <si>
    <t>خوراكر</t>
  </si>
  <si>
    <t>Koran Nwee</t>
  </si>
  <si>
    <t>كوران نوي</t>
  </si>
  <si>
    <t>Kurd Stan</t>
  </si>
  <si>
    <t>كوردستان</t>
  </si>
  <si>
    <t xml:space="preserve">Lana City </t>
  </si>
  <si>
    <t xml:space="preserve">لانا ستي </t>
  </si>
  <si>
    <t>Lawan city</t>
  </si>
  <si>
    <t>لاوان ستي</t>
  </si>
  <si>
    <t>Lebanon Village</t>
  </si>
  <si>
    <t xml:space="preserve">قريه لبنانيه </t>
  </si>
  <si>
    <t>Mala Omar</t>
  </si>
  <si>
    <t>ملا عمر</t>
  </si>
  <si>
    <t>Mamostayan</t>
  </si>
  <si>
    <t>Mamzawa</t>
  </si>
  <si>
    <t>مامزاوه</t>
  </si>
  <si>
    <t>Manara</t>
  </si>
  <si>
    <t>مناره</t>
  </si>
  <si>
    <t>Manara City</t>
  </si>
  <si>
    <t>منارة ستي</t>
  </si>
  <si>
    <t>Martshmony</t>
  </si>
  <si>
    <t>مارت شموني</t>
  </si>
  <si>
    <t>Mustawfi</t>
  </si>
  <si>
    <t>مستوفي</t>
  </si>
  <si>
    <t>Nawroz-Banslawa</t>
  </si>
  <si>
    <t>نوروز-بنصلاوة</t>
  </si>
  <si>
    <t>Nisthtiman Comercial Complex</t>
  </si>
  <si>
    <t>مجمع نشتيمان التجاري</t>
  </si>
  <si>
    <t>Nobel</t>
  </si>
  <si>
    <t>نوبل</t>
  </si>
  <si>
    <t>Ozal city</t>
  </si>
  <si>
    <t>مجمع اوزال</t>
  </si>
  <si>
    <t>Perash</t>
  </si>
  <si>
    <t>بيرش</t>
  </si>
  <si>
    <t>perdawood</t>
  </si>
  <si>
    <t>بيرداود</t>
  </si>
  <si>
    <t>Pirzeen</t>
  </si>
  <si>
    <t>بيرزين</t>
  </si>
  <si>
    <t>Qarabu</t>
  </si>
  <si>
    <t>قربو</t>
  </si>
  <si>
    <t>Quretan</t>
  </si>
  <si>
    <t>قوريتان</t>
  </si>
  <si>
    <t>مركز قوشتبة</t>
  </si>
  <si>
    <t>Rasti Qr</t>
  </si>
  <si>
    <t>حي راستي</t>
  </si>
  <si>
    <t>Runaki</t>
  </si>
  <si>
    <t>روناكي</t>
  </si>
  <si>
    <t>Runaki(Andazyaran)</t>
  </si>
  <si>
    <t>روناكي(اندازياران)</t>
  </si>
  <si>
    <t>Runaki(Komari 1)</t>
  </si>
  <si>
    <t>روناكي(كوماري 1)</t>
  </si>
  <si>
    <t>Runaki(Mamostayan 1)</t>
  </si>
  <si>
    <t>روناكي(ماموستايان 1)</t>
  </si>
  <si>
    <t>Runaki(Mamostayan 2)</t>
  </si>
  <si>
    <t>روناكي(ماموستايان 2)</t>
  </si>
  <si>
    <t>Runaki(Mantikawa)</t>
  </si>
  <si>
    <t>روناكي(منتيكاوه)</t>
  </si>
  <si>
    <t>Runaki(Mufti)</t>
  </si>
  <si>
    <t>روناكي(موفتي)</t>
  </si>
  <si>
    <t>Rustm palace center</t>
  </si>
  <si>
    <t xml:space="preserve">مركز قصر رستم </t>
  </si>
  <si>
    <t>Rzgari</t>
  </si>
  <si>
    <t>Saidawa(Ashti)</t>
  </si>
  <si>
    <t>سيداوه(اشتي)</t>
  </si>
  <si>
    <t>Saidawa(Khabat)</t>
  </si>
  <si>
    <t>سيداوه(خبات)</t>
  </si>
  <si>
    <t xml:space="preserve">Sana City </t>
  </si>
  <si>
    <t>سانا ستي</t>
  </si>
  <si>
    <t>Saydawa</t>
  </si>
  <si>
    <t>سيداوه</t>
  </si>
  <si>
    <t>Sebardan</t>
  </si>
  <si>
    <t>سيبردان</t>
  </si>
  <si>
    <t>Setaqan</t>
  </si>
  <si>
    <t>سيطاقان</t>
  </si>
  <si>
    <t>Shahan city</t>
  </si>
  <si>
    <t>شاهان ستي</t>
  </si>
  <si>
    <t>Sharawany</t>
  </si>
  <si>
    <t>شارواني</t>
  </si>
  <si>
    <t>Shawes</t>
  </si>
  <si>
    <t>شاويس</t>
  </si>
  <si>
    <t>Shiraton</t>
  </si>
  <si>
    <t>شيراتون</t>
  </si>
  <si>
    <t>Shorsh</t>
  </si>
  <si>
    <t>Shorsh(Hakim awa)</t>
  </si>
  <si>
    <t>شورش(حاكم اوا)</t>
  </si>
  <si>
    <t>Shorsh(Hay arey)</t>
  </si>
  <si>
    <t>شورش(حي اري)</t>
  </si>
  <si>
    <t>Shorsh(Malayan)</t>
  </si>
  <si>
    <t>شورش(ملايان)</t>
  </si>
  <si>
    <t>Shorsh(Salahaldin)</t>
  </si>
  <si>
    <t>شورش(صلاح الدين)</t>
  </si>
  <si>
    <t>Somar</t>
  </si>
  <si>
    <t>سومر</t>
  </si>
  <si>
    <t>Sufaya</t>
  </si>
  <si>
    <t>صفية</t>
  </si>
  <si>
    <t>Tayrawa</t>
  </si>
  <si>
    <t>تيراوه</t>
  </si>
  <si>
    <t>Turaq</t>
  </si>
  <si>
    <t>طورق</t>
  </si>
  <si>
    <t>Zaiton Collective</t>
  </si>
  <si>
    <t>مجمع زيتون</t>
  </si>
  <si>
    <t>Zanko</t>
  </si>
  <si>
    <t>زانكو</t>
  </si>
  <si>
    <t>Zen city</t>
  </si>
  <si>
    <t>زين ستي</t>
  </si>
  <si>
    <t>Zereen</t>
  </si>
  <si>
    <t>زيرين</t>
  </si>
  <si>
    <t>Zheen</t>
  </si>
  <si>
    <t>زين</t>
  </si>
  <si>
    <t>Zhyan</t>
  </si>
  <si>
    <t>زيان</t>
  </si>
  <si>
    <t>Koisnjaq</t>
  </si>
  <si>
    <t>Armota</t>
  </si>
  <si>
    <t>أرموته</t>
  </si>
  <si>
    <t>Azady</t>
  </si>
  <si>
    <t>ازادي</t>
  </si>
  <si>
    <t>Bayizagha</t>
  </si>
  <si>
    <t>بايزاغا</t>
  </si>
  <si>
    <t>Bazar koya(Bafri qndeel)</t>
  </si>
  <si>
    <t>بازار كويه(بفري قنديل)</t>
  </si>
  <si>
    <t>Gashteyari</t>
  </si>
  <si>
    <t>كشتياري</t>
  </si>
  <si>
    <t>Hamamok</t>
  </si>
  <si>
    <t>حماموك</t>
  </si>
  <si>
    <t>Hamoon</t>
  </si>
  <si>
    <t xml:space="preserve">هامون </t>
  </si>
  <si>
    <t>Jamiyah</t>
  </si>
  <si>
    <t>جمعية</t>
  </si>
  <si>
    <t>Nawdaran</t>
  </si>
  <si>
    <t>ناوداران</t>
  </si>
  <si>
    <t>Qalat</t>
  </si>
  <si>
    <t>قلات</t>
  </si>
  <si>
    <t>Taqtaq</t>
  </si>
  <si>
    <t>طقطق</t>
  </si>
  <si>
    <t>Makhmur</t>
  </si>
  <si>
    <t>Debaga 1</t>
  </si>
  <si>
    <t>مخيم ديبكه 1</t>
  </si>
  <si>
    <t>Mergasur</t>
  </si>
  <si>
    <t>Markaz Mergasur</t>
  </si>
  <si>
    <t>مركز ميركسور</t>
  </si>
  <si>
    <t>Shaqlawa</t>
  </si>
  <si>
    <t>Bazar Khanzad</t>
  </si>
  <si>
    <t>بازار خانزاد</t>
  </si>
  <si>
    <t>Betrma</t>
  </si>
  <si>
    <t>بيترما</t>
  </si>
  <si>
    <t>Gulan</t>
  </si>
  <si>
    <t xml:space="preserve">كولان </t>
  </si>
  <si>
    <t>Harir</t>
  </si>
  <si>
    <t>حرير</t>
  </si>
  <si>
    <t>Harir-Batas</t>
  </si>
  <si>
    <t>حرير-باتاس</t>
  </si>
  <si>
    <t>Hiran</t>
  </si>
  <si>
    <t xml:space="preserve">هيران </t>
  </si>
  <si>
    <t xml:space="preserve">خبات </t>
  </si>
  <si>
    <t>Sabirawa</t>
  </si>
  <si>
    <t>سابيراوه</t>
  </si>
  <si>
    <t>Safeen</t>
  </si>
  <si>
    <t>سفين</t>
  </si>
  <si>
    <t>Sarmidan-1(Ashti)</t>
  </si>
  <si>
    <t>سرميدان 1(اشتي)</t>
  </si>
  <si>
    <t>Sarmidan-2(Azadi)</t>
  </si>
  <si>
    <t>سرميدان 2(ازادي)</t>
  </si>
  <si>
    <t>Sarmidan-3(Ashti)</t>
  </si>
  <si>
    <t>سر ميدان 3(اشتي)</t>
  </si>
  <si>
    <t>Shahedan</t>
  </si>
  <si>
    <t>Spigra</t>
  </si>
  <si>
    <t>سبيكارا</t>
  </si>
  <si>
    <t>Soran</t>
  </si>
  <si>
    <t>Delzyan</t>
  </si>
  <si>
    <t>دلزيان</t>
  </si>
  <si>
    <t>Diana(Shahedan azady)</t>
  </si>
  <si>
    <t>ديانا(شهيدان ازادي)</t>
  </si>
  <si>
    <t>Hamya</t>
  </si>
  <si>
    <t>حاميه</t>
  </si>
  <si>
    <t>Hay mameel al qeer</t>
  </si>
  <si>
    <t>حي معمل القير</t>
  </si>
  <si>
    <t>kawrarash</t>
  </si>
  <si>
    <t>كوررش</t>
  </si>
  <si>
    <t>Khalifan(center)</t>
  </si>
  <si>
    <t>مركز(خليفان)</t>
  </si>
  <si>
    <t>Rawanduz District</t>
  </si>
  <si>
    <t>مركز راوندوز</t>
  </si>
  <si>
    <t>Soran District</t>
  </si>
  <si>
    <t>مركز قضاء سوران</t>
  </si>
  <si>
    <t>Soran(26 Gulan)</t>
  </si>
  <si>
    <t>سوران(26 كولان)</t>
  </si>
  <si>
    <t>Soran(hay al etfaa)</t>
  </si>
  <si>
    <t>سوران(حي الاطفاء)</t>
  </si>
  <si>
    <t>Soran(Hay al matar)</t>
  </si>
  <si>
    <t>سوران(حي المطار)</t>
  </si>
  <si>
    <t>Ain Al-Tamur</t>
  </si>
  <si>
    <t>Ain Al-Tamur-Hay Al Hussein</t>
  </si>
  <si>
    <t>حي الحسين-عين التمر</t>
  </si>
  <si>
    <t>Al Zakareet</t>
  </si>
  <si>
    <t xml:space="preserve">الزكاريط </t>
  </si>
  <si>
    <t>Albo Hardan</t>
  </si>
  <si>
    <t>البو حردان</t>
  </si>
  <si>
    <t>حي الزهراء-عين التمر</t>
  </si>
  <si>
    <t>Al-Hindiya</t>
  </si>
  <si>
    <t>Abu Tharr camp</t>
  </si>
  <si>
    <t>مجمع ابا ذر</t>
  </si>
  <si>
    <t>Al abodea</t>
  </si>
  <si>
    <t>العبودية</t>
  </si>
  <si>
    <t>Al Jamyah</t>
  </si>
  <si>
    <t xml:space="preserve">الجمعية </t>
  </si>
  <si>
    <t>Al Matar</t>
  </si>
  <si>
    <t>المطار</t>
  </si>
  <si>
    <t>Al Riyadh</t>
  </si>
  <si>
    <t>Al-Hindiya-Hay Al-Amel</t>
  </si>
  <si>
    <t>الهندية-حي العامل</t>
  </si>
  <si>
    <t>Al-Khayrat</t>
  </si>
  <si>
    <t>الخيرات</t>
  </si>
  <si>
    <t>Albu Aziz</t>
  </si>
  <si>
    <t>البو عزيز</t>
  </si>
  <si>
    <t>Albu Zagam</t>
  </si>
  <si>
    <t>البوزكم</t>
  </si>
  <si>
    <t>emlbege(hay al salam)</t>
  </si>
  <si>
    <t>املبيج(حي السلام)</t>
  </si>
  <si>
    <t>Kareat al jubur</t>
  </si>
  <si>
    <t>قرية الجبور</t>
  </si>
  <si>
    <t>Mantakat Al hnedea</t>
  </si>
  <si>
    <t>منطقة الهندية</t>
  </si>
  <si>
    <t>MODM Camp</t>
  </si>
  <si>
    <t>مخيم وزارة الهجرة والمهجرين</t>
  </si>
  <si>
    <t>Abo Akab</t>
  </si>
  <si>
    <t>ابو عكب</t>
  </si>
  <si>
    <t>Abo Zarnt Al Shamaly</t>
  </si>
  <si>
    <t>ابو زرنت الشمالية</t>
  </si>
  <si>
    <t>Ahmad Al Waely St</t>
  </si>
  <si>
    <t>شارع احمد الوائلي</t>
  </si>
  <si>
    <t>Al Abeater Al Westa</t>
  </si>
  <si>
    <t>الابيتر الوسطى</t>
  </si>
  <si>
    <t>Al Amam Al Montadar</t>
  </si>
  <si>
    <t>الامام المنتظر</t>
  </si>
  <si>
    <t>Al Amam Ali</t>
  </si>
  <si>
    <t>الامام علي</t>
  </si>
  <si>
    <t>Al Amam Aon</t>
  </si>
  <si>
    <t>الامام عون</t>
  </si>
  <si>
    <t>Al Amen 1</t>
  </si>
  <si>
    <t>الامين1</t>
  </si>
  <si>
    <t>Al Ameshea 2</t>
  </si>
  <si>
    <t>العميشية 2</t>
  </si>
  <si>
    <t>Al Amin</t>
  </si>
  <si>
    <t>الامين</t>
  </si>
  <si>
    <t>Al Asafeat Al Sharqy</t>
  </si>
  <si>
    <t>العسافيات الشرقي</t>
  </si>
  <si>
    <t>Al Askary 1</t>
  </si>
  <si>
    <t>العسكري 1(الحر)</t>
  </si>
  <si>
    <t>Al askary 11</t>
  </si>
  <si>
    <t>العسكري11(العابد)</t>
  </si>
  <si>
    <t>Al askary 12</t>
  </si>
  <si>
    <t>العسكري12(العابد)</t>
  </si>
  <si>
    <t>Al askary 14</t>
  </si>
  <si>
    <t>العسكري14(العابد)</t>
  </si>
  <si>
    <t>Al Askary 17</t>
  </si>
  <si>
    <t>العسكري17(العابد)</t>
  </si>
  <si>
    <t>Al Askary 2</t>
  </si>
  <si>
    <t>العسكري2(الحر)</t>
  </si>
  <si>
    <t>Al Askary 4</t>
  </si>
  <si>
    <t>العسكري4(الحر)</t>
  </si>
  <si>
    <t>Al Askary-Al haidery</t>
  </si>
  <si>
    <t>العسكري-مجمع الحيدري</t>
  </si>
  <si>
    <t>Al Ateshy</t>
  </si>
  <si>
    <t>العطيشي</t>
  </si>
  <si>
    <t>Al Dalya 2</t>
  </si>
  <si>
    <t>الدالية 2</t>
  </si>
  <si>
    <t>Al Dalya1</t>
  </si>
  <si>
    <t>الدالية 1</t>
  </si>
  <si>
    <t>Al Fadaein</t>
  </si>
  <si>
    <t>الفدين</t>
  </si>
  <si>
    <t>Al Fadha</t>
  </si>
  <si>
    <t>الفيضة</t>
  </si>
  <si>
    <t>Al Forat 1</t>
  </si>
  <si>
    <t>الفرات 1</t>
  </si>
  <si>
    <t>Al forat 2</t>
  </si>
  <si>
    <t>الفرات 2</t>
  </si>
  <si>
    <t>Al Hawra</t>
  </si>
  <si>
    <t xml:space="preserve">حي الحوراء </t>
  </si>
  <si>
    <t>Al Hurr Al Sager</t>
  </si>
  <si>
    <t>الحر الصغير</t>
  </si>
  <si>
    <t>Al Intefadha Al Shabaniya</t>
  </si>
  <si>
    <t>الانتفاضه الشعبانية</t>
  </si>
  <si>
    <t>Al Jarya</t>
  </si>
  <si>
    <t>الجرية</t>
  </si>
  <si>
    <t>Al Kaim</t>
  </si>
  <si>
    <t>القائم</t>
  </si>
  <si>
    <t>Al Makalaa</t>
  </si>
  <si>
    <t>المقالع</t>
  </si>
  <si>
    <t>Al Motlak Al Gharby</t>
  </si>
  <si>
    <t>المطلق الغربي</t>
  </si>
  <si>
    <t>Al Motlak Al Sharky</t>
  </si>
  <si>
    <t>المطلق الشرقي</t>
  </si>
  <si>
    <t>Al Muamnen(Elegal)</t>
  </si>
  <si>
    <t>تجاوز المؤمنين</t>
  </si>
  <si>
    <t>Al Mustjadat</t>
  </si>
  <si>
    <t>المستجدات</t>
  </si>
  <si>
    <t>Al Nasser(Elegal)</t>
  </si>
  <si>
    <t>تجاوز النصر</t>
  </si>
  <si>
    <t>Al Qadissiya 1</t>
  </si>
  <si>
    <t>القادسية 1</t>
  </si>
  <si>
    <t>Al Qadissiya 2</t>
  </si>
  <si>
    <t>القادسية 2</t>
  </si>
  <si>
    <t>Al Rawdhatain</t>
  </si>
  <si>
    <t xml:space="preserve">الروضتين </t>
  </si>
  <si>
    <t>Al safeea1</t>
  </si>
  <si>
    <t>الصافية1</t>
  </si>
  <si>
    <t>Al Sahrawy Al Mazarea</t>
  </si>
  <si>
    <t>الصحراوية المزارع</t>
  </si>
  <si>
    <t>Al Salam-1</t>
  </si>
  <si>
    <t>السلام1</t>
  </si>
  <si>
    <t>Al Salam-2</t>
  </si>
  <si>
    <t>السلام 2</t>
  </si>
  <si>
    <t>Al Shrawea Al Wady</t>
  </si>
  <si>
    <t>الصحراوية الوادي</t>
  </si>
  <si>
    <t>Al thawra 2</t>
  </si>
  <si>
    <t>الثورة2</t>
  </si>
  <si>
    <t>Al thawra-1</t>
  </si>
  <si>
    <t>الثورة1</t>
  </si>
  <si>
    <t>Al Wand Al Mustajad</t>
  </si>
  <si>
    <t>الوند المستجد</t>
  </si>
  <si>
    <t>Al-Abrahmeiah (Al hafed)</t>
  </si>
  <si>
    <t>الابراهيمية (الحافظ)</t>
  </si>
  <si>
    <t>Al-Askari 13</t>
  </si>
  <si>
    <t>العسكري13(العابد)</t>
  </si>
  <si>
    <t>AL-Askeriy 16</t>
  </si>
  <si>
    <t xml:space="preserve">العسكري 16   </t>
  </si>
  <si>
    <t>Al-awarah al-wastah</t>
  </si>
  <si>
    <t>العوارة الوسطى</t>
  </si>
  <si>
    <t>Al-Bobyat-Al Wadde</t>
  </si>
  <si>
    <t>البوبيات-الودي</t>
  </si>
  <si>
    <t>Al-hadi</t>
  </si>
  <si>
    <t>الهادي</t>
  </si>
  <si>
    <t>Al-hurr-Al Amen 2</t>
  </si>
  <si>
    <t>الامين 2</t>
  </si>
  <si>
    <t>Al-hussainya-Hay Al Rasool</t>
  </si>
  <si>
    <t>الحسينيه-حي الرسول</t>
  </si>
  <si>
    <t>Al-hussainya-Hay Al Zahraa</t>
  </si>
  <si>
    <t>الحسينيه-حي الزهراء</t>
  </si>
  <si>
    <t>Al-hussainya-hay al-hussain</t>
  </si>
  <si>
    <t>الحسينية-حي الحسين</t>
  </si>
  <si>
    <t>Al-hussainyh-Hay Al-Abas</t>
  </si>
  <si>
    <t>الحسينية-حي العباس</t>
  </si>
  <si>
    <t>Al-kakaeiah Al-Sharkeiah</t>
  </si>
  <si>
    <t>كعكاعية الشرقيه</t>
  </si>
  <si>
    <t>Al-Rafedeen</t>
  </si>
  <si>
    <t>الرافدين</t>
  </si>
  <si>
    <t>Al-Safiya 2</t>
  </si>
  <si>
    <t>الصافية 2</t>
  </si>
  <si>
    <t>Al-Shebanat 2</t>
  </si>
  <si>
    <t>الشبانات 2</t>
  </si>
  <si>
    <t>Al-Swadah 1</t>
  </si>
  <si>
    <t>السواده 1</t>
  </si>
  <si>
    <t>Al-Taaleb</t>
  </si>
  <si>
    <t>التعليب</t>
  </si>
  <si>
    <t>al-taawen</t>
  </si>
  <si>
    <t>التعاون</t>
  </si>
  <si>
    <t>Al-Taqa 18</t>
  </si>
  <si>
    <t>الطاقه 18</t>
  </si>
  <si>
    <t>Al-zabaylah</t>
  </si>
  <si>
    <t xml:space="preserve">الزبيليه </t>
  </si>
  <si>
    <t>Al-Zahraa</t>
  </si>
  <si>
    <t>Badat Aesha</t>
  </si>
  <si>
    <t>بدعة عيشه</t>
  </si>
  <si>
    <t>Badat Aswad</t>
  </si>
  <si>
    <t>بدعة اسود</t>
  </si>
  <si>
    <t>Badat Shareef</t>
  </si>
  <si>
    <t>بدعة شريف</t>
  </si>
  <si>
    <t>Badat Shareef Al Gharbiyah</t>
  </si>
  <si>
    <t>بدعة شريف الغربية</t>
  </si>
  <si>
    <t>Basatein Bab Al-Slalmah</t>
  </si>
  <si>
    <t>بساتين باب السلامة</t>
  </si>
  <si>
    <t>Basaten Al Naqeeb</t>
  </si>
  <si>
    <t>بساتين النقيب</t>
  </si>
  <si>
    <t>Hay Al Ameer-1</t>
  </si>
  <si>
    <t>حي الامير 1</t>
  </si>
  <si>
    <t>Hay Al Amel-7</t>
  </si>
  <si>
    <t>حي العامل 7</t>
  </si>
  <si>
    <t>Hay Al Amel-9</t>
  </si>
  <si>
    <t>حي العامل 9</t>
  </si>
  <si>
    <t>Hay Al Atebba-354</t>
  </si>
  <si>
    <t>حي الاطباء-محله 354</t>
  </si>
  <si>
    <t>Hay Al Husain</t>
  </si>
  <si>
    <t>Hay Al Karrar</t>
  </si>
  <si>
    <t>Hay al mostafa</t>
  </si>
  <si>
    <t>Hay Al Nidhal 1</t>
  </si>
  <si>
    <t>حي النضال1</t>
  </si>
  <si>
    <t>Hay Al Noor</t>
  </si>
  <si>
    <t>Hay Al Rafdean 2</t>
  </si>
  <si>
    <t>الرافدين 2</t>
  </si>
  <si>
    <t>Hay Al-Abbas</t>
  </si>
  <si>
    <t>Hay al-amein al-dakheily</t>
  </si>
  <si>
    <t>الامن الداخلي</t>
  </si>
  <si>
    <t>Hay Al-Ghadeer</t>
  </si>
  <si>
    <t>Hay Al-Ghadeer 4</t>
  </si>
  <si>
    <t>حي الغدير4</t>
  </si>
  <si>
    <t>Hay Al-Ghadeer 5</t>
  </si>
  <si>
    <t>حي الغدير 5</t>
  </si>
  <si>
    <t>Hay Al-Naser</t>
  </si>
  <si>
    <t xml:space="preserve">حي النصر </t>
  </si>
  <si>
    <t>Hay Al-Naser14</t>
  </si>
  <si>
    <t>حي النصر14</t>
  </si>
  <si>
    <t>Hay Al-Noab</t>
  </si>
  <si>
    <t>حي النواب</t>
  </si>
  <si>
    <t>Hay Al-Rasool</t>
  </si>
  <si>
    <t>حي التحدي</t>
  </si>
  <si>
    <t>Hay Al-Wafaa-333</t>
  </si>
  <si>
    <t>حي الوفاء-محله 333</t>
  </si>
  <si>
    <t>Hay El Al Iman-3</t>
  </si>
  <si>
    <t>حي الايمان 3</t>
  </si>
  <si>
    <t>Hay El Al Iman-4</t>
  </si>
  <si>
    <t>حي الايمان 4</t>
  </si>
  <si>
    <t>Kantraat Al Salam</t>
  </si>
  <si>
    <t>كنطرة السلام</t>
  </si>
  <si>
    <t>Kerbala1</t>
  </si>
  <si>
    <t>كربلاء 1</t>
  </si>
  <si>
    <t>Maitham Al Tammar</t>
  </si>
  <si>
    <t xml:space="preserve">ميثم التمار </t>
  </si>
  <si>
    <t>Malhak Dubbat Al-Mudfeen</t>
  </si>
  <si>
    <t>ملحق ضباط الموظفين</t>
  </si>
  <si>
    <t>Mamel Al Jobor</t>
  </si>
  <si>
    <t>معامل الجبور</t>
  </si>
  <si>
    <t>Molahak Al Atbaa</t>
  </si>
  <si>
    <t>ملحق الاطباء</t>
  </si>
  <si>
    <t>Molhak Al Atbaa(Elegal)</t>
  </si>
  <si>
    <t>تجاوز ملحق الاطباء</t>
  </si>
  <si>
    <t>Molhak al fares</t>
  </si>
  <si>
    <t>ملحق الفارس</t>
  </si>
  <si>
    <t>Mulhak Al Shebanat</t>
  </si>
  <si>
    <t>ملحق الشبانات</t>
  </si>
  <si>
    <t>Mulhak Hay Al Mualmen</t>
  </si>
  <si>
    <t>ملحق حي المعلمين</t>
  </si>
  <si>
    <t>Mulhaq Al-Intisar</t>
  </si>
  <si>
    <t>ملحق الانتصار</t>
  </si>
  <si>
    <t>Om Al Baneen Al Shrawy 2</t>
  </si>
  <si>
    <t>ام البنين الصحراويه 2</t>
  </si>
  <si>
    <t>Shuhadaa Al Muwadhafen 2</t>
  </si>
  <si>
    <t>شهداء الموظفين 2</t>
  </si>
  <si>
    <t>Shuihadaa Al Amam Ali</t>
  </si>
  <si>
    <t>شهداء الامام علي 2</t>
  </si>
  <si>
    <t>Sumer 1</t>
  </si>
  <si>
    <t>حي سومر1</t>
  </si>
  <si>
    <t>Sumer 2</t>
  </si>
  <si>
    <t>حي سومر 2</t>
  </si>
  <si>
    <t>Um Al Banen Village</t>
  </si>
  <si>
    <t>قرية ام البنين</t>
  </si>
  <si>
    <t>Al-Hawiga</t>
  </si>
  <si>
    <t>Abu-Al-Jaise</t>
  </si>
  <si>
    <t>قرية أبو الجيس</t>
  </si>
  <si>
    <t>Al-Abassy center</t>
  </si>
  <si>
    <t>مركز العباسي</t>
  </si>
  <si>
    <t>Hilwa lower</t>
  </si>
  <si>
    <t>قرية حلوة سفلى</t>
  </si>
  <si>
    <t>Dabes</t>
  </si>
  <si>
    <t>Altun Kupri Center</t>
  </si>
  <si>
    <t>مركز ناحية التون كوبري</t>
  </si>
  <si>
    <t>Hay Al Muaasker</t>
  </si>
  <si>
    <t>حي المعسكر</t>
  </si>
  <si>
    <t>Hay Al Tanak</t>
  </si>
  <si>
    <t>حي التنك</t>
  </si>
  <si>
    <t>Daquq</t>
  </si>
  <si>
    <t>Badawa</t>
  </si>
  <si>
    <t>بداوة</t>
  </si>
  <si>
    <t>Fareeq Awa</t>
  </si>
  <si>
    <t>حي فريق اوه</t>
  </si>
  <si>
    <t>Furqan village</t>
  </si>
  <si>
    <t>قرية الفرقان</t>
  </si>
  <si>
    <t>Hay Al-Salam ( Daquq )</t>
  </si>
  <si>
    <t>حي السلام ( داقوق )</t>
  </si>
  <si>
    <t>Hay Ashti</t>
  </si>
  <si>
    <t>حي آشتي</t>
  </si>
  <si>
    <t>Hay Gulan</t>
  </si>
  <si>
    <t>حي كولان</t>
  </si>
  <si>
    <t>Hay Klisa 1</t>
  </si>
  <si>
    <t>حي كليسة 1</t>
  </si>
  <si>
    <t>Hay Nawroz ( Daquq)</t>
  </si>
  <si>
    <t>حي نوروز ( داقوق )</t>
  </si>
  <si>
    <t>Hay Runaki / Daquq</t>
  </si>
  <si>
    <t>حي روناكي \ داقوق</t>
  </si>
  <si>
    <t>Khala Bazyani</t>
  </si>
  <si>
    <t>خاله بازياني</t>
  </si>
  <si>
    <t>Laylan 2 Camp</t>
  </si>
  <si>
    <t>مخيم ليلان 2</t>
  </si>
  <si>
    <t>Laylan Camp</t>
  </si>
  <si>
    <t>مخيم ليلان</t>
  </si>
  <si>
    <t>Laylan-Al Abadat village</t>
  </si>
  <si>
    <t>قرية العبادات</t>
  </si>
  <si>
    <t>Laylan-Bash Bulaq village</t>
  </si>
  <si>
    <t>قرية باش بولاق</t>
  </si>
  <si>
    <t>حي نوروز</t>
  </si>
  <si>
    <t>Taza-Omer Bin Khattab</t>
  </si>
  <si>
    <t>قرية عمر بن الخطاب</t>
  </si>
  <si>
    <t>Yahyawa camp</t>
  </si>
  <si>
    <t>مخيم يحياوة</t>
  </si>
  <si>
    <t>Yarmjia Village</t>
  </si>
  <si>
    <t>قرية يارمجة</t>
  </si>
  <si>
    <t>Al Faylaq-Mahala 5</t>
  </si>
  <si>
    <t>حي الفيلق-5</t>
  </si>
  <si>
    <t>Al Hurriyah</t>
  </si>
  <si>
    <t>حي الحرية</t>
  </si>
  <si>
    <t>Al Taakhi</t>
  </si>
  <si>
    <t>حي التأخي</t>
  </si>
  <si>
    <t>Al Tadamon(Hawkari)</t>
  </si>
  <si>
    <t>حي التضامن-هاوكاري-</t>
  </si>
  <si>
    <t>Al Takhi Village</t>
  </si>
  <si>
    <t>قرية تأخي</t>
  </si>
  <si>
    <t>Al-Qadisssiya(Rabareen) first</t>
  </si>
  <si>
    <t>حي الانتفاضة-رابرين-(القادسية سابقا) اول</t>
  </si>
  <si>
    <t>Al-Qadisssiya(Rabareen) seconad</t>
  </si>
  <si>
    <t>حي الانتفاضة-رابرين-(القادسية سابقا) ثاني</t>
  </si>
  <si>
    <t>Al-Sayada Complex</t>
  </si>
  <si>
    <t>مجمع الصيادة</t>
  </si>
  <si>
    <t>Amal al shaabi</t>
  </si>
  <si>
    <t>حي العمل الشعبي</t>
  </si>
  <si>
    <t>Baglar</t>
  </si>
  <si>
    <t>حي بكلر</t>
  </si>
  <si>
    <t>Bajwan</t>
  </si>
  <si>
    <t>قرية باجوان</t>
  </si>
  <si>
    <t>chardaghli village</t>
  </si>
  <si>
    <t>قرية جرداغلوا</t>
  </si>
  <si>
    <t>Darwaza</t>
  </si>
  <si>
    <t>دروازة</t>
  </si>
  <si>
    <t>Hay 1 Athar</t>
  </si>
  <si>
    <t>حي 1 اذار</t>
  </si>
  <si>
    <t>Hay Adan</t>
  </si>
  <si>
    <t>حي عدن</t>
  </si>
  <si>
    <t>Hay Al Ertiqaa</t>
  </si>
  <si>
    <t>حي الارتقاء</t>
  </si>
  <si>
    <t>Hay Al Hamzali</t>
  </si>
  <si>
    <t>حي الحمزلي</t>
  </si>
  <si>
    <t>Hay Al Jamia-Mahalla 622</t>
  </si>
  <si>
    <t>حي الجامعة-622</t>
  </si>
  <si>
    <t>Hay Al Mansour</t>
  </si>
  <si>
    <t>حي المنصور</t>
  </si>
  <si>
    <t>Hay Al mas</t>
  </si>
  <si>
    <t>حي الماس</t>
  </si>
  <si>
    <t>Hay Al Nassir</t>
  </si>
  <si>
    <t>Hay Al Sekak</t>
  </si>
  <si>
    <t>حي السكك</t>
  </si>
  <si>
    <t>Hay Al-Askary 1</t>
  </si>
  <si>
    <t>حي العسكري 1</t>
  </si>
  <si>
    <t>Hay Al-Askary 2</t>
  </si>
  <si>
    <t>حي العسكري 2</t>
  </si>
  <si>
    <t>Hay Al-Khadraa</t>
  </si>
  <si>
    <t>Hay Al-Nasir 2</t>
  </si>
  <si>
    <t>حي النصر 2</t>
  </si>
  <si>
    <t>Hay Al-Nedaa</t>
  </si>
  <si>
    <t>حي النداء</t>
  </si>
  <si>
    <t>Hay Al-Sinay</t>
  </si>
  <si>
    <t>حي الصناعي</t>
  </si>
  <si>
    <t>Hay Al-Urooba</t>
  </si>
  <si>
    <t>Hay Al-Zawraa</t>
  </si>
  <si>
    <t>حي الزوراء</t>
  </si>
  <si>
    <t>Hay Arafah 201</t>
  </si>
  <si>
    <t>عرفة</t>
  </si>
  <si>
    <t>Hay Azadi</t>
  </si>
  <si>
    <t>حي ازادي</t>
  </si>
  <si>
    <t>Hay Ghurnata</t>
  </si>
  <si>
    <t>حي غرناطة</t>
  </si>
  <si>
    <t>Hay Musalla</t>
  </si>
  <si>
    <t>حي المصلى</t>
  </si>
  <si>
    <t>Hay Rasheed(Domiz)</t>
  </si>
  <si>
    <t>حي الرشيد-دوميز-</t>
  </si>
  <si>
    <t>Panja Ali</t>
  </si>
  <si>
    <t>بنجه علي</t>
  </si>
  <si>
    <t>Qaryat Kamptelar</t>
  </si>
  <si>
    <t>قرية كمبتلر</t>
  </si>
  <si>
    <t>Qaryat Tobzawa</t>
  </si>
  <si>
    <t>قرية طوبزاوة</t>
  </si>
  <si>
    <t>Rahim Awa</t>
  </si>
  <si>
    <t>رحيم اوه</t>
  </si>
  <si>
    <t>حي روناكي</t>
  </si>
  <si>
    <t>Sary Kahya</t>
  </si>
  <si>
    <t>حي صاري كهيه</t>
  </si>
  <si>
    <t>Sayada village</t>
  </si>
  <si>
    <t>قرية صيادة</t>
  </si>
  <si>
    <t>Sekanyan</t>
  </si>
  <si>
    <t>سيكانيان</t>
  </si>
  <si>
    <t>Shorawo</t>
  </si>
  <si>
    <t>شوراو</t>
  </si>
  <si>
    <t>Shwan Center</t>
  </si>
  <si>
    <t>مركز ناحية شوان</t>
  </si>
  <si>
    <t>Tiseen</t>
  </si>
  <si>
    <t>حي تسن</t>
  </si>
  <si>
    <t>Yaychi-101</t>
  </si>
  <si>
    <t>حي يايجي-101</t>
  </si>
  <si>
    <t>Yaychi-Qaryat Dibak Taba</t>
  </si>
  <si>
    <t>قرية ديبك تبة</t>
  </si>
  <si>
    <t>Yaychi-Qaryat Turklan</t>
  </si>
  <si>
    <t>قرية تركلان</t>
  </si>
  <si>
    <t>Al-Kahla</t>
  </si>
  <si>
    <t>Al Kharaba Village</t>
  </si>
  <si>
    <t>قرية الخرابه</t>
  </si>
  <si>
    <t>Al Sader Al karima</t>
  </si>
  <si>
    <t>ناحية المشرح-قرية صدر الكريمه</t>
  </si>
  <si>
    <t>Hay 15 Sahaban</t>
  </si>
  <si>
    <t>حي 15 شعبان</t>
  </si>
  <si>
    <t>Hay Al Zahra</t>
  </si>
  <si>
    <t>Al-Maimouna</t>
  </si>
  <si>
    <t>Al turkiyah</t>
  </si>
  <si>
    <t>ناحية السلام-التركيه</t>
  </si>
  <si>
    <t>Hay Al-Qasim</t>
  </si>
  <si>
    <t>حي القاسم</t>
  </si>
  <si>
    <t>Al-Mejar Al-Kabir</t>
  </si>
  <si>
    <t>Al-Mejar Al-Kabir-Hay Al Zahra</t>
  </si>
  <si>
    <t>Hay al badrawi 1</t>
  </si>
  <si>
    <t>حي البدراوي 1</t>
  </si>
  <si>
    <t>Hay Al Hassan</t>
  </si>
  <si>
    <t>حي الحسن</t>
  </si>
  <si>
    <t>Hay Al Mulmin Al Jadid</t>
  </si>
  <si>
    <t>حي المعلمين الجديد</t>
  </si>
  <si>
    <t>Hay al saray</t>
  </si>
  <si>
    <t>Hay Al-Hasan Al-Askarey</t>
  </si>
  <si>
    <t>Hay Al-Hussain</t>
  </si>
  <si>
    <t>Hay Al-Hussain-Al Adil</t>
  </si>
  <si>
    <t>ناحية العدل-حي الحسين</t>
  </si>
  <si>
    <t>Hay al-sinaah</t>
  </si>
  <si>
    <t>حي الصناعه</t>
  </si>
  <si>
    <t>Ali Al-Gharbi</t>
  </si>
  <si>
    <t>Al-fakhriyah</t>
  </si>
  <si>
    <t>الفخريه</t>
  </si>
  <si>
    <t>Hay Al Batool</t>
  </si>
  <si>
    <t>ناحية علي الشرقي-حي السلام</t>
  </si>
  <si>
    <t>Hay Al-Mualmin-Ali Al Sharqi</t>
  </si>
  <si>
    <t>ناحية علي الشرقي-حي المعلمين</t>
  </si>
  <si>
    <t>Hay Ramadhan-Ali Al Sharqi</t>
  </si>
  <si>
    <t>ناحية علي الشرقي-حي رمضان</t>
  </si>
  <si>
    <t>Najadiya</t>
  </si>
  <si>
    <t>حي النجيديه</t>
  </si>
  <si>
    <t>Amara</t>
  </si>
  <si>
    <t>Al Hay Al JameI</t>
  </si>
  <si>
    <t>الحي الجامعي</t>
  </si>
  <si>
    <t>Al Mudathra</t>
  </si>
  <si>
    <t xml:space="preserve">قرية المدثره </t>
  </si>
  <si>
    <t>Al Rahma 2</t>
  </si>
  <si>
    <t>حي الرحمه 2</t>
  </si>
  <si>
    <t>Al-Imarat Al Jadeda</t>
  </si>
  <si>
    <t>العمارات الجديده</t>
  </si>
  <si>
    <t>Al-Rahma 1</t>
  </si>
  <si>
    <t>حي الرحمه 1</t>
  </si>
  <si>
    <t>Eye of Missan camp</t>
  </si>
  <si>
    <t>مخيم عيون ميسان</t>
  </si>
  <si>
    <t>Hay 17 Rabe Al Awal</t>
  </si>
  <si>
    <t>حي 17 ربيع الاول</t>
  </si>
  <si>
    <t>Hay Al Baqer</t>
  </si>
  <si>
    <t>حي الباقر</t>
  </si>
  <si>
    <t>Hay Al Hussain-Al Kumayt</t>
  </si>
  <si>
    <t>ناحية كميت-حي الحسين</t>
  </si>
  <si>
    <t>Hay Al Jamaiat</t>
  </si>
  <si>
    <t>حي الجمعيات</t>
  </si>
  <si>
    <t>Hay al jidedah</t>
  </si>
  <si>
    <t>حي الجديده</t>
  </si>
  <si>
    <t>Hay Al Jihad</t>
  </si>
  <si>
    <t>حي الجهاد</t>
  </si>
  <si>
    <t>Hay al karamah</t>
  </si>
  <si>
    <t>حي الكرامه</t>
  </si>
  <si>
    <t>Hay Al Karar</t>
  </si>
  <si>
    <t>Hay Al Khalij</t>
  </si>
  <si>
    <t>حي الخليج</t>
  </si>
  <si>
    <t>Hay al moaalimen al-qadem</t>
  </si>
  <si>
    <t>حي المعلمين القديم</t>
  </si>
  <si>
    <t>Hay Al Urooba</t>
  </si>
  <si>
    <t>حي العروبه</t>
  </si>
  <si>
    <t>Hay Al-Ameer</t>
  </si>
  <si>
    <t>Hay Al-Amen</t>
  </si>
  <si>
    <t>حي الامين</t>
  </si>
  <si>
    <t>Hay Al-Dafas</t>
  </si>
  <si>
    <t>قرية الدفاس</t>
  </si>
  <si>
    <t>Hay Al-Dawanim</t>
  </si>
  <si>
    <t>حي الدوانم</t>
  </si>
  <si>
    <t>Hay Al-Ghader</t>
  </si>
  <si>
    <t>Hay Al-Hadi</t>
  </si>
  <si>
    <t>حي الهادي</t>
  </si>
  <si>
    <t>Hay Al-Hasan Al-Askry</t>
  </si>
  <si>
    <t>Hay al-hussain al-jaded</t>
  </si>
  <si>
    <t>حي الحسين الجديد</t>
  </si>
  <si>
    <t>Hay Al-hussan Al-qadem</t>
  </si>
  <si>
    <t>حي الحسين القديم</t>
  </si>
  <si>
    <t>Hay Al-Kafat</t>
  </si>
  <si>
    <t>حي الكفاءات</t>
  </si>
  <si>
    <t>Hay Al-Khadhraa</t>
  </si>
  <si>
    <t>Hay Al-Mahmoudia</t>
  </si>
  <si>
    <t>حي المحموديه</t>
  </si>
  <si>
    <t>Hay Al-Montadhar</t>
  </si>
  <si>
    <t>Hay Al-Nafot</t>
  </si>
  <si>
    <t>حي النفط</t>
  </si>
  <si>
    <t>Hay Al-Rafidain</t>
  </si>
  <si>
    <t>حي الرافدين</t>
  </si>
  <si>
    <t>Hay Al-Sadiq</t>
  </si>
  <si>
    <t>حي الصادق</t>
  </si>
  <si>
    <t>Hay Al-Sadir</t>
  </si>
  <si>
    <t>حي الصدر</t>
  </si>
  <si>
    <t>Hay Al-Shahedain</t>
  </si>
  <si>
    <t>حي الشهيدين</t>
  </si>
  <si>
    <t>Hay al-wehdah</t>
  </si>
  <si>
    <t>حي الوحده</t>
  </si>
  <si>
    <t>Hay al-yarmok</t>
  </si>
  <si>
    <t>Hay Al-Zahraa</t>
  </si>
  <si>
    <t>Hay Al-Zahraa-Al Kumayt</t>
  </si>
  <si>
    <t>ناحية كميت-حي الزهراء</t>
  </si>
  <si>
    <t>Hay aleskan</t>
  </si>
  <si>
    <t>حي الاسكان</t>
  </si>
  <si>
    <t>Hay Awasha</t>
  </si>
  <si>
    <t>حي عواشه</t>
  </si>
  <si>
    <t>Hay Nahawnd</t>
  </si>
  <si>
    <t>حي نهاوند</t>
  </si>
  <si>
    <t>Hay Shabanah</t>
  </si>
  <si>
    <t>حي الشبانه</t>
  </si>
  <si>
    <t>Kusiba 1 village</t>
  </si>
  <si>
    <t>قرية كصيبه 1</t>
  </si>
  <si>
    <t>Qal'at Saleh</t>
  </si>
  <si>
    <t>Hay Al Hurria</t>
  </si>
  <si>
    <t>حي الحريه</t>
  </si>
  <si>
    <t>Hay Al Husayniyah</t>
  </si>
  <si>
    <t>حي الحسينيه</t>
  </si>
  <si>
    <t>Hay Al Sadir</t>
  </si>
  <si>
    <t>Hay Al-Zahraa-Qalat Saleh</t>
  </si>
  <si>
    <t>حي الزهراء-قلعة صالح</t>
  </si>
  <si>
    <t>Al-Khidhir</t>
  </si>
  <si>
    <t>Albo Resha</t>
  </si>
  <si>
    <t>البو ريشة</t>
  </si>
  <si>
    <t>Hay Al Riyadh</t>
  </si>
  <si>
    <t>حي الرياض</t>
  </si>
  <si>
    <t>Hay Al-Firdous</t>
  </si>
  <si>
    <t>حي الفردوس</t>
  </si>
  <si>
    <t>Al-Rumaitha</t>
  </si>
  <si>
    <t>Al Ardhyat</t>
  </si>
  <si>
    <t>العارضيات</t>
  </si>
  <si>
    <t>Al Athar</t>
  </si>
  <si>
    <t>العذار</t>
  </si>
  <si>
    <t>Al Halaichia</t>
  </si>
  <si>
    <t>الهلايجية</t>
  </si>
  <si>
    <t>Al Warkaa-Hay Al Zahra</t>
  </si>
  <si>
    <t>حي الزهراء-الوركاء</t>
  </si>
  <si>
    <t>Al-Hala</t>
  </si>
  <si>
    <t>الحله</t>
  </si>
  <si>
    <t>Al-hay al-askary</t>
  </si>
  <si>
    <t>Al-Muthlem Village</t>
  </si>
  <si>
    <t>قرية المظلم</t>
  </si>
  <si>
    <t>Al-Shuhada</t>
  </si>
  <si>
    <t>Al-Warka-Al-Shuhada</t>
  </si>
  <si>
    <t>Hay al-hussain</t>
  </si>
  <si>
    <t>Al-Samawa</t>
  </si>
  <si>
    <t>Al Basateen Al Gharbia</t>
  </si>
  <si>
    <t>البساتين الغربية</t>
  </si>
  <si>
    <t>Al Mamlaha</t>
  </si>
  <si>
    <t>المملحة</t>
  </si>
  <si>
    <t>Al Maredh</t>
  </si>
  <si>
    <t>المعارض</t>
  </si>
  <si>
    <t>Al Zahra</t>
  </si>
  <si>
    <t>الزهراء</t>
  </si>
  <si>
    <t>Al-haydariyah</t>
  </si>
  <si>
    <t>الحيدريه</t>
  </si>
  <si>
    <t>AL-Mutasher</t>
  </si>
  <si>
    <t>ال مطشر</t>
  </si>
  <si>
    <t>Al-Samawa-Al Maaly</t>
  </si>
  <si>
    <t>ال معالي</t>
  </si>
  <si>
    <t>Al-Samawa-Al-Hay Al-Askary</t>
  </si>
  <si>
    <t>Al-Samawa-Hay Al-Hakim</t>
  </si>
  <si>
    <t>حي الحكيم</t>
  </si>
  <si>
    <t>AL-Tuail</t>
  </si>
  <si>
    <t>الطوايل</t>
  </si>
  <si>
    <t>Hay 270 Dar</t>
  </si>
  <si>
    <t>270 حي دار</t>
  </si>
  <si>
    <t>Hay 36</t>
  </si>
  <si>
    <t>حي 36</t>
  </si>
  <si>
    <t>Hay 9 Nissan</t>
  </si>
  <si>
    <t>حي 9 نيسان</t>
  </si>
  <si>
    <t>Hay Al Bani</t>
  </si>
  <si>
    <t>حي ال باني</t>
  </si>
  <si>
    <t>Hay Al Entesar</t>
  </si>
  <si>
    <t xml:space="preserve">Hay Al Gharbi </t>
  </si>
  <si>
    <t>حي الغربي</t>
  </si>
  <si>
    <t>Hay Al Jarboaia</t>
  </si>
  <si>
    <t>الجربوعية</t>
  </si>
  <si>
    <t>Hay Al Jmhoori</t>
  </si>
  <si>
    <t>Hay Al Mualmeen</t>
  </si>
  <si>
    <t>Hay Al Tamiem</t>
  </si>
  <si>
    <t>حي التاميم</t>
  </si>
  <si>
    <t>Hay Alabeiad</t>
  </si>
  <si>
    <t>حي ال عبيد</t>
  </si>
  <si>
    <t>Hay Alhussein</t>
  </si>
  <si>
    <t>Hay Alnadhem</t>
  </si>
  <si>
    <t>حي الناظم</t>
  </si>
  <si>
    <t>Hay Dor Al Shareka</t>
  </si>
  <si>
    <t>حي دور الشركة</t>
  </si>
  <si>
    <t>Hay Dour AL-Sikak</t>
  </si>
  <si>
    <t>حي دور السكك</t>
  </si>
  <si>
    <t>Hay Musa AL-Kadhum</t>
  </si>
  <si>
    <t>Hay Saed Jabar</t>
  </si>
  <si>
    <t>حي سيد جبار</t>
  </si>
  <si>
    <t>Um AL-Housh</t>
  </si>
  <si>
    <t>ام الهوش</t>
  </si>
  <si>
    <t>Al-Manathera</t>
  </si>
  <si>
    <t>Al Mishkhab</t>
  </si>
  <si>
    <t>المشخاب</t>
  </si>
  <si>
    <t>Al-Muhajeer</t>
  </si>
  <si>
    <t>المحاجير</t>
  </si>
  <si>
    <t>Al-Muhajerah</t>
  </si>
  <si>
    <t>حي المحجره</t>
  </si>
  <si>
    <t>Hay almatat</t>
  </si>
  <si>
    <t>حي المطاط</t>
  </si>
  <si>
    <t>Kufa</t>
  </si>
  <si>
    <t>Al Abassiyah-Al Resalah 3</t>
  </si>
  <si>
    <t>العباسية حي الرسالة الثالثة</t>
  </si>
  <si>
    <t>Al Abassiyah-Hay Al muntadher</t>
  </si>
  <si>
    <t>العباسية-حي المنتظر</t>
  </si>
  <si>
    <t>Al Abassiyah-Hay Al Resalah 2</t>
  </si>
  <si>
    <t>العباسية حي الرسالة الثانية</t>
  </si>
  <si>
    <t>Al Barakiya</t>
  </si>
  <si>
    <t>البراكية</t>
  </si>
  <si>
    <t>Al Hureya</t>
  </si>
  <si>
    <t>الحرية</t>
  </si>
  <si>
    <t>Al Kreishat 2</t>
  </si>
  <si>
    <t>الكريشات 2</t>
  </si>
  <si>
    <t>Al Sahla</t>
  </si>
  <si>
    <t>السهله</t>
  </si>
  <si>
    <t>Al Suhailiya 1</t>
  </si>
  <si>
    <t>السهيليه 1</t>
  </si>
  <si>
    <t>Al Suhailiya 2</t>
  </si>
  <si>
    <t>السهيليه 2</t>
  </si>
  <si>
    <t>Albu Hadary</t>
  </si>
  <si>
    <t>البو حداري</t>
  </si>
  <si>
    <t>Albu Noman</t>
  </si>
  <si>
    <t>البو نعمان</t>
  </si>
  <si>
    <t>Alwat Al Fahal</t>
  </si>
  <si>
    <t>علوة الفحل</t>
  </si>
  <si>
    <t>Hay alfurat</t>
  </si>
  <si>
    <t>حي الفرات</t>
  </si>
  <si>
    <t>Hay missan 14</t>
  </si>
  <si>
    <t>حي ميسان 14</t>
  </si>
  <si>
    <t>Hay missan 15-A</t>
  </si>
  <si>
    <t>حي ميسان 15-أ</t>
  </si>
  <si>
    <t>Hay missan 22</t>
  </si>
  <si>
    <t>حي ميسان 22</t>
  </si>
  <si>
    <t>Hay missan 230</t>
  </si>
  <si>
    <t>حي ميسان 230</t>
  </si>
  <si>
    <t>Hay missan 232</t>
  </si>
  <si>
    <t>حي ميسان 232</t>
  </si>
  <si>
    <t>Hay missan 234</t>
  </si>
  <si>
    <t>حي ميسان 234</t>
  </si>
  <si>
    <t>Hay missan 236</t>
  </si>
  <si>
    <t>حي ميسان 236</t>
  </si>
  <si>
    <t>Hay missan 31</t>
  </si>
  <si>
    <t>حي ميسان 31</t>
  </si>
  <si>
    <t>Hay missan block 238</t>
  </si>
  <si>
    <t>حي ميسان 238</t>
  </si>
  <si>
    <t>Hay missan block 242</t>
  </si>
  <si>
    <t>حي ميسان 242</t>
  </si>
  <si>
    <t>Hay missan-Al-Shareet 2</t>
  </si>
  <si>
    <t>حي ميسان-الشريط 2</t>
  </si>
  <si>
    <t>Maytham Al Tamar</t>
  </si>
  <si>
    <t>حي ميثم التمار</t>
  </si>
  <si>
    <t>Sader 3</t>
  </si>
  <si>
    <t>الصدر الثالث</t>
  </si>
  <si>
    <t>Al bory</t>
  </si>
  <si>
    <t>قرية البوري</t>
  </si>
  <si>
    <t>Al Jamiaa 3</t>
  </si>
  <si>
    <t>الجامعة 3</t>
  </si>
  <si>
    <t>Al Jazair 2-B</t>
  </si>
  <si>
    <t>الجزائر 2-B</t>
  </si>
  <si>
    <t>Al Jazair 3</t>
  </si>
  <si>
    <t>الجزائر 3</t>
  </si>
  <si>
    <t>Al Jazair 4</t>
  </si>
  <si>
    <t>الجزائر 4</t>
  </si>
  <si>
    <t>AL JEDAIDA</t>
  </si>
  <si>
    <t>الجديدة 4</t>
  </si>
  <si>
    <t>Al Quds 22</t>
  </si>
  <si>
    <t>القدس 22</t>
  </si>
  <si>
    <t>Al Radhawiyah 7</t>
  </si>
  <si>
    <t>الرضوية 7</t>
  </si>
  <si>
    <t>Al Rehab</t>
  </si>
  <si>
    <t>Al Salam Camp</t>
  </si>
  <si>
    <t>مخيم السلام</t>
  </si>
  <si>
    <t>AL-Ajdaa</t>
  </si>
  <si>
    <t>الاجدع</t>
  </si>
  <si>
    <t>Al-Ameriya</t>
  </si>
  <si>
    <t>العامرية</t>
  </si>
  <si>
    <t>Al-Ansar</t>
  </si>
  <si>
    <t>الانصار</t>
  </si>
  <si>
    <t>Al-Fao</t>
  </si>
  <si>
    <t>الفاو</t>
  </si>
  <si>
    <t>Al-Ghadeer Village complex</t>
  </si>
  <si>
    <t>مجمع قرية الغدير</t>
  </si>
  <si>
    <t>Al-Jihad 2</t>
  </si>
  <si>
    <t>الجهاد 2</t>
  </si>
  <si>
    <t>Al-Jihad 5</t>
  </si>
  <si>
    <t>الجهاد 5</t>
  </si>
  <si>
    <t>Al-Mazara 2</t>
  </si>
  <si>
    <t>المزارع الثانية</t>
  </si>
  <si>
    <t>Al-Mazarea AL-Westa</t>
  </si>
  <si>
    <t>المزارع الوسطى</t>
  </si>
  <si>
    <t>Al-Nidaa</t>
  </si>
  <si>
    <t>النداء</t>
  </si>
  <si>
    <t>Al-Qasim</t>
  </si>
  <si>
    <t>القاسم</t>
  </si>
  <si>
    <t>Al-Qasim 2</t>
  </si>
  <si>
    <t>حي القاسم 2</t>
  </si>
  <si>
    <t>Al-Qasim 3</t>
  </si>
  <si>
    <t>حي القاسم 3</t>
  </si>
  <si>
    <t>AL-RADHAWIYA</t>
  </si>
  <si>
    <t>الرضوية 1</t>
  </si>
  <si>
    <t>Al-Risala 2</t>
  </si>
  <si>
    <t>الرسالة 2</t>
  </si>
  <si>
    <t>Al-Shaheed Al-Sadar 1</t>
  </si>
  <si>
    <t>حي الشهيد الصدر 1</t>
  </si>
  <si>
    <t>Al-Shaheed Al-Sadar-Shareet</t>
  </si>
  <si>
    <t>حي الشهيد الصدر-الشريط</t>
  </si>
  <si>
    <t>Aljadidah althalthah</t>
  </si>
  <si>
    <t>الجديدة الثالثة</t>
  </si>
  <si>
    <t>Aljadidah althanyah</t>
  </si>
  <si>
    <t>الجديدة الثانية</t>
  </si>
  <si>
    <t>Aljadidah alulah</t>
  </si>
  <si>
    <t>الجديدة الاولى</t>
  </si>
  <si>
    <t>Fadak Village</t>
  </si>
  <si>
    <t>قرية فدك</t>
  </si>
  <si>
    <t>Hay aby taleb</t>
  </si>
  <si>
    <t>حي ابو طالب</t>
  </si>
  <si>
    <t>Hay Al Ameer</t>
  </si>
  <si>
    <t>Hay Al qadissiyah</t>
  </si>
  <si>
    <t>Hay Al Rahma</t>
  </si>
  <si>
    <t>حي الرحمة</t>
  </si>
  <si>
    <t>Hay Al Yarmook 326</t>
  </si>
  <si>
    <t>حي اليرموك 326</t>
  </si>
  <si>
    <t>Hay Al zahraa-Al Haidariyah</t>
  </si>
  <si>
    <t>حي الزهراء-الحيدرية</t>
  </si>
  <si>
    <t>Hay alsalam 131</t>
  </si>
  <si>
    <t>حي السلام 131</t>
  </si>
  <si>
    <t>Hay Tabok</t>
  </si>
  <si>
    <t>حي تبوك</t>
  </si>
  <si>
    <t>Mafraq Al-Kefal</t>
  </si>
  <si>
    <t>مفرك الجفل</t>
  </si>
  <si>
    <t>Markaz Alhaidariya</t>
  </si>
  <si>
    <t>مركز الحيدرية</t>
  </si>
  <si>
    <t>Mazara Al-Hawli</t>
  </si>
  <si>
    <t>مزارع الحولي</t>
  </si>
  <si>
    <t>Shareet Noor-Tabook</t>
  </si>
  <si>
    <t>شريط نور-تبوك</t>
  </si>
  <si>
    <t>Shawafi Village</t>
  </si>
  <si>
    <t>الشوافع</t>
  </si>
  <si>
    <t>Akre</t>
  </si>
  <si>
    <t>عقرة</t>
  </si>
  <si>
    <t>Amiyanook</t>
  </si>
  <si>
    <t>آميانوك</t>
  </si>
  <si>
    <t>Amyan</t>
  </si>
  <si>
    <t>اميان</t>
  </si>
  <si>
    <t>Banasur</t>
  </si>
  <si>
    <t>بانسور</t>
  </si>
  <si>
    <t>Bardarash</t>
  </si>
  <si>
    <t>بردرش</t>
  </si>
  <si>
    <t>Bardarash Bchok</t>
  </si>
  <si>
    <t>بردرش بجوك</t>
  </si>
  <si>
    <t>Big Dogondan</t>
  </si>
  <si>
    <t>دوكندان كبيرة</t>
  </si>
  <si>
    <t>Big Topzawa</t>
  </si>
  <si>
    <t>توبزاوة كبيرة</t>
  </si>
  <si>
    <t>Bishryan</t>
  </si>
  <si>
    <t>بشريان</t>
  </si>
  <si>
    <t>Bjil</t>
  </si>
  <si>
    <t>بجيل</t>
  </si>
  <si>
    <t>Daratu</t>
  </si>
  <si>
    <t>دارتو</t>
  </si>
  <si>
    <t>Dinarta</t>
  </si>
  <si>
    <t>دينارته</t>
  </si>
  <si>
    <t>Gawilan</t>
  </si>
  <si>
    <t>كويلان</t>
  </si>
  <si>
    <t>Gawrasoor</t>
  </si>
  <si>
    <t>كورا صور</t>
  </si>
  <si>
    <t>Grdasin</t>
  </si>
  <si>
    <t>كردسين</t>
  </si>
  <si>
    <t>Husseini</t>
  </si>
  <si>
    <t>حسيني</t>
  </si>
  <si>
    <t>Ismawa</t>
  </si>
  <si>
    <t>ايسماوة</t>
  </si>
  <si>
    <t>Kalak</t>
  </si>
  <si>
    <t>كلكك</t>
  </si>
  <si>
    <t>Kani Lan</t>
  </si>
  <si>
    <t>كاني لان</t>
  </si>
  <si>
    <t>Khalilkan</t>
  </si>
  <si>
    <t>خليلكان</t>
  </si>
  <si>
    <t>Mam Wa Zina</t>
  </si>
  <si>
    <t>مم و زينا</t>
  </si>
  <si>
    <t>Mamilian Camp</t>
  </si>
  <si>
    <t>مخيم مامليان</t>
  </si>
  <si>
    <t>Roviya</t>
  </si>
  <si>
    <t>روفيا</t>
  </si>
  <si>
    <t>Yakmala</t>
  </si>
  <si>
    <t>يكمالا</t>
  </si>
  <si>
    <t>Zangal</t>
  </si>
  <si>
    <t>زنكل</t>
  </si>
  <si>
    <t>Zanganan</t>
  </si>
  <si>
    <t>زنكنان</t>
  </si>
  <si>
    <t>Zawi Rash</t>
  </si>
  <si>
    <t>زوي رش</t>
  </si>
  <si>
    <t>Zimzimuk</t>
  </si>
  <si>
    <t>زمزموك</t>
  </si>
  <si>
    <t>Al-Ba'aj</t>
  </si>
  <si>
    <t>Markaz Baaj</t>
  </si>
  <si>
    <t>مركز بعاج</t>
  </si>
  <si>
    <t>Al-Hamdaniya</t>
  </si>
  <si>
    <t>Al-Adla Village</t>
  </si>
  <si>
    <t>قرية العدلة</t>
  </si>
  <si>
    <t>Al-Salamiyah Village</t>
  </si>
  <si>
    <t>قرية السلامية</t>
  </si>
  <si>
    <t>As Salamyiah 1</t>
  </si>
  <si>
    <t>مخيم السلامية 1</t>
  </si>
  <si>
    <t>As Salamyiah 2</t>
  </si>
  <si>
    <t>مخيم السلامية 2</t>
  </si>
  <si>
    <t>Hasansham U2</t>
  </si>
  <si>
    <t>مخيم حسن شامي U2</t>
  </si>
  <si>
    <t>Hasansham U3</t>
  </si>
  <si>
    <t>مخيم حسن شامي U3</t>
  </si>
  <si>
    <t>Ibrahim Alkhalil Village</t>
  </si>
  <si>
    <t>قرية ابراهيم الخليل</t>
  </si>
  <si>
    <t>Khazer M1</t>
  </si>
  <si>
    <t>مخيم الخازر M1</t>
  </si>
  <si>
    <t>Al-Shikhan</t>
  </si>
  <si>
    <t>Almaman</t>
  </si>
  <si>
    <t>آلممان</t>
  </si>
  <si>
    <t>Atrush</t>
  </si>
  <si>
    <t>أتروش</t>
  </si>
  <si>
    <t>Baadre</t>
  </si>
  <si>
    <t>باعدري</t>
  </si>
  <si>
    <t>Berstik</t>
  </si>
  <si>
    <t>بيرستيك</t>
  </si>
  <si>
    <t>Betnar</t>
  </si>
  <si>
    <t>بيتنار</t>
  </si>
  <si>
    <t>Chira</t>
  </si>
  <si>
    <t>جرة</t>
  </si>
  <si>
    <t>Doshvan</t>
  </si>
  <si>
    <t>دوشفان</t>
  </si>
  <si>
    <t>Esiyan Village</t>
  </si>
  <si>
    <t>قرية ايسيان</t>
  </si>
  <si>
    <t>Essian Camp</t>
  </si>
  <si>
    <t>مخيم ايسيان</t>
  </si>
  <si>
    <t>Kalakchi</t>
  </si>
  <si>
    <t>كلكجي</t>
  </si>
  <si>
    <t>Lalish</t>
  </si>
  <si>
    <t>لالش</t>
  </si>
  <si>
    <t>Mahad</t>
  </si>
  <si>
    <t>مهد</t>
  </si>
  <si>
    <t>Mamrashan</t>
  </si>
  <si>
    <t>مام رشان</t>
  </si>
  <si>
    <t>Mamrashan Camp</t>
  </si>
  <si>
    <t>مخيم مام رشان</t>
  </si>
  <si>
    <t>Mlkishan</t>
  </si>
  <si>
    <t>ملكيشان</t>
  </si>
  <si>
    <t>New Zinava</t>
  </si>
  <si>
    <t>زينافا جديدة</t>
  </si>
  <si>
    <t>Pirbob</t>
  </si>
  <si>
    <t>بيربوب</t>
  </si>
  <si>
    <t>Qasrok</t>
  </si>
  <si>
    <t>قسروك</t>
  </si>
  <si>
    <t>Sheikhan Camp</t>
  </si>
  <si>
    <t>مخيم شيخان</t>
  </si>
  <si>
    <t>Shekhan</t>
  </si>
  <si>
    <t>شيخان</t>
  </si>
  <si>
    <t>Tal Jumal</t>
  </si>
  <si>
    <t>تل جومل</t>
  </si>
  <si>
    <t>Zelkan</t>
  </si>
  <si>
    <t>زيلكان</t>
  </si>
  <si>
    <t>Hatra</t>
  </si>
  <si>
    <t>Al-Amilah Village</t>
  </si>
  <si>
    <t>قرية الاميلح</t>
  </si>
  <si>
    <t>Al-rogaae Al-shrqia Village</t>
  </si>
  <si>
    <t>قرية الركعي الشرقية</t>
  </si>
  <si>
    <t>Al-Salhiya village</t>
  </si>
  <si>
    <t>قرية الصالحية</t>
  </si>
  <si>
    <t>Ghioa Village</t>
  </si>
  <si>
    <t>قرية كهيوة</t>
  </si>
  <si>
    <t>Markaz AL-Hatra</t>
  </si>
  <si>
    <t>مركز الحضر</t>
  </si>
  <si>
    <t>Mmdoh Al-hassan Village</t>
  </si>
  <si>
    <t>قرية ممدوح الحسان</t>
  </si>
  <si>
    <t>Rmothaniat Al-rdin Village</t>
  </si>
  <si>
    <t>قرية رمضانيات الردن</t>
  </si>
  <si>
    <t>Tal abta</t>
  </si>
  <si>
    <t>تل عبطة</t>
  </si>
  <si>
    <t>Zaaziaa Village</t>
  </si>
  <si>
    <t>قرية زعيزيعة</t>
  </si>
  <si>
    <t>Mosul</t>
  </si>
  <si>
    <t>Ablah Village</t>
  </si>
  <si>
    <t>قرية عبلة</t>
  </si>
  <si>
    <t>Abu Arayis Village</t>
  </si>
  <si>
    <t>قرية أبوعرايس</t>
  </si>
  <si>
    <t>Aen Nasir Village</t>
  </si>
  <si>
    <t>قرية عين ناصر</t>
  </si>
  <si>
    <t>Ajhalah village</t>
  </si>
  <si>
    <t>قرية اجحلة</t>
  </si>
  <si>
    <t>Al Harmaat</t>
  </si>
  <si>
    <t>الهرمات</t>
  </si>
  <si>
    <t>AL Jawana</t>
  </si>
  <si>
    <t>الجواعنة</t>
  </si>
  <si>
    <t>Al jazaer</t>
  </si>
  <si>
    <t>حي الجزائر</t>
  </si>
  <si>
    <t>Al rasheediya</t>
  </si>
  <si>
    <t>الرشيدية</t>
  </si>
  <si>
    <t>Al Sahiroon</t>
  </si>
  <si>
    <t>الساهرون</t>
  </si>
  <si>
    <t>Al Sikak</t>
  </si>
  <si>
    <t>Al tahreer</t>
  </si>
  <si>
    <t>Al Tanak</t>
  </si>
  <si>
    <t>التنك</t>
  </si>
  <si>
    <t>Al-Abar</t>
  </si>
  <si>
    <t>الابار</t>
  </si>
  <si>
    <t>Al-Akhaa</t>
  </si>
  <si>
    <t>الاخاء</t>
  </si>
  <si>
    <t>Al-Amil</t>
  </si>
  <si>
    <t>العامل</t>
  </si>
  <si>
    <t>Al-Andalus</t>
  </si>
  <si>
    <t>حي الاندلس</t>
  </si>
  <si>
    <t>Al-Ausaja Village</t>
  </si>
  <si>
    <t>قرية العوسجة</t>
  </si>
  <si>
    <t>Al-Baladyat</t>
  </si>
  <si>
    <t>البلديات</t>
  </si>
  <si>
    <t>Al-Bareed</t>
  </si>
  <si>
    <t>حي البريد</t>
  </si>
  <si>
    <t>Al-eakedat</t>
  </si>
  <si>
    <t>حي العكيدات</t>
  </si>
  <si>
    <t>Al-Falah</t>
  </si>
  <si>
    <t>حي الفلاح</t>
  </si>
  <si>
    <t>Al-Fisaliyah</t>
  </si>
  <si>
    <t>الفيصلية</t>
  </si>
  <si>
    <t>Al-Hadbaa</t>
  </si>
  <si>
    <t>الحدباء</t>
  </si>
  <si>
    <t>Al-Harmat 2</t>
  </si>
  <si>
    <t>الهرمات الثانية</t>
  </si>
  <si>
    <t>Al-Hasya Village</t>
  </si>
  <si>
    <t>قرية الحصية</t>
  </si>
  <si>
    <t>Al-Hood Village</t>
  </si>
  <si>
    <t>قرية الحود</t>
  </si>
  <si>
    <t>Al-Jawsaq</t>
  </si>
  <si>
    <t>الجوسق</t>
  </si>
  <si>
    <t>Al-Jmesa Village</t>
  </si>
  <si>
    <t>قرية الجمسة</t>
  </si>
  <si>
    <t>Al-Karama village</t>
  </si>
  <si>
    <t>قرية الكرامة</t>
  </si>
  <si>
    <t>Al-Karamah</t>
  </si>
  <si>
    <t>الكرامة</t>
  </si>
  <si>
    <t>Al-Khaberat Village</t>
  </si>
  <si>
    <t>قرية الخبيرات</t>
  </si>
  <si>
    <t>Al-Khadraa</t>
  </si>
  <si>
    <t>الخضراء</t>
  </si>
  <si>
    <t>Al-Maamon</t>
  </si>
  <si>
    <t>المامون</t>
  </si>
  <si>
    <t>Al-Maghreb</t>
  </si>
  <si>
    <t>حي المغرب</t>
  </si>
  <si>
    <t>AL-Mahattah Al-ghaziyah Village</t>
  </si>
  <si>
    <t>قرية المحطة الغازية</t>
  </si>
  <si>
    <t>Al-Mansour</t>
  </si>
  <si>
    <t>المنصور</t>
  </si>
  <si>
    <t>Al-Masarif</t>
  </si>
  <si>
    <t>حي المصارف</t>
  </si>
  <si>
    <t>Al-Matahin</t>
  </si>
  <si>
    <t>المطاحن</t>
  </si>
  <si>
    <t>Al-Methaq</t>
  </si>
  <si>
    <t>الميثاق</t>
  </si>
  <si>
    <t>Al-Moalemen</t>
  </si>
  <si>
    <t>Al-Mothana</t>
  </si>
  <si>
    <t>Al-Muhandiseen</t>
  </si>
  <si>
    <t>المهندسين</t>
  </si>
  <si>
    <t>Al-Muharibeen</t>
  </si>
  <si>
    <t>المحاربين</t>
  </si>
  <si>
    <t>Al-Nabi Sheet</t>
  </si>
  <si>
    <t>النبي شيت</t>
  </si>
  <si>
    <t>Al-Najjar</t>
  </si>
  <si>
    <t>النجار</t>
  </si>
  <si>
    <t>Al-Noor</t>
  </si>
  <si>
    <t>النور</t>
  </si>
  <si>
    <t>Al-Numaniyah</t>
  </si>
  <si>
    <t>النعمانية</t>
  </si>
  <si>
    <t>Al-Qahira</t>
  </si>
  <si>
    <t>القاهرة</t>
  </si>
  <si>
    <t>Al-Qayyarah Center</t>
  </si>
  <si>
    <t>مركز القيارة</t>
  </si>
  <si>
    <t>Al-Quds</t>
  </si>
  <si>
    <t>القدس</t>
  </si>
  <si>
    <t>Al-Rabeea</t>
  </si>
  <si>
    <t>AL-Refaq</t>
  </si>
  <si>
    <t>حي الرفاق</t>
  </si>
  <si>
    <t>Al-Salam</t>
  </si>
  <si>
    <t>Al-Shahed Adnan</t>
  </si>
  <si>
    <t>الشهيد عدنان</t>
  </si>
  <si>
    <t>Al-Shurta</t>
  </si>
  <si>
    <t>Al-Sihha</t>
  </si>
  <si>
    <t>حي الصحة</t>
  </si>
  <si>
    <t>Al-Sinaa Al-Qadema</t>
  </si>
  <si>
    <t>الصناعة القديمة</t>
  </si>
  <si>
    <t>Al-smood</t>
  </si>
  <si>
    <t>Al-sukar</t>
  </si>
  <si>
    <t>حي السكر</t>
  </si>
  <si>
    <t>Al-Swais</t>
  </si>
  <si>
    <t>السويس</t>
  </si>
  <si>
    <t>Al-Thalja Village</t>
  </si>
  <si>
    <t>قرية الثلجة</t>
  </si>
  <si>
    <t>Al-Wahda</t>
  </si>
  <si>
    <t>الوحدة</t>
  </si>
  <si>
    <t>Al-Yarmuk</t>
  </si>
  <si>
    <t>اليرموك</t>
  </si>
  <si>
    <t>Al-zakrotiyah Village</t>
  </si>
  <si>
    <t>قرية الزكروطية</t>
  </si>
  <si>
    <t>Al-Ziraee</t>
  </si>
  <si>
    <t>الزراعي</t>
  </si>
  <si>
    <t>Alqadisiya Al-thaniya</t>
  </si>
  <si>
    <t>القادسية الثانية</t>
  </si>
  <si>
    <t>Alshuhadaa</t>
  </si>
  <si>
    <t>Arbajiyah</t>
  </si>
  <si>
    <t>اربجية</t>
  </si>
  <si>
    <t>Arkaba village</t>
  </si>
  <si>
    <t>قرية الركبة</t>
  </si>
  <si>
    <t>Bab Nergal</t>
  </si>
  <si>
    <t>باب نركال</t>
  </si>
  <si>
    <t>Badosh Al-thania Village</t>
  </si>
  <si>
    <t>قرية بادوش الثانية</t>
  </si>
  <si>
    <t>Bower Albo Hmad Village</t>
  </si>
  <si>
    <t>قرية بوير البوحمد</t>
  </si>
  <si>
    <t>Bysan</t>
  </si>
  <si>
    <t>بيسان</t>
  </si>
  <si>
    <t>Domiz</t>
  </si>
  <si>
    <t>دوميز</t>
  </si>
  <si>
    <t>Door Al-Sukar</t>
  </si>
  <si>
    <t>دور السكر</t>
  </si>
  <si>
    <t>Dur-AlQaeda</t>
  </si>
  <si>
    <t>دور القاعدة</t>
  </si>
  <si>
    <t>Hamam Al Alil 2</t>
  </si>
  <si>
    <t>مخيم حمام العليل 2</t>
  </si>
  <si>
    <t>Hamam Alaleel Center</t>
  </si>
  <si>
    <t>مركز حمام العليل</t>
  </si>
  <si>
    <t>Hay 30 July</t>
  </si>
  <si>
    <t>حي 30 تموز</t>
  </si>
  <si>
    <t>Hay Al Arabi</t>
  </si>
  <si>
    <t>حي العربي</t>
  </si>
  <si>
    <t>Hay Al Intisar</t>
  </si>
  <si>
    <t>Hay Al Islah Al Zirai</t>
  </si>
  <si>
    <t>حي الاصلاح الزراعي</t>
  </si>
  <si>
    <t>Hay Al Nahrawan</t>
  </si>
  <si>
    <t>حي النهروان</t>
  </si>
  <si>
    <t>Hay Al Samah</t>
  </si>
  <si>
    <t>حي السماح</t>
  </si>
  <si>
    <t>Hay Al Tammem</t>
  </si>
  <si>
    <t>التاميم</t>
  </si>
  <si>
    <t>Hay Al-Baker</t>
  </si>
  <si>
    <t>Hay AL-Jamea</t>
  </si>
  <si>
    <t>حي الجامعة</t>
  </si>
  <si>
    <t>Hay Al-Maliyah</t>
  </si>
  <si>
    <t>حي المالية</t>
  </si>
  <si>
    <t>Hay Alalam</t>
  </si>
  <si>
    <t>حي الاعلام</t>
  </si>
  <si>
    <t>Hay alsedeeq</t>
  </si>
  <si>
    <t>Hay Nablus</t>
  </si>
  <si>
    <t>حي نابلس</t>
  </si>
  <si>
    <t>HAY-FALISTINE</t>
  </si>
  <si>
    <t>حي فلسطين</t>
  </si>
  <si>
    <t>Hay-Karkukli</t>
  </si>
  <si>
    <t>حي كركوكلي</t>
  </si>
  <si>
    <t>HAY-SUMMER</t>
  </si>
  <si>
    <t>حي سومر</t>
  </si>
  <si>
    <t>Imam Village</t>
  </si>
  <si>
    <t>قرية الامام</t>
  </si>
  <si>
    <t>knetrah Village</t>
  </si>
  <si>
    <t>قرية كنيطرة</t>
  </si>
  <si>
    <t>Kokjali</t>
  </si>
  <si>
    <t>كوكجلي</t>
  </si>
  <si>
    <t>Mosul Jadida</t>
  </si>
  <si>
    <t>موصل الجديدة</t>
  </si>
  <si>
    <t>Msherfa 1</t>
  </si>
  <si>
    <t>مشيرفة 1</t>
  </si>
  <si>
    <t>Msherfa 2</t>
  </si>
  <si>
    <t>مشيرفة 2</t>
  </si>
  <si>
    <t>Nabi Younis</t>
  </si>
  <si>
    <t>حي النبي يونس</t>
  </si>
  <si>
    <t>Ninewa Sharqiya</t>
  </si>
  <si>
    <t>نينوى الشرقية</t>
  </si>
  <si>
    <t>Qayyarah-Jadah 1</t>
  </si>
  <si>
    <t>مخيم القيارة-الجدعة</t>
  </si>
  <si>
    <t>Qayyarah-Jadah 5</t>
  </si>
  <si>
    <t>مخيم القيارة-الجدعة 5</t>
  </si>
  <si>
    <t>Tal Al-Rumman</t>
  </si>
  <si>
    <t>تل الرمان</t>
  </si>
  <si>
    <t>Tal Samer AlKaber Village</t>
  </si>
  <si>
    <t>قرية تل سمير الكبير</t>
  </si>
  <si>
    <t>Tel Al-raes Al-awola Village</t>
  </si>
  <si>
    <t>قرية تل الريس الاولى</t>
  </si>
  <si>
    <t>Wadi Al-Ain</t>
  </si>
  <si>
    <t>وادي العين</t>
  </si>
  <si>
    <t>Wadi Hajar</t>
  </si>
  <si>
    <t>وادي حجر</t>
  </si>
  <si>
    <t>Yarmjah</t>
  </si>
  <si>
    <t>يارمجة</t>
  </si>
  <si>
    <t>Yarmjah Al-sharqiya</t>
  </si>
  <si>
    <t>يارمجة الشرقية</t>
  </si>
  <si>
    <t>Zanjili</t>
  </si>
  <si>
    <t>الزنجيلي</t>
  </si>
  <si>
    <t>Sinjar</t>
  </si>
  <si>
    <t>Adika</t>
  </si>
  <si>
    <t>اديكا</t>
  </si>
  <si>
    <t>Ashti &amp; Heriko</t>
  </si>
  <si>
    <t>اشتي و هريكو</t>
  </si>
  <si>
    <t>Balif</t>
  </si>
  <si>
    <t>بليف</t>
  </si>
  <si>
    <t>Barah</t>
  </si>
  <si>
    <t>باره</t>
  </si>
  <si>
    <t>Bayevok</t>
  </si>
  <si>
    <t>بايفوك</t>
  </si>
  <si>
    <t>Bir Adam</t>
  </si>
  <si>
    <t>بير ادم</t>
  </si>
  <si>
    <t>Borek</t>
  </si>
  <si>
    <t>Cheyl mira</t>
  </si>
  <si>
    <t>جيل ميرا</t>
  </si>
  <si>
    <t>Darki Qawala</t>
  </si>
  <si>
    <t>داركي قوالا</t>
  </si>
  <si>
    <t>Dokri</t>
  </si>
  <si>
    <t>دوكري</t>
  </si>
  <si>
    <t>Haliqye</t>
  </si>
  <si>
    <t>حليقي</t>
  </si>
  <si>
    <t>Hay Al Naser</t>
  </si>
  <si>
    <t>Hay AlQabail</t>
  </si>
  <si>
    <t>حي القبائل</t>
  </si>
  <si>
    <t>Hay Alqadseya</t>
  </si>
  <si>
    <t>Hay Alshuhada</t>
  </si>
  <si>
    <t>Hay Alzeraee</t>
  </si>
  <si>
    <t>حي الزراعي</t>
  </si>
  <si>
    <t>NULL</t>
  </si>
  <si>
    <t>Hay barbaroj</t>
  </si>
  <si>
    <t>حي بربروش</t>
  </si>
  <si>
    <t>Hay Yarmok</t>
  </si>
  <si>
    <t>حي يرموك</t>
  </si>
  <si>
    <t xml:space="preserve">Karsi </t>
  </si>
  <si>
    <t>كرسي</t>
  </si>
  <si>
    <t>Khana sor</t>
  </si>
  <si>
    <t>خانصور</t>
  </si>
  <si>
    <t>Kolka</t>
  </si>
  <si>
    <t>كولكا</t>
  </si>
  <si>
    <t>Melik</t>
  </si>
  <si>
    <t>ملك</t>
  </si>
  <si>
    <t>Osiva</t>
  </si>
  <si>
    <t>اوسفا</t>
  </si>
  <si>
    <t>Quwasi</t>
  </si>
  <si>
    <t>قويسي</t>
  </si>
  <si>
    <t>Rozh Halat</t>
  </si>
  <si>
    <t>حي روز هلات</t>
  </si>
  <si>
    <t>Sardashty</t>
  </si>
  <si>
    <t>سردشتي</t>
  </si>
  <si>
    <t>Semi-Hester</t>
  </si>
  <si>
    <t>سمي هيستر</t>
  </si>
  <si>
    <t>Sharaf Alddin</t>
  </si>
  <si>
    <t>شرف الدين</t>
  </si>
  <si>
    <t>Shyebl Qasim</t>
  </si>
  <si>
    <t>شيبل قاسم</t>
  </si>
  <si>
    <t>Sinuni center</t>
  </si>
  <si>
    <t>مركز سنوني</t>
  </si>
  <si>
    <t>Trbeka</t>
  </si>
  <si>
    <t>تربكة</t>
  </si>
  <si>
    <t>Wary Bahdo</t>
  </si>
  <si>
    <t>واري بهدو</t>
  </si>
  <si>
    <t>Telafar</t>
  </si>
  <si>
    <t>Abtakh</t>
  </si>
  <si>
    <t>ابتاخ</t>
  </si>
  <si>
    <t>Abu hajarah</t>
  </si>
  <si>
    <t>ابو حجرة</t>
  </si>
  <si>
    <t>Abu Hajira vilage</t>
  </si>
  <si>
    <t>قرية ابو حجيرة</t>
  </si>
  <si>
    <t>abu khushub</t>
  </si>
  <si>
    <t>قرية ابوخشب</t>
  </si>
  <si>
    <t>abu wni</t>
  </si>
  <si>
    <t>قرية أبو وني</t>
  </si>
  <si>
    <t>Ain Hilwa Upper</t>
  </si>
  <si>
    <t>قرية عين حلوة العليا</t>
  </si>
  <si>
    <t>Al Muthalatha village</t>
  </si>
  <si>
    <t>المثلثة</t>
  </si>
  <si>
    <t>Albarghlih</t>
  </si>
  <si>
    <t>قرية البرغليه</t>
  </si>
  <si>
    <t>Albawtha vilage</t>
  </si>
  <si>
    <t>قرية البوثة</t>
  </si>
  <si>
    <t>Albughuh</t>
  </si>
  <si>
    <t>قرية البوغه</t>
  </si>
  <si>
    <t>Almawmi vilage</t>
  </si>
  <si>
    <t>قرية المومي</t>
  </si>
  <si>
    <t>amla</t>
  </si>
  <si>
    <t>قرية عمله</t>
  </si>
  <si>
    <t>Bayr alhulu</t>
  </si>
  <si>
    <t>قرية بئر الحلو</t>
  </si>
  <si>
    <t>Biir eakla vilage</t>
  </si>
  <si>
    <t>قرية بئر عكلة</t>
  </si>
  <si>
    <t>Domez complex</t>
  </si>
  <si>
    <t>مجمع دوميز</t>
  </si>
  <si>
    <t>Ewaynat vilage</t>
  </si>
  <si>
    <t>قرية عوينات</t>
  </si>
  <si>
    <t>Hay Al Arbaeen</t>
  </si>
  <si>
    <t>حي الاربعين</t>
  </si>
  <si>
    <t>Hay Al Askari</t>
  </si>
  <si>
    <t>Hay Al laban</t>
  </si>
  <si>
    <t>حي اللبن</t>
  </si>
  <si>
    <t>Hay Al Qadisya</t>
  </si>
  <si>
    <t>Hay Al Sikak</t>
  </si>
  <si>
    <t>Hay Alasreya</t>
  </si>
  <si>
    <t>Hay althahabe</t>
  </si>
  <si>
    <t>الحي الذهبي</t>
  </si>
  <si>
    <t>Hdeimh</t>
  </si>
  <si>
    <t>قرية هضمية</t>
  </si>
  <si>
    <t>Hokna</t>
  </si>
  <si>
    <t>قرية حكنه</t>
  </si>
  <si>
    <t>Kahreez</t>
  </si>
  <si>
    <t>كهريز</t>
  </si>
  <si>
    <t>Kakhirta</t>
  </si>
  <si>
    <t>كاخرتة</t>
  </si>
  <si>
    <t>Karsur vilage</t>
  </si>
  <si>
    <t>قرية كرصور</t>
  </si>
  <si>
    <t>Khrmer</t>
  </si>
  <si>
    <t>قرية خرمر</t>
  </si>
  <si>
    <t>kirver village</t>
  </si>
  <si>
    <t>قرية كرفر</t>
  </si>
  <si>
    <t>Mushah vilage</t>
  </si>
  <si>
    <t>قرية موشة</t>
  </si>
  <si>
    <t>Qasabat Zummar</t>
  </si>
  <si>
    <t>قصبة زمار</t>
  </si>
  <si>
    <t>Ry Al-Jazera</t>
  </si>
  <si>
    <t>مشروع ري الجزيره</t>
  </si>
  <si>
    <t>Tal alhuaa</t>
  </si>
  <si>
    <t>قرية تل الهوى</t>
  </si>
  <si>
    <t>Tal Hial vilage</t>
  </si>
  <si>
    <t>قرية تل حيال</t>
  </si>
  <si>
    <t>Tal Ismair</t>
  </si>
  <si>
    <t>قرية تل سمير</t>
  </si>
  <si>
    <t>Tal Mus</t>
  </si>
  <si>
    <t>قرية تل موس</t>
  </si>
  <si>
    <t>Tal Talab vilage</t>
  </si>
  <si>
    <t>قرية تل طلب</t>
  </si>
  <si>
    <t>Tal wardan vilage</t>
  </si>
  <si>
    <t>قرية تل وردان</t>
  </si>
  <si>
    <t>Tilkaif</t>
  </si>
  <si>
    <t>Ain Baqara</t>
  </si>
  <si>
    <t>عين بقرة</t>
  </si>
  <si>
    <t>Al Qawsiyat</t>
  </si>
  <si>
    <t>القوسيات</t>
  </si>
  <si>
    <t>Alqosh</t>
  </si>
  <si>
    <t>القوش</t>
  </si>
  <si>
    <t>Baawiza</t>
  </si>
  <si>
    <t>بعويزة</t>
  </si>
  <si>
    <t>Bahindawa</t>
  </si>
  <si>
    <t>بندوايا</t>
  </si>
  <si>
    <t>Beban</t>
  </si>
  <si>
    <t>قرية بيبان</t>
  </si>
  <si>
    <t>Beerzwa</t>
  </si>
  <si>
    <t>بيروزواة</t>
  </si>
  <si>
    <t>Bozan</t>
  </si>
  <si>
    <t>قرية بوزان</t>
  </si>
  <si>
    <t>Dahkan</t>
  </si>
  <si>
    <t xml:space="preserve">دهكان كبير </t>
  </si>
  <si>
    <t>Dashqutan</t>
  </si>
  <si>
    <t>داشقوتان</t>
  </si>
  <si>
    <t>Diwasa</t>
  </si>
  <si>
    <t>قرية دواسة</t>
  </si>
  <si>
    <t>Doghat</t>
  </si>
  <si>
    <t>قرية دوغات</t>
  </si>
  <si>
    <t>Garmawa</t>
  </si>
  <si>
    <t>مخيم كرماوه</t>
  </si>
  <si>
    <t>Hatara</t>
  </si>
  <si>
    <t>حتارة</t>
  </si>
  <si>
    <t>Jambour Village</t>
  </si>
  <si>
    <t>قرية جمبور</t>
  </si>
  <si>
    <t>Jarahiya</t>
  </si>
  <si>
    <t>الجراحية</t>
  </si>
  <si>
    <t>Kabara</t>
  </si>
  <si>
    <t>قرية كابارة</t>
  </si>
  <si>
    <t>Kalata Farhan village</t>
  </si>
  <si>
    <t>قرية كلاتة فرحان(طماشة)</t>
  </si>
  <si>
    <t>Karanjik</t>
  </si>
  <si>
    <t>كرنجوك</t>
  </si>
  <si>
    <t>Karmawa</t>
  </si>
  <si>
    <t>كرماوة</t>
  </si>
  <si>
    <t>Khorazan</t>
  </si>
  <si>
    <t>قرية خورازان</t>
  </si>
  <si>
    <t>Khoshaba</t>
  </si>
  <si>
    <t xml:space="preserve">قرية خوشابا </t>
  </si>
  <si>
    <t>منارة</t>
  </si>
  <si>
    <t>Nasiriah</t>
  </si>
  <si>
    <t>النصيرية</t>
  </si>
  <si>
    <t>Pabera Complex</t>
  </si>
  <si>
    <t>مجمع بابيرة</t>
  </si>
  <si>
    <t>Sarishka</t>
  </si>
  <si>
    <t>قرية سريشكا</t>
  </si>
  <si>
    <t>Sharafiya</t>
  </si>
  <si>
    <t>قرية الشرفية</t>
  </si>
  <si>
    <t>Shaykhaka</t>
  </si>
  <si>
    <t>قرية شيخكة</t>
  </si>
  <si>
    <t>Tafteyan</t>
  </si>
  <si>
    <t>قرية تفتيان</t>
  </si>
  <si>
    <t>Tal Adas</t>
  </si>
  <si>
    <t>تل عدس</t>
  </si>
  <si>
    <t>Tallsquf</t>
  </si>
  <si>
    <t>تللسقف</t>
  </si>
  <si>
    <t>Tilkaif Center</t>
  </si>
  <si>
    <t>مركز تلكيف</t>
  </si>
  <si>
    <t>wanna center</t>
  </si>
  <si>
    <t>مركز وانة</t>
  </si>
  <si>
    <t>Afaq</t>
  </si>
  <si>
    <t>AL-Qati</t>
  </si>
  <si>
    <t>القاطع</t>
  </si>
  <si>
    <t>Al-Sabkaia</t>
  </si>
  <si>
    <t>الصبخاية</t>
  </si>
  <si>
    <t>Al-sadaa al-muhania village</t>
  </si>
  <si>
    <t>قرية السادة المحانية</t>
  </si>
  <si>
    <t>Hay Al Askary 2</t>
  </si>
  <si>
    <t>حي العسكري2</t>
  </si>
  <si>
    <t>Hay Al Jumhoriyah</t>
  </si>
  <si>
    <t xml:space="preserve">حي الجمهورية </t>
  </si>
  <si>
    <t>Hay Al-Hakeem</t>
  </si>
  <si>
    <t>Hay Al-Hussein</t>
  </si>
  <si>
    <t>Hay al-jihad</t>
  </si>
  <si>
    <t>Hay Al-Sadrain</t>
  </si>
  <si>
    <t>حي الصدرين</t>
  </si>
  <si>
    <t>Hay Al-sakban</t>
  </si>
  <si>
    <t>حي الصكبان</t>
  </si>
  <si>
    <t>حي الوائلي</t>
  </si>
  <si>
    <t>Tajamo Al-Mohajreen</t>
  </si>
  <si>
    <t>تجمع المهاجرين</t>
  </si>
  <si>
    <t>Al-Shamiya</t>
  </si>
  <si>
    <t>Ghammas Al-Garb</t>
  </si>
  <si>
    <t>غماس الغرب</t>
  </si>
  <si>
    <t>Hawy Village</t>
  </si>
  <si>
    <t>قرية حاوي</t>
  </si>
  <si>
    <t>Hay Al Tabqa</t>
  </si>
  <si>
    <t>حي الطبكة</t>
  </si>
  <si>
    <t>Hay Al-aaskary al-gharby</t>
  </si>
  <si>
    <t>حي العسكري الغربي</t>
  </si>
  <si>
    <t>Hay al-mualamien</t>
  </si>
  <si>
    <t>Hay Al-Shuhada</t>
  </si>
  <si>
    <t>حي الشهادة</t>
  </si>
  <si>
    <t>Mahlat al-souq</t>
  </si>
  <si>
    <t>محلة السوق</t>
  </si>
  <si>
    <t>Mantaket Al-Aagmai</t>
  </si>
  <si>
    <t>منطقة العجمية</t>
  </si>
  <si>
    <t>Diwaniya</t>
  </si>
  <si>
    <t>Al hamad village</t>
  </si>
  <si>
    <t>قرية الحمد</t>
  </si>
  <si>
    <t>Al himran village</t>
  </si>
  <si>
    <t>قرية الحمران</t>
  </si>
  <si>
    <t>Al Mojamaa Al Sakani</t>
  </si>
  <si>
    <t>المجمع السكني</t>
  </si>
  <si>
    <t>Al-Jabaar village</t>
  </si>
  <si>
    <t>قرية ال جبار</t>
  </si>
  <si>
    <t>AL-Jamiyah 2</t>
  </si>
  <si>
    <t>الجمعية الثانية</t>
  </si>
  <si>
    <t>Al-Jasem Village</t>
  </si>
  <si>
    <t>قرية الجاسم</t>
  </si>
  <si>
    <t>Al-Jazaair 2</t>
  </si>
  <si>
    <t>الجزائر الثانية</t>
  </si>
  <si>
    <t>Al-Mawqee Al-Askary</t>
  </si>
  <si>
    <t>الموقع العسكري</t>
  </si>
  <si>
    <t>Al-Taamem-2</t>
  </si>
  <si>
    <t>التأميم الثانية</t>
  </si>
  <si>
    <t>Al-Taqiya 2</t>
  </si>
  <si>
    <t>التقية الثانية</t>
  </si>
  <si>
    <t>Al-tharwa al-alhaiwaniya</t>
  </si>
  <si>
    <t>الثروة الحيوانية</t>
  </si>
  <si>
    <t>Al-Zawad village</t>
  </si>
  <si>
    <t>قرية الزواد</t>
  </si>
  <si>
    <t>Albo Hasan village</t>
  </si>
  <si>
    <t>قرية البو حسن</t>
  </si>
  <si>
    <t>Albu Khnefis village</t>
  </si>
  <si>
    <t>قرية البو خنيفس</t>
  </si>
  <si>
    <t>Hay Al Furat-2</t>
  </si>
  <si>
    <t>حي الفرات الثانية</t>
  </si>
  <si>
    <t>Hay Al Hurriya</t>
  </si>
  <si>
    <t>Hay Al Jamiaa</t>
  </si>
  <si>
    <t>Hay Al Jamiaa-Al-Hawli</t>
  </si>
  <si>
    <t>حي الجامعة-الحولي</t>
  </si>
  <si>
    <t>Hay Al Jumhori Al Sharqi</t>
  </si>
  <si>
    <t>حي الجمهوري الشرقي</t>
  </si>
  <si>
    <t>Hay Al Mulmeen</t>
  </si>
  <si>
    <t>Hay Al Nahda 3</t>
  </si>
  <si>
    <t>حي النهضة 3</t>
  </si>
  <si>
    <t>Hay Al Sadir 1</t>
  </si>
  <si>
    <t>حي الصدر الاول</t>
  </si>
  <si>
    <t>Hay Al Sadir 2</t>
  </si>
  <si>
    <t>حي الصدر الثاني</t>
  </si>
  <si>
    <t>Hay Al Sadir 3</t>
  </si>
  <si>
    <t>حي الصدر الثالث</t>
  </si>
  <si>
    <t>Hay Al Shahada</t>
  </si>
  <si>
    <t xml:space="preserve">حي الشهداء </t>
  </si>
  <si>
    <t>Hay Al Shomos</t>
  </si>
  <si>
    <t>حي الشموس</t>
  </si>
  <si>
    <t>Hay Al Thuqlayn</t>
  </si>
  <si>
    <t>حي الثقلين</t>
  </si>
  <si>
    <t>Hay Al Waely</t>
  </si>
  <si>
    <t>Hay Al Wihda 1</t>
  </si>
  <si>
    <t>حي الوحده الاولى</t>
  </si>
  <si>
    <t>Hay Al Wihda 3</t>
  </si>
  <si>
    <t>حي الوحده الثالثه</t>
  </si>
  <si>
    <t>Hay Al-Amin 1</t>
  </si>
  <si>
    <t>حي الامين 1</t>
  </si>
  <si>
    <t>Hay Al-Amin 2</t>
  </si>
  <si>
    <t>حي الامين 2</t>
  </si>
  <si>
    <t>Hay Al-Askaary</t>
  </si>
  <si>
    <t>Hay Al-Asry-118</t>
  </si>
  <si>
    <t>حي العصري محلة 118</t>
  </si>
  <si>
    <t>Hay Al-Dhubat 2</t>
  </si>
  <si>
    <t>حي الضباط الثاني</t>
  </si>
  <si>
    <t>Hay Al-Hadarah</t>
  </si>
  <si>
    <t>حي الحضارة</t>
  </si>
  <si>
    <t>Hay Al-Karar</t>
  </si>
  <si>
    <t>Hay al-muaalmien</t>
  </si>
  <si>
    <t>Hay Al-Nahtha 1</t>
  </si>
  <si>
    <t>حي النهضة 1</t>
  </si>
  <si>
    <t>Hay Al-Naseej</t>
  </si>
  <si>
    <t>حي النسيج</t>
  </si>
  <si>
    <t>Hay Al-Sadir 4</t>
  </si>
  <si>
    <t>حي الصدر الرابعة</t>
  </si>
  <si>
    <t>Hay Al-Zaieem</t>
  </si>
  <si>
    <t>حي الزعيم</t>
  </si>
  <si>
    <t>Hay Ramadan</t>
  </si>
  <si>
    <t>حي رمضان</t>
  </si>
  <si>
    <t>Mantaket Al-Jethaa</t>
  </si>
  <si>
    <t>منطقة الجذع</t>
  </si>
  <si>
    <t>Qaryat Al Ensaf</t>
  </si>
  <si>
    <t>قرية الانصاف</t>
  </si>
  <si>
    <t>Salman Hlis Village</t>
  </si>
  <si>
    <t>قرية سلمان هليس</t>
  </si>
  <si>
    <t>Sayed Talib Village</t>
  </si>
  <si>
    <t>قرية سيد طالب</t>
  </si>
  <si>
    <t>Um tibashi village</t>
  </si>
  <si>
    <t>قرية ام طباشي</t>
  </si>
  <si>
    <t>Al-Marshad village</t>
  </si>
  <si>
    <t>قرية المرشد</t>
  </si>
  <si>
    <t>Al-sabah village</t>
  </si>
  <si>
    <t>قرية الصباح</t>
  </si>
  <si>
    <t>Hay Al-Hur</t>
  </si>
  <si>
    <t>حي الحر</t>
  </si>
  <si>
    <t>Hay Hussain</t>
  </si>
  <si>
    <t>Mantaket Al-Giwam</t>
  </si>
  <si>
    <t>منطقة الكوام</t>
  </si>
  <si>
    <t>Salim village</t>
  </si>
  <si>
    <t>قرية سالم</t>
  </si>
  <si>
    <t>Al-Daur</t>
  </si>
  <si>
    <t>Al Mujammaa Al Sakani</t>
  </si>
  <si>
    <t>Al-Fares</t>
  </si>
  <si>
    <t>Al Sejla village</t>
  </si>
  <si>
    <t>قرية السجلة</t>
  </si>
  <si>
    <t>Al Zuheari Village</t>
  </si>
  <si>
    <t>قرية الزهيري</t>
  </si>
  <si>
    <t>Hay Al Hussien</t>
  </si>
  <si>
    <t>Hay Al Wihda Mahala 102</t>
  </si>
  <si>
    <t>محلة 102</t>
  </si>
  <si>
    <t>Hay al Zahraa 204</t>
  </si>
  <si>
    <t>حي الزهراء م(9-تل مسكين)محلة 204</t>
  </si>
  <si>
    <t>Markaz Al-Dujeel-Al Shabab village</t>
  </si>
  <si>
    <t>قرية الشباب</t>
  </si>
  <si>
    <t>Markaz Al-Dujeel-Hay Al Wihda Mahala 101</t>
  </si>
  <si>
    <t>محلة 101</t>
  </si>
  <si>
    <t>Markaz Al-Dujeel-Hay Al Wihda Mahala 103</t>
  </si>
  <si>
    <t>محلة 103</t>
  </si>
  <si>
    <t>Al-Shirqat</t>
  </si>
  <si>
    <t>Al Fajir village(Al Tasni)</t>
  </si>
  <si>
    <t>قرية الفجر</t>
  </si>
  <si>
    <t>Al Khadraniyah</t>
  </si>
  <si>
    <t>قرية الخضرانية</t>
  </si>
  <si>
    <t>Al Khanuga village</t>
  </si>
  <si>
    <t>قرية الخانوكة</t>
  </si>
  <si>
    <t>Al Khasim Al-Jaded village-Al qlisat</t>
  </si>
  <si>
    <t>قرية الخصم الجديدة(القليصات)</t>
  </si>
  <si>
    <t>Al-Ayitha Village</t>
  </si>
  <si>
    <t>قريةالعيثة(جرناف شرقي)</t>
  </si>
  <si>
    <t>Al-Horya Al-Qadema village</t>
  </si>
  <si>
    <t>قرية الحورية القديمة</t>
  </si>
  <si>
    <t>Al-Qalaa Village</t>
  </si>
  <si>
    <t>Al-Qudus</t>
  </si>
  <si>
    <t>Al-Swedan Village</t>
  </si>
  <si>
    <t>قرية سويدان</t>
  </si>
  <si>
    <t>Baaja</t>
  </si>
  <si>
    <t>حاوي بعاجه حاوي-حضر</t>
  </si>
  <si>
    <t>Hay Al Jumiala</t>
  </si>
  <si>
    <t>حي الجميلة</t>
  </si>
  <si>
    <t>Hay Al Qasbah</t>
  </si>
  <si>
    <t>حي القصبة</t>
  </si>
  <si>
    <t>Hay Al Ziraa</t>
  </si>
  <si>
    <t>حي الزراعه</t>
  </si>
  <si>
    <t>Hay Al-Baladyat</t>
  </si>
  <si>
    <t>حي البلديات</t>
  </si>
  <si>
    <t>Hay Al-Khasim Al-Qadem village</t>
  </si>
  <si>
    <t>قرية الخصم القديمة</t>
  </si>
  <si>
    <t>Hay Tal Baajah</t>
  </si>
  <si>
    <t>حي تل بعاجة</t>
  </si>
  <si>
    <t>Huriyah al jazerah-Al-Aboud</t>
  </si>
  <si>
    <t>قرية العبود</t>
  </si>
  <si>
    <t>Qaryat Al Sabkha</t>
  </si>
  <si>
    <t>قرية الصبخة</t>
  </si>
  <si>
    <t>Tal Al Jumiala area</t>
  </si>
  <si>
    <t xml:space="preserve">تل بعاجة 1 وتل اجميلة </t>
  </si>
  <si>
    <t>Baiji</t>
  </si>
  <si>
    <t>Al Hamra village</t>
  </si>
  <si>
    <t>قرية الحمرة</t>
  </si>
  <si>
    <t>Al Hejaj Village-13</t>
  </si>
  <si>
    <t>مقاطعة 13 الحجاج والجيسات-قرية الحجاج</t>
  </si>
  <si>
    <t>Albu Tuama Village</t>
  </si>
  <si>
    <t>قرية البوطعمة</t>
  </si>
  <si>
    <t>Balad</t>
  </si>
  <si>
    <t>Al Hardaniyah</t>
  </si>
  <si>
    <t xml:space="preserve">قرية الحردانية </t>
  </si>
  <si>
    <t>Al Mashrooa Village</t>
  </si>
  <si>
    <t>قرية المشروع</t>
  </si>
  <si>
    <t>Al-Duloeyah-Hay Al Jubor</t>
  </si>
  <si>
    <t>محلة الجبور الاولى</t>
  </si>
  <si>
    <t>Al-Duloeyah-Hay khazraj</t>
  </si>
  <si>
    <t>محلة خزرج</t>
  </si>
  <si>
    <t>AL-Eshaqi center</t>
  </si>
  <si>
    <t>مركز ناحية الاسحاقي</t>
  </si>
  <si>
    <t>Al-Juboor Village</t>
  </si>
  <si>
    <t>قرية الجبور والحويجة ا</t>
  </si>
  <si>
    <t>Albu Farraj Village</t>
  </si>
  <si>
    <t>قرية البو فراج</t>
  </si>
  <si>
    <t>Albu Jewari</t>
  </si>
  <si>
    <t>محلة البو جواري</t>
  </si>
  <si>
    <t>Balad station</t>
  </si>
  <si>
    <t>محطة بلد</t>
  </si>
  <si>
    <t>Beshakan village</t>
  </si>
  <si>
    <t>قرية بيشكان</t>
  </si>
  <si>
    <t>Eshaqi Camp</t>
  </si>
  <si>
    <t>مخيم الاسحاقي</t>
  </si>
  <si>
    <t>Gbeabah Village</t>
  </si>
  <si>
    <t>قرية كبيبه</t>
  </si>
  <si>
    <t>Samarra</t>
  </si>
  <si>
    <t>Al Armushia(Mahala 332)</t>
  </si>
  <si>
    <t>حي الشرطة م(25-عرموشية)محلة 332</t>
  </si>
  <si>
    <t>Al Jibariya Mahala 316</t>
  </si>
  <si>
    <t>حي الواثق(22-جبيرية)محلة 316</t>
  </si>
  <si>
    <t>Al Jubairiyah Al Thalitha</t>
  </si>
  <si>
    <t>حي الواثق(22-جبيرية)الجبيرية الثالثة</t>
  </si>
  <si>
    <t>Al Mahalla Al Gharbiah</t>
  </si>
  <si>
    <t>المحلة الغربية</t>
  </si>
  <si>
    <t>Al Qala-Mahal 201</t>
  </si>
  <si>
    <t>مقاطعة 4 القلعة محلة 201</t>
  </si>
  <si>
    <t>Al Sayoya-Mahala 1</t>
  </si>
  <si>
    <t>محلة الصعيوية-1</t>
  </si>
  <si>
    <t>Al-Abasiya Village</t>
  </si>
  <si>
    <t>قرية العباسية</t>
  </si>
  <si>
    <t>Al-Efraz area</t>
  </si>
  <si>
    <t>حي الافراز</t>
  </si>
  <si>
    <t>Al-Hewaish area</t>
  </si>
  <si>
    <t>Al-Jamiaa Area</t>
  </si>
  <si>
    <t>Al-Shuhadaa-Mahalla 324</t>
  </si>
  <si>
    <t>حي الشهداءم(25-عرموشية)محلة 324</t>
  </si>
  <si>
    <t>Al-Sikak-111</t>
  </si>
  <si>
    <t>حي السكك(الشرقية)محلة 111</t>
  </si>
  <si>
    <t>Hawi Albsat</t>
  </si>
  <si>
    <t>مقاطعة 27 حاوى البساط</t>
  </si>
  <si>
    <t>Hay Al Baladiya-104</t>
  </si>
  <si>
    <t>م ق سامراء حي ابن سينا محلة 104</t>
  </si>
  <si>
    <t>Hay Al Dhubbat-Mahalla 334</t>
  </si>
  <si>
    <t>حي الضباط م(25-عرموشية)محلة 334</t>
  </si>
  <si>
    <t>Hay Al Dubhat-Mahalla 336</t>
  </si>
  <si>
    <t>حي الضباط م(25-عرموشية)محلة 336</t>
  </si>
  <si>
    <t>Hay Al Hady 101</t>
  </si>
  <si>
    <t>حي الهادي(غربية)محلة 101</t>
  </si>
  <si>
    <t>Hay Al imam-103</t>
  </si>
  <si>
    <t>حي الامام محلة 103</t>
  </si>
  <si>
    <t>Hay Al Mulmeen-109</t>
  </si>
  <si>
    <t>حي المعلمين-109</t>
  </si>
  <si>
    <t>Hay Al Mutasim-mahala 105</t>
  </si>
  <si>
    <t>محلة 105</t>
  </si>
  <si>
    <t>Hay Al Muthanna-Mahalla 312</t>
  </si>
  <si>
    <t>حي المثنى-محلة 312</t>
  </si>
  <si>
    <t>Hay Al Rasheed-Mahalla 326</t>
  </si>
  <si>
    <t>حي الرشيد م(22-جبيرية)محلة 326</t>
  </si>
  <si>
    <t>Hay Al Wathiq-Mahala 314</t>
  </si>
  <si>
    <t>حي الواثق(22-جبيرية)محلة 314</t>
  </si>
  <si>
    <t>Hay Al Zuhoor(Al qala 4)Mahala 202</t>
  </si>
  <si>
    <t>حي الزهور(4-القلعة)محلة 202</t>
  </si>
  <si>
    <t>Hay Al-Khathraa Mahala 322</t>
  </si>
  <si>
    <t>حي الخضراء م(25-عرموشية)محلة 322</t>
  </si>
  <si>
    <t>Hay Al-Ziraa(Sharqiyah)113</t>
  </si>
  <si>
    <t>حي الزراعة(شرقية)محلة 113</t>
  </si>
  <si>
    <t>Hay Albu Rahman</t>
  </si>
  <si>
    <t>حي البو رحمن</t>
  </si>
  <si>
    <t>Hay Alqadisiya-320</t>
  </si>
  <si>
    <t>حي القادسية م(25-عرموشية)محلة 320</t>
  </si>
  <si>
    <t>Hay Salah Al-Din(Mahala 302)</t>
  </si>
  <si>
    <t>حي صلاح الدين محلة 302</t>
  </si>
  <si>
    <t>Mahalla Makeshfa</t>
  </si>
  <si>
    <t>محلة مكيشفة</t>
  </si>
  <si>
    <t>Tikrit</t>
  </si>
  <si>
    <t>Al Ahad Al Jadid village</t>
  </si>
  <si>
    <t>قرية العهد الجديد</t>
  </si>
  <si>
    <t xml:space="preserve">Al Auja village </t>
  </si>
  <si>
    <t>قرية العوجة</t>
  </si>
  <si>
    <t>Al Baladiyat-402</t>
  </si>
  <si>
    <t>البلديات-402</t>
  </si>
  <si>
    <t>Al Bzikhah Village</t>
  </si>
  <si>
    <t>قرية البزيخة</t>
  </si>
  <si>
    <t>Al Haweja village-AlAbady</t>
  </si>
  <si>
    <t>قرية الحويجة-العبادي</t>
  </si>
  <si>
    <t>Al Karama Village</t>
  </si>
  <si>
    <t>Al khuzamiya Village</t>
  </si>
  <si>
    <t>قرية الخزامية</t>
  </si>
  <si>
    <t>Al Mahzam village</t>
  </si>
  <si>
    <t>قرية المحزم</t>
  </si>
  <si>
    <t>Al Namah Al ShamaliyahVillage</t>
  </si>
  <si>
    <t>قرية الناعمة الشمالية</t>
  </si>
  <si>
    <t>Al Safiya village</t>
  </si>
  <si>
    <t>قرية الصافية</t>
  </si>
  <si>
    <t>Al Shaheed Abdulla village</t>
  </si>
  <si>
    <t>قرية الشهيد عبدالله جباره</t>
  </si>
  <si>
    <t>Al Zallayah village</t>
  </si>
  <si>
    <t>قرية الزلاية</t>
  </si>
  <si>
    <t>Al-Dibsa Village</t>
  </si>
  <si>
    <t>قرية الدبسة</t>
  </si>
  <si>
    <t>Al-Khanag village</t>
  </si>
  <si>
    <t>قرية الخنك</t>
  </si>
  <si>
    <t>Al-Muskarat</t>
  </si>
  <si>
    <t>منطقة المعسكرات</t>
  </si>
  <si>
    <t>Al-Mutaradah 204</t>
  </si>
  <si>
    <t>حي الشهداء مقاطعة 7-المطاردة محلة 204</t>
  </si>
  <si>
    <t>Al-Shahama Camp</t>
  </si>
  <si>
    <t>مخيم الشهامة</t>
  </si>
  <si>
    <t>Al-Shahama Village</t>
  </si>
  <si>
    <t>قرية الشهامة</t>
  </si>
  <si>
    <t>Aldleimat Village</t>
  </si>
  <si>
    <t>قرية الدليمات</t>
  </si>
  <si>
    <t>Awajealah Quarter</t>
  </si>
  <si>
    <t>حي عويجيلية-م(27-الخرجة والعالي)</t>
  </si>
  <si>
    <t>Hammad Shihab</t>
  </si>
  <si>
    <t>قرية حماد شهاب</t>
  </si>
  <si>
    <t>Hay Al Anwaa Mahala 420</t>
  </si>
  <si>
    <t>حي الانواء-محلة 420</t>
  </si>
  <si>
    <t>Hay Al Asry Al Jadid-404</t>
  </si>
  <si>
    <t>حي العصري-محلة 404</t>
  </si>
  <si>
    <t>Hay Al baladiyah</t>
  </si>
  <si>
    <t>حي البلدية-م(27-الخرجة والعالي)</t>
  </si>
  <si>
    <t>Hay Al Jamiyah</t>
  </si>
  <si>
    <t>حي الجمعية-2</t>
  </si>
  <si>
    <t>Hay Al Mualimeen-406</t>
  </si>
  <si>
    <t>حي المعلمين محلة-406</t>
  </si>
  <si>
    <t>Hay Al sinay-Al samad</t>
  </si>
  <si>
    <t>حي الصناعي-م(51-المجرة وتل رجيم)قرية الصمد</t>
  </si>
  <si>
    <t>Hay AL Suqour</t>
  </si>
  <si>
    <t>حي الصقور</t>
  </si>
  <si>
    <t>Hay Al Zuhour-422</t>
  </si>
  <si>
    <t>حي الزهور محلة-422</t>
  </si>
  <si>
    <t>Hay Al-Quthat</t>
  </si>
  <si>
    <t>حي القضاة</t>
  </si>
  <si>
    <t>Hay Al-Sikak</t>
  </si>
  <si>
    <t>Hay Al-Tajneed</t>
  </si>
  <si>
    <t>حي التجنيد</t>
  </si>
  <si>
    <t>Hay Alarbaen</t>
  </si>
  <si>
    <t>حي الاربعين-محله 414</t>
  </si>
  <si>
    <t>Hay Aldiuom</t>
  </si>
  <si>
    <t>حي الديوم-مقاطعة 211-ديوم تكريت</t>
  </si>
  <si>
    <t>Hay Alfirdous</t>
  </si>
  <si>
    <t>حي الفردوس(البو عبيد)مقاطعة-5 محلة 428</t>
  </si>
  <si>
    <t>Hay Aljamiyaa</t>
  </si>
  <si>
    <t>حي الجمعية-محله 418</t>
  </si>
  <si>
    <t>Hay Alkahrbaa</t>
  </si>
  <si>
    <t>حي الكهرباء</t>
  </si>
  <si>
    <t>Hay Alqalaa</t>
  </si>
  <si>
    <t>حي القلعة(6-تكريت)محلة 405</t>
  </si>
  <si>
    <t>Hay Alziraa</t>
  </si>
  <si>
    <t>Hay Salma Altaghlubia</t>
  </si>
  <si>
    <t>حي سلمى التغلبيه-محله 401</t>
  </si>
  <si>
    <t>Hay Sheshen Mahal 408</t>
  </si>
  <si>
    <t>حي شيشين-مقاطعة 5-وادي شيشين محلة 408</t>
  </si>
  <si>
    <t>Mahalla Al Aed</t>
  </si>
  <si>
    <t>حي العائد(27-الخرجة والعالي)محلة العائد</t>
  </si>
  <si>
    <t>Mahalla Al muwadafeen</t>
  </si>
  <si>
    <t>حي الموظفين(27الخرجة والعالي)محلة الموظفين</t>
  </si>
  <si>
    <t>Qadisya 1 Mahala 214</t>
  </si>
  <si>
    <t>حي المطاردة(قادسية1)مقاطعة 7-محله 214</t>
  </si>
  <si>
    <t>Qadisya 2 500 Area</t>
  </si>
  <si>
    <t>حي المطاردة(قادسية2)مقاطعة 7 محله 218 – قطعه 500</t>
  </si>
  <si>
    <t>Qadisya 2 Mahala 216</t>
  </si>
  <si>
    <t>حي المطاردة(قادسية2)مقاطعة 7-محله 216</t>
  </si>
  <si>
    <t>Qaryat Erbaidha</t>
  </si>
  <si>
    <t>قرية أربيضة</t>
  </si>
  <si>
    <t>Samrah Village</t>
  </si>
  <si>
    <t>قرية سمرة</t>
  </si>
  <si>
    <t>Tal-Al Sibaat Village</t>
  </si>
  <si>
    <t>قرية تل السيباط</t>
  </si>
  <si>
    <t>Uwainat</t>
  </si>
  <si>
    <t>عوينات</t>
  </si>
  <si>
    <t>Tooz</t>
  </si>
  <si>
    <t>Bash Tapa Village</t>
  </si>
  <si>
    <t>قرية باشتبة</t>
  </si>
  <si>
    <t>Chachan Village</t>
  </si>
  <si>
    <t>قرية جيجان</t>
  </si>
  <si>
    <t>Garmik Village</t>
  </si>
  <si>
    <t>قرية كرمك</t>
  </si>
  <si>
    <t>Haidarasor</t>
  </si>
  <si>
    <t>قرية حيدرسور</t>
  </si>
  <si>
    <t>Hay Al Sideeq Mahalla 105</t>
  </si>
  <si>
    <t>Hay Garmian</t>
  </si>
  <si>
    <t>حي كرميان</t>
  </si>
  <si>
    <t>Hay Komari-120</t>
  </si>
  <si>
    <t>حي كوماري م(5-الطوز)محلة 120</t>
  </si>
  <si>
    <t>Hay Rizgari-114</t>
  </si>
  <si>
    <t>حي رزكاري م(5-الطوز)محلة 114</t>
  </si>
  <si>
    <t>Hay Shoraw-1</t>
  </si>
  <si>
    <t>مقاطعة 1 شوراو</t>
  </si>
  <si>
    <t>Jawry</t>
  </si>
  <si>
    <t>قرية جورى</t>
  </si>
  <si>
    <t>Lak Village</t>
  </si>
  <si>
    <t>قرية لك</t>
  </si>
  <si>
    <t>lufty Agha Village</t>
  </si>
  <si>
    <t>قرية لفتي اغا</t>
  </si>
  <si>
    <t>Markaz Tooz-Hay Al Askari</t>
  </si>
  <si>
    <t>Markaz Tooz-Hay Al Taiyar 122</t>
  </si>
  <si>
    <t>محلة 122</t>
  </si>
  <si>
    <t>Markaz Tooz-Hay Brayati</t>
  </si>
  <si>
    <t>محلة برايتي</t>
  </si>
  <si>
    <t>Markaz Tooz-Jesir Dara</t>
  </si>
  <si>
    <t>جسر دارا</t>
  </si>
  <si>
    <t>Milnaser Village</t>
  </si>
  <si>
    <t>قرية ميلناصر</t>
  </si>
  <si>
    <t>Namiq Village</t>
  </si>
  <si>
    <t>قرية نامق</t>
  </si>
  <si>
    <t>Nawjool area</t>
  </si>
  <si>
    <t>منطقة نوجول</t>
  </si>
  <si>
    <t>Nawjool Village</t>
  </si>
  <si>
    <t>قرية نوجول</t>
  </si>
  <si>
    <t>Omersufy Village</t>
  </si>
  <si>
    <t>قرية عمرسوفي</t>
  </si>
  <si>
    <t>Qala Village</t>
  </si>
  <si>
    <t>Qalkhanlu Khwar Village</t>
  </si>
  <si>
    <t>قرية قلخانلو السفلى</t>
  </si>
  <si>
    <t>Qalkhanlu Village</t>
  </si>
  <si>
    <t>قرية قلخانلو</t>
  </si>
  <si>
    <t>Qumpalk Village</t>
  </si>
  <si>
    <t>قرية قومبلك</t>
  </si>
  <si>
    <t>Sankur</t>
  </si>
  <si>
    <t>سنكور</t>
  </si>
  <si>
    <t>Shaikh Abd village</t>
  </si>
  <si>
    <t>قرية شيخ عبد</t>
  </si>
  <si>
    <t>Tal Al Naqqar</t>
  </si>
  <si>
    <t>تل النقار</t>
  </si>
  <si>
    <t xml:space="preserve">Tapa Sawz Village </t>
  </si>
  <si>
    <t>قرية تبة سوز</t>
  </si>
  <si>
    <t>Tooz-Hay Al Teen</t>
  </si>
  <si>
    <t>حي الطين</t>
  </si>
  <si>
    <t>Unformal Shelter</t>
  </si>
  <si>
    <t>سكن غير رسمي</t>
  </si>
  <si>
    <t>Waranikan Village</t>
  </si>
  <si>
    <t>قرية وارانيكان</t>
  </si>
  <si>
    <t>Chamchamal</t>
  </si>
  <si>
    <t>Asuda</t>
  </si>
  <si>
    <t>اسودة</t>
  </si>
  <si>
    <t>ازادى</t>
  </si>
  <si>
    <t>Bani maqan</t>
  </si>
  <si>
    <t>باني مقان</t>
  </si>
  <si>
    <t>Bekas</t>
  </si>
  <si>
    <t>بيكس</t>
  </si>
  <si>
    <t>Chamchamal-Raparin</t>
  </si>
  <si>
    <t>جمجمال-رابرين</t>
  </si>
  <si>
    <t>Chamchamal-Rizgari</t>
  </si>
  <si>
    <t>جمجمال-رزكاري</t>
  </si>
  <si>
    <t>Dallawa kurdan</t>
  </si>
  <si>
    <t>دالاوا كوردان</t>
  </si>
  <si>
    <t>Dawajin</t>
  </si>
  <si>
    <t>دواجن</t>
  </si>
  <si>
    <t>Farqanikan</t>
  </si>
  <si>
    <t>فرقانيكان</t>
  </si>
  <si>
    <t>Galnaghag</t>
  </si>
  <si>
    <t>كةلناغاج</t>
  </si>
  <si>
    <t>Gird khabar</t>
  </si>
  <si>
    <t>كرد خةبةر</t>
  </si>
  <si>
    <t>Goptaya</t>
  </si>
  <si>
    <t>كوبتةية</t>
  </si>
  <si>
    <t>Handreen</t>
  </si>
  <si>
    <t>هندرين</t>
  </si>
  <si>
    <t>Harim</t>
  </si>
  <si>
    <t>hashazini</t>
  </si>
  <si>
    <t>هةشة زيني</t>
  </si>
  <si>
    <t>Hassan kanawesh</t>
  </si>
  <si>
    <t>حسن كةنةويش</t>
  </si>
  <si>
    <t>Hazar kani</t>
  </si>
  <si>
    <t>هزار كاني</t>
  </si>
  <si>
    <t>Iskandar Bk</t>
  </si>
  <si>
    <t>اسكندر بك</t>
  </si>
  <si>
    <t>jamrez</t>
  </si>
  <si>
    <t>جامريز</t>
  </si>
  <si>
    <t>Jarmo City</t>
  </si>
  <si>
    <t>جرمو ستى</t>
  </si>
  <si>
    <t>Kala rashi</t>
  </si>
  <si>
    <t>كلة راشي</t>
  </si>
  <si>
    <t>Kani Spika</t>
  </si>
  <si>
    <t>كاني سبيكة</t>
  </si>
  <si>
    <t>Kharabandalo</t>
  </si>
  <si>
    <t>خةرةبةندةلو</t>
  </si>
  <si>
    <t>Khdri</t>
  </si>
  <si>
    <t>خدري</t>
  </si>
  <si>
    <t>Kichan</t>
  </si>
  <si>
    <t>كيجان</t>
  </si>
  <si>
    <t>Kirpchina</t>
  </si>
  <si>
    <t>كيربجينا</t>
  </si>
  <si>
    <t>Mayla</t>
  </si>
  <si>
    <t>مايلة</t>
  </si>
  <si>
    <t>MOFARIAKAN</t>
  </si>
  <si>
    <t>موفريكان</t>
  </si>
  <si>
    <t>Piryadi</t>
  </si>
  <si>
    <t>بيريادى</t>
  </si>
  <si>
    <t>Pura Gulla</t>
  </si>
  <si>
    <t>بوره كوله</t>
  </si>
  <si>
    <t>Qadir Kir Mikan</t>
  </si>
  <si>
    <t>قادركرميكان</t>
  </si>
  <si>
    <t>Qarahanjiriakan</t>
  </si>
  <si>
    <t>قرهنجيريكان</t>
  </si>
  <si>
    <t>Sangawi kon</t>
  </si>
  <si>
    <t>سنكاوي كون</t>
  </si>
  <si>
    <t>SANGAWIAKAN</t>
  </si>
  <si>
    <t>سنكاويكان</t>
  </si>
  <si>
    <t>sarqalla</t>
  </si>
  <si>
    <t>سةرقلا</t>
  </si>
  <si>
    <t>Sharwani</t>
  </si>
  <si>
    <t>Shekh Palawan</t>
  </si>
  <si>
    <t>شيخ بالةوان</t>
  </si>
  <si>
    <t>Shekhanikan</t>
  </si>
  <si>
    <t>شيخانيكان</t>
  </si>
  <si>
    <t>Takya-Ashty</t>
  </si>
  <si>
    <t>تكية-اشتى</t>
  </si>
  <si>
    <t>Takya-Azadi</t>
  </si>
  <si>
    <t>تكية-ازادى</t>
  </si>
  <si>
    <t>Takya-Rizgari</t>
  </si>
  <si>
    <t>تكية-رزكاري</t>
  </si>
  <si>
    <t>Takya-Sharawny</t>
  </si>
  <si>
    <t>تكية-شاروانى</t>
  </si>
  <si>
    <t>Tawkal</t>
  </si>
  <si>
    <t>تةوكةل</t>
  </si>
  <si>
    <t>Darbandikhan</t>
  </si>
  <si>
    <t>Azaban</t>
  </si>
  <si>
    <t>عازبان</t>
  </si>
  <si>
    <t>Bongla</t>
  </si>
  <si>
    <t>بونكلة</t>
  </si>
  <si>
    <t>Campe khwarw</t>
  </si>
  <si>
    <t>كمبى خوارو</t>
  </si>
  <si>
    <t>Diwana</t>
  </si>
  <si>
    <t>ديوانة</t>
  </si>
  <si>
    <t>Hawara barza</t>
  </si>
  <si>
    <t>هواربرزة</t>
  </si>
  <si>
    <t>Jamerga</t>
  </si>
  <si>
    <t>جةمركة</t>
  </si>
  <si>
    <t>Kani mil</t>
  </si>
  <si>
    <t>كاني ميل</t>
  </si>
  <si>
    <t>Kanisard</t>
  </si>
  <si>
    <t>كانى سارد</t>
  </si>
  <si>
    <t>Kanito</t>
  </si>
  <si>
    <t>كانى توو</t>
  </si>
  <si>
    <t>Khelan</t>
  </si>
  <si>
    <t>خيلان</t>
  </si>
  <si>
    <t>Raparine</t>
  </si>
  <si>
    <t>Roshambiran</t>
  </si>
  <si>
    <t>روشمبيران</t>
  </si>
  <si>
    <t>Sara</t>
  </si>
  <si>
    <t>سرا</t>
  </si>
  <si>
    <t>Shoresh</t>
  </si>
  <si>
    <t>Zarayan Kon</t>
  </si>
  <si>
    <t>زرايان كون</t>
  </si>
  <si>
    <t>Dokan</t>
  </si>
  <si>
    <t>Asos</t>
  </si>
  <si>
    <t>اسوس</t>
  </si>
  <si>
    <t>Banwan</t>
  </si>
  <si>
    <t>بانوان</t>
  </si>
  <si>
    <t>Chami rezan</t>
  </si>
  <si>
    <t>جةمي ريزان</t>
  </si>
  <si>
    <t>Charmaga + Gapa</t>
  </si>
  <si>
    <t>جةرمكا + كةبة</t>
  </si>
  <si>
    <t>Chawa spy</t>
  </si>
  <si>
    <t>جوسبى</t>
  </si>
  <si>
    <t>Dakani Suro</t>
  </si>
  <si>
    <t>دكانى سرو</t>
  </si>
  <si>
    <t>Darbaroo</t>
  </si>
  <si>
    <t>داربةروو</t>
  </si>
  <si>
    <t>Farmanbaran</t>
  </si>
  <si>
    <t>فرمانبران</t>
  </si>
  <si>
    <t>Grda baroo</t>
  </si>
  <si>
    <t>كردة بةروو</t>
  </si>
  <si>
    <t>Hasan Tapa</t>
  </si>
  <si>
    <t>حسن تبة</t>
  </si>
  <si>
    <t>Kani Khan</t>
  </si>
  <si>
    <t>كاني خان</t>
  </si>
  <si>
    <t>Kani Mazoo</t>
  </si>
  <si>
    <t>كاني مازوو</t>
  </si>
  <si>
    <t>Kani Witman</t>
  </si>
  <si>
    <t>كاني وتمان</t>
  </si>
  <si>
    <t>Kosrat</t>
  </si>
  <si>
    <t>كوسرت</t>
  </si>
  <si>
    <t>Kotal</t>
  </si>
  <si>
    <t>كوتال</t>
  </si>
  <si>
    <t>Mergapan</t>
  </si>
  <si>
    <t>ميركبان</t>
  </si>
  <si>
    <t>Pishowa</t>
  </si>
  <si>
    <t>بيشوا</t>
  </si>
  <si>
    <t>Qaigen</t>
  </si>
  <si>
    <t>قايكةن</t>
  </si>
  <si>
    <t>Qamchugha</t>
  </si>
  <si>
    <t>قمجوغة</t>
  </si>
  <si>
    <t>سارا</t>
  </si>
  <si>
    <t>Sarcham</t>
  </si>
  <si>
    <t>سرجم</t>
  </si>
  <si>
    <t>Shaheedan</t>
  </si>
  <si>
    <t>شاروانى</t>
  </si>
  <si>
    <t>Shekh Mansourian</t>
  </si>
  <si>
    <t>شيخ منصوريان</t>
  </si>
  <si>
    <t>Soose</t>
  </si>
  <si>
    <t>سوسي</t>
  </si>
  <si>
    <t>Surdash</t>
  </si>
  <si>
    <t>سورداش</t>
  </si>
  <si>
    <t>Surdash camp</t>
  </si>
  <si>
    <t>سورداش كمب</t>
  </si>
  <si>
    <t>Taramar</t>
  </si>
  <si>
    <t>تةرةمار</t>
  </si>
  <si>
    <t>Timar</t>
  </si>
  <si>
    <t>تيمار</t>
  </si>
  <si>
    <t>Tokma</t>
  </si>
  <si>
    <t>توكمة</t>
  </si>
  <si>
    <t>Topzawa</t>
  </si>
  <si>
    <t>توبزاوا</t>
  </si>
  <si>
    <t>Yaran Bak</t>
  </si>
  <si>
    <t>ياران بةك</t>
  </si>
  <si>
    <t>Halabja</t>
  </si>
  <si>
    <t>Ahmadawa</t>
  </si>
  <si>
    <t>احمد اوا</t>
  </si>
  <si>
    <t>Ardalan</t>
  </si>
  <si>
    <t>اردلان</t>
  </si>
  <si>
    <t>Bakhtyari</t>
  </si>
  <si>
    <t>بختيارى</t>
  </si>
  <si>
    <t>Barkew</t>
  </si>
  <si>
    <t>بركيو</t>
  </si>
  <si>
    <t>Dalani</t>
  </si>
  <si>
    <t>دالاني</t>
  </si>
  <si>
    <t>Darwazay Shar</t>
  </si>
  <si>
    <t>دروازي شار</t>
  </si>
  <si>
    <t>Gamesh tapa village</t>
  </si>
  <si>
    <t>قرية كاميش تبه</t>
  </si>
  <si>
    <t>Grda naze village</t>
  </si>
  <si>
    <t>قرية كرد نازى</t>
  </si>
  <si>
    <t>كولان</t>
  </si>
  <si>
    <t>Gundi reshen</t>
  </si>
  <si>
    <t>كوندي ريشين</t>
  </si>
  <si>
    <t>Hassar</t>
  </si>
  <si>
    <t>حسار</t>
  </si>
  <si>
    <t>Hawaran</t>
  </si>
  <si>
    <t>هواران</t>
  </si>
  <si>
    <t>Kani ishqan</t>
  </si>
  <si>
    <t>كاني عيشقان</t>
  </si>
  <si>
    <t>Kani panka village</t>
  </si>
  <si>
    <t>قرية كاني بانكه</t>
  </si>
  <si>
    <t>Kani Qulka</t>
  </si>
  <si>
    <t>كاني قولكه</t>
  </si>
  <si>
    <t>Mamostaian</t>
  </si>
  <si>
    <t>Marzboto</t>
  </si>
  <si>
    <t>مرزى بوتو</t>
  </si>
  <si>
    <t>Mordana</t>
  </si>
  <si>
    <t>موردانه</t>
  </si>
  <si>
    <t>Mwan village</t>
  </si>
  <si>
    <t>قرية موان</t>
  </si>
  <si>
    <t>Nasir</t>
  </si>
  <si>
    <t>نصر</t>
  </si>
  <si>
    <t>Qaragul</t>
  </si>
  <si>
    <t>قرة كول</t>
  </si>
  <si>
    <t>Qlija village</t>
  </si>
  <si>
    <t>قرية قليجه</t>
  </si>
  <si>
    <t>Qumash village</t>
  </si>
  <si>
    <t>قرية قوماش</t>
  </si>
  <si>
    <t>Rezgari</t>
  </si>
  <si>
    <t>رزكارى</t>
  </si>
  <si>
    <t>Ronaki Shar</t>
  </si>
  <si>
    <t>روناكي شار</t>
  </si>
  <si>
    <t>Saraw village</t>
  </si>
  <si>
    <t>قرية سراو</t>
  </si>
  <si>
    <t>Sarray</t>
  </si>
  <si>
    <t>ساراى</t>
  </si>
  <si>
    <t>Shahidan-Saidsadiq</t>
  </si>
  <si>
    <t>شهيدان-سيد صادق</t>
  </si>
  <si>
    <t>Sharstani</t>
  </si>
  <si>
    <t>شارستانى</t>
  </si>
  <si>
    <t>Shikhan</t>
  </si>
  <si>
    <t>Soreen</t>
  </si>
  <si>
    <t>سورين</t>
  </si>
  <si>
    <t>Tapa kura</t>
  </si>
  <si>
    <t>تةبة كورة</t>
  </si>
  <si>
    <t>Kalar</t>
  </si>
  <si>
    <t>Ali Khalaf</t>
  </si>
  <si>
    <t>علي خلف</t>
  </si>
  <si>
    <t>Andaziaran</t>
  </si>
  <si>
    <t>ئةندازياران</t>
  </si>
  <si>
    <t>Awarakan</t>
  </si>
  <si>
    <t>ئاواراكان</t>
  </si>
  <si>
    <t>Awbara</t>
  </si>
  <si>
    <t>اوبارة</t>
  </si>
  <si>
    <t>Awbarik</t>
  </si>
  <si>
    <t>اوباريك</t>
  </si>
  <si>
    <t>Ban Asiaw</t>
  </si>
  <si>
    <t>بان اسياو</t>
  </si>
  <si>
    <t>Ban sindooq</t>
  </si>
  <si>
    <t>بان سندوق</t>
  </si>
  <si>
    <t>Barda Sur</t>
  </si>
  <si>
    <t>بردسور</t>
  </si>
  <si>
    <t>Bingrd</t>
  </si>
  <si>
    <t>بنكرد</t>
  </si>
  <si>
    <t>Garmyan</t>
  </si>
  <si>
    <t>كرميان</t>
  </si>
  <si>
    <t>Gomar</t>
  </si>
  <si>
    <t>كومار</t>
  </si>
  <si>
    <t>Goran</t>
  </si>
  <si>
    <t>كوران</t>
  </si>
  <si>
    <t>Grda Gozina</t>
  </si>
  <si>
    <t>كرده كوزينه</t>
  </si>
  <si>
    <t>Hamren</t>
  </si>
  <si>
    <t>حمرين</t>
  </si>
  <si>
    <t>Hamrin</t>
  </si>
  <si>
    <t>Kalar Kon</t>
  </si>
  <si>
    <t>كلار كون</t>
  </si>
  <si>
    <t>Kalari New</t>
  </si>
  <si>
    <t>كلارى نوى</t>
  </si>
  <si>
    <t>Khornawazan</t>
  </si>
  <si>
    <t>خورنوازان</t>
  </si>
  <si>
    <t>Kogiz</t>
  </si>
  <si>
    <t>كوكز</t>
  </si>
  <si>
    <t>Kulajo</t>
  </si>
  <si>
    <t>كلجو</t>
  </si>
  <si>
    <t>Nawrooz</t>
  </si>
  <si>
    <t>Pebaz</t>
  </si>
  <si>
    <t>بيباز</t>
  </si>
  <si>
    <t>Qarablagh</t>
  </si>
  <si>
    <t>قربلاغ</t>
  </si>
  <si>
    <t>Raparin</t>
  </si>
  <si>
    <t>Rizgare</t>
  </si>
  <si>
    <t>Said midrey</t>
  </si>
  <si>
    <t>سيد مدري</t>
  </si>
  <si>
    <t>Sangaw</t>
  </si>
  <si>
    <t>سنكاو</t>
  </si>
  <si>
    <t>Sarkawtin</t>
  </si>
  <si>
    <t>سةركةوتن</t>
  </si>
  <si>
    <t>Shakal</t>
  </si>
  <si>
    <t>شاكال</t>
  </si>
  <si>
    <t>Sharawani</t>
  </si>
  <si>
    <t>Shaykh Lankar</t>
  </si>
  <si>
    <t>شيخ لنكر</t>
  </si>
  <si>
    <t>Sherwana</t>
  </si>
  <si>
    <t>شيروانة</t>
  </si>
  <si>
    <t>Sirwan</t>
  </si>
  <si>
    <t>سيروان</t>
  </si>
  <si>
    <t>Taza shar</t>
  </si>
  <si>
    <t>تازة شار</t>
  </si>
  <si>
    <t>Tazade Camp</t>
  </si>
  <si>
    <t>تازة دي كمب</t>
  </si>
  <si>
    <t>Zhalla</t>
  </si>
  <si>
    <t>زالا</t>
  </si>
  <si>
    <t>Penjwin</t>
  </si>
  <si>
    <t>Pshdar</t>
  </si>
  <si>
    <t>Ashty-Qaladiza</t>
  </si>
  <si>
    <t>اشتي-قلادزي</t>
  </si>
  <si>
    <t>Basta stin</t>
  </si>
  <si>
    <t>بةستةستين</t>
  </si>
  <si>
    <t>Ganjara</t>
  </si>
  <si>
    <t>كةنجارة</t>
  </si>
  <si>
    <t>Garfen</t>
  </si>
  <si>
    <t>كارفين</t>
  </si>
  <si>
    <t>Hawarei new</t>
  </si>
  <si>
    <t>Imam Qasim-Qaladiza</t>
  </si>
  <si>
    <t>امام قاسم-قلادزي</t>
  </si>
  <si>
    <t>Karaba-Qaladiza</t>
  </si>
  <si>
    <t>كارةبا-قلادزي</t>
  </si>
  <si>
    <t>Khanaqa-Qaladiza</t>
  </si>
  <si>
    <t>خانقا-قلادزي</t>
  </si>
  <si>
    <t>Qanaa</t>
  </si>
  <si>
    <t>قانع</t>
  </si>
  <si>
    <t>Raparine-Qaladiza</t>
  </si>
  <si>
    <t>رابرين-قلادزي</t>
  </si>
  <si>
    <t>Shahidan-Qaladiza</t>
  </si>
  <si>
    <t>شهيدان-قلادزي</t>
  </si>
  <si>
    <t>Zharawa</t>
  </si>
  <si>
    <t>زاراوا</t>
  </si>
  <si>
    <t>Rania</t>
  </si>
  <si>
    <t>Azadi 1</t>
  </si>
  <si>
    <t>ازادي 1</t>
  </si>
  <si>
    <t>Azadi 2</t>
  </si>
  <si>
    <t>ازادي 2</t>
  </si>
  <si>
    <t>Bosken</t>
  </si>
  <si>
    <t>بوسكين</t>
  </si>
  <si>
    <t>Chwarchra</t>
  </si>
  <si>
    <t>جوارجرا</t>
  </si>
  <si>
    <t>Gilinjan</t>
  </si>
  <si>
    <t>كلنجان</t>
  </si>
  <si>
    <t>Girdjan</t>
  </si>
  <si>
    <t>كردجان</t>
  </si>
  <si>
    <t>Karokh</t>
  </si>
  <si>
    <t>كاروخ</t>
  </si>
  <si>
    <t>Kewa Rash</t>
  </si>
  <si>
    <t>كيوره ش</t>
  </si>
  <si>
    <t>Koling city</t>
  </si>
  <si>
    <t>كولين ستي</t>
  </si>
  <si>
    <t>kurdistan</t>
  </si>
  <si>
    <t>Makok</t>
  </si>
  <si>
    <t>ماكوك</t>
  </si>
  <si>
    <t>Qandil</t>
  </si>
  <si>
    <t>قنديل</t>
  </si>
  <si>
    <t>Qula</t>
  </si>
  <si>
    <t>قولة</t>
  </si>
  <si>
    <t>Rania New</t>
  </si>
  <si>
    <t>رانيا نوي</t>
  </si>
  <si>
    <t>Rasha merk</t>
  </si>
  <si>
    <t>رةشتة ميرك</t>
  </si>
  <si>
    <t>Rozh City</t>
  </si>
  <si>
    <t>روز ستي</t>
  </si>
  <si>
    <t>Rozhhalat</t>
  </si>
  <si>
    <t>روزهلات</t>
  </si>
  <si>
    <t>Saraa</t>
  </si>
  <si>
    <t>سراا</t>
  </si>
  <si>
    <t>Sarkapkan</t>
  </si>
  <si>
    <t>سركبكان</t>
  </si>
  <si>
    <t>Shishar</t>
  </si>
  <si>
    <t>شيشار</t>
  </si>
  <si>
    <t>Srra</t>
  </si>
  <si>
    <t>سةرا</t>
  </si>
  <si>
    <t>Taqolan</t>
  </si>
  <si>
    <t>تاقولان</t>
  </si>
  <si>
    <t>Tekoshar</t>
  </si>
  <si>
    <t>تيكوشر</t>
  </si>
  <si>
    <t>Titoka</t>
  </si>
  <si>
    <t>تيتوكة</t>
  </si>
  <si>
    <t>Yakiati</t>
  </si>
  <si>
    <t>يكيتي</t>
  </si>
  <si>
    <t>Sharbazher</t>
  </si>
  <si>
    <t>Chwarta</t>
  </si>
  <si>
    <t>جوارتا</t>
  </si>
  <si>
    <t>Gapilon</t>
  </si>
  <si>
    <t>كابيلون</t>
  </si>
  <si>
    <t>Sitak</t>
  </si>
  <si>
    <t>سيتك</t>
  </si>
  <si>
    <t>Tagaran</t>
  </si>
  <si>
    <t>تكران</t>
  </si>
  <si>
    <t>Sulaymaniya</t>
  </si>
  <si>
    <t>Ablakh 410</t>
  </si>
  <si>
    <t>ابلاخ 410</t>
  </si>
  <si>
    <t>Ale village</t>
  </si>
  <si>
    <t>قرية ئةلي</t>
  </si>
  <si>
    <t>Ali Kamal</t>
  </si>
  <si>
    <t>علي كمال</t>
  </si>
  <si>
    <t>Ali naji 103</t>
  </si>
  <si>
    <t>علي ناجي 103</t>
  </si>
  <si>
    <t>Andaziaran 105</t>
  </si>
  <si>
    <t>اندازياران 105</t>
  </si>
  <si>
    <t>Arbat IDP Camp</t>
  </si>
  <si>
    <t>عربت كمب للنازحين</t>
  </si>
  <si>
    <t>Arbat-Arbat Kon</t>
  </si>
  <si>
    <t>عربت كون</t>
  </si>
  <si>
    <t>Arbat-Ashty</t>
  </si>
  <si>
    <t>Arbat-Kharajian</t>
  </si>
  <si>
    <t>عربت-خرجيان</t>
  </si>
  <si>
    <t>Arbat-Koza raqa</t>
  </si>
  <si>
    <t>عربت-كوزة رقا</t>
  </si>
  <si>
    <t>Arbat-Qalat</t>
  </si>
  <si>
    <t>Arbat-Raparine</t>
  </si>
  <si>
    <t>عربت-رابرين</t>
  </si>
  <si>
    <t>Arbat-Raziana</t>
  </si>
  <si>
    <t>عربيت-رازيانا</t>
  </si>
  <si>
    <t>Arbat-Sarwaran</t>
  </si>
  <si>
    <t>عربت-سةروران</t>
  </si>
  <si>
    <t>Arbat-Shahidan</t>
  </si>
  <si>
    <t>Arbat-Shorsh</t>
  </si>
  <si>
    <t>عربت-شورش</t>
  </si>
  <si>
    <t>Arbat-Zhalai khwarw</t>
  </si>
  <si>
    <t>عربت-زالةي خوارو</t>
  </si>
  <si>
    <t>Arbat-Zhalai sarw</t>
  </si>
  <si>
    <t>عربت-زالةي سرو</t>
  </si>
  <si>
    <t>Asaish 323+325</t>
  </si>
  <si>
    <t>اسايش 323+325</t>
  </si>
  <si>
    <t>Ashti IDP Camp</t>
  </si>
  <si>
    <t>اشتي كمب للنازحين</t>
  </si>
  <si>
    <t>Ashty 106 &amp; 104</t>
  </si>
  <si>
    <t>اشتي 106 &amp;104</t>
  </si>
  <si>
    <t>Ashty-Bazyan</t>
  </si>
  <si>
    <t>اشتي-بازيان</t>
  </si>
  <si>
    <t>Awbarik 405 + 403</t>
  </si>
  <si>
    <t>اوباريك 405+403</t>
  </si>
  <si>
    <t>Aween City</t>
  </si>
  <si>
    <t>اوين ستي</t>
  </si>
  <si>
    <t>Azadi-Bazyan</t>
  </si>
  <si>
    <t>ازادي-بازيان</t>
  </si>
  <si>
    <t>Azadi-tasluja</t>
  </si>
  <si>
    <t>ازادي-طاسلوجة</t>
  </si>
  <si>
    <t>Aziz Awa</t>
  </si>
  <si>
    <t>عزيز اوا</t>
  </si>
  <si>
    <t>Azmar 217</t>
  </si>
  <si>
    <t>ازمر 217</t>
  </si>
  <si>
    <t>Badinan 124</t>
  </si>
  <si>
    <t>بادينان 124</t>
  </si>
  <si>
    <t>Bakhan 108</t>
  </si>
  <si>
    <t>باخان 108</t>
  </si>
  <si>
    <t>Bakhtawary</t>
  </si>
  <si>
    <t>بختةواري</t>
  </si>
  <si>
    <t>Bakhtiary 111</t>
  </si>
  <si>
    <t>بختياري 111</t>
  </si>
  <si>
    <t>Bakhtiary New 117</t>
  </si>
  <si>
    <t>بختيارى نوي 117</t>
  </si>
  <si>
    <t>Bakrajo-Qularaese Taza</t>
  </si>
  <si>
    <t>قولريسى تاره</t>
  </si>
  <si>
    <t>Bakrajo-Sardawa</t>
  </si>
  <si>
    <t>بكرجو-سرداراوا</t>
  </si>
  <si>
    <t>Balambo 324</t>
  </si>
  <si>
    <t>بلامبو 324</t>
  </si>
  <si>
    <t>Baranan 107</t>
  </si>
  <si>
    <t>برانان107</t>
  </si>
  <si>
    <t>Bardakar</t>
  </si>
  <si>
    <t>برده كر</t>
  </si>
  <si>
    <t>Bardaqaraman-darkazen</t>
  </si>
  <si>
    <t>دةركةزين-بردةقارمان</t>
  </si>
  <si>
    <t>Bardaqaraman-mortka</t>
  </si>
  <si>
    <t>مورتكة-بردةقارمان</t>
  </si>
  <si>
    <t>Bardaqaraman-Piramerd</t>
  </si>
  <si>
    <t>بيرميرد-بردةقارمان</t>
  </si>
  <si>
    <t>Bardaqaraman-sarchaw</t>
  </si>
  <si>
    <t>سرجاوه-بردةقارمان</t>
  </si>
  <si>
    <t>Bardaqaraman-Sharawani</t>
  </si>
  <si>
    <t>شارواني-بردةقارمان</t>
  </si>
  <si>
    <t>Bardaqarman-gopala</t>
  </si>
  <si>
    <t>كوباله-بردةقارمان</t>
  </si>
  <si>
    <t>Bardaqarman-Kupala</t>
  </si>
  <si>
    <t>كوبله-بردةقارمان</t>
  </si>
  <si>
    <t>Bardaqarman-Qala</t>
  </si>
  <si>
    <t>قلا-بردةقارمان</t>
  </si>
  <si>
    <t>Barez City</t>
  </si>
  <si>
    <t>بريز ستى</t>
  </si>
  <si>
    <t>باريكه</t>
  </si>
  <si>
    <t>Bastan 160</t>
  </si>
  <si>
    <t>باستان 160</t>
  </si>
  <si>
    <t>Bazergani 201</t>
  </si>
  <si>
    <t>بازركاني 201</t>
  </si>
  <si>
    <t>Bazian-Allaye</t>
  </si>
  <si>
    <t>اللاهى</t>
  </si>
  <si>
    <t>Bazian-Brayati</t>
  </si>
  <si>
    <t>برايتى</t>
  </si>
  <si>
    <t>Bazian-peshwa</t>
  </si>
  <si>
    <t>Bazian-Sharwani</t>
  </si>
  <si>
    <t>Bazian-Surgrma</t>
  </si>
  <si>
    <t>سركرما</t>
  </si>
  <si>
    <t>Bazyan-bagajani</t>
  </si>
  <si>
    <t>بازيان-بةكةجاني</t>
  </si>
  <si>
    <t>Bazyan-Dare kale</t>
  </si>
  <si>
    <t>بازيان-داري كةلي</t>
  </si>
  <si>
    <t>Bazyan-Gawani</t>
  </si>
  <si>
    <t>بازيان-كاواني</t>
  </si>
  <si>
    <t>Bazyan-gomatakach</t>
  </si>
  <si>
    <t>بازيان-كومةتكج</t>
  </si>
  <si>
    <t>Bazyan-Haley haji rasheed</t>
  </si>
  <si>
    <t>بازيان-هالةي حاجي رشيد</t>
  </si>
  <si>
    <t>Bazyan-Haley mam qadir</t>
  </si>
  <si>
    <t>بازيان-هالةي مام قادر</t>
  </si>
  <si>
    <t>Bazyan-Haley sarchaw</t>
  </si>
  <si>
    <t>بازيان-هالةي سةرجاو</t>
  </si>
  <si>
    <t>Bazyan-hormzyar</t>
  </si>
  <si>
    <t>بازيان-هورمزيار</t>
  </si>
  <si>
    <t>Bazyan-koyek</t>
  </si>
  <si>
    <t>بازيان-كويك</t>
  </si>
  <si>
    <t>Bazyan-mahmoodya</t>
  </si>
  <si>
    <t>بازيان-محمودية</t>
  </si>
  <si>
    <t>Bazyan-paroyee</t>
  </si>
  <si>
    <t>بازيان-بارويي</t>
  </si>
  <si>
    <t>Bazyan-qoshqaya</t>
  </si>
  <si>
    <t>بازيان-قوشقاية</t>
  </si>
  <si>
    <t>Bazyan-shwankara</t>
  </si>
  <si>
    <t>بازيان-شوانكارة</t>
  </si>
  <si>
    <t>Bazyan-Tainal</t>
  </si>
  <si>
    <t>بازيان-تينال</t>
  </si>
  <si>
    <t>Bazyan-Toy awlyaa</t>
  </si>
  <si>
    <t>بازيان-توي اولياء</t>
  </si>
  <si>
    <t>Bazyan-zika</t>
  </si>
  <si>
    <t>بازيان-زيكة</t>
  </si>
  <si>
    <t>bekas</t>
  </si>
  <si>
    <t>Besarani 122</t>
  </si>
  <si>
    <t>بيساراني 122</t>
  </si>
  <si>
    <t>Chaqlawa</t>
  </si>
  <si>
    <t>جقلاوة</t>
  </si>
  <si>
    <t xml:space="preserve">Chnarok </t>
  </si>
  <si>
    <t>جناروك</t>
  </si>
  <si>
    <t>Chrakhan 322</t>
  </si>
  <si>
    <t>جراخان 322</t>
  </si>
  <si>
    <t>Chwar Bakh 401</t>
  </si>
  <si>
    <t>جوارباخ 401</t>
  </si>
  <si>
    <t>Chwar Chra</t>
  </si>
  <si>
    <t>Chwar chra New</t>
  </si>
  <si>
    <t>جوار جرا نوي</t>
  </si>
  <si>
    <t>Chya 316</t>
  </si>
  <si>
    <t>جيا 316</t>
  </si>
  <si>
    <t>Daban 201</t>
  </si>
  <si>
    <t>دابان 201</t>
  </si>
  <si>
    <t>Dabashan 116</t>
  </si>
  <si>
    <t>داباشان 116</t>
  </si>
  <si>
    <t>Damrkan</t>
  </si>
  <si>
    <t>دمركان</t>
  </si>
  <si>
    <t>Dara Rash</t>
  </si>
  <si>
    <t>دارة رش</t>
  </si>
  <si>
    <t>Dargazen</t>
  </si>
  <si>
    <t>دركزين</t>
  </si>
  <si>
    <t>Degulan</t>
  </si>
  <si>
    <t>ديكولان</t>
  </si>
  <si>
    <t>Dilan City</t>
  </si>
  <si>
    <t>ديلان ستى</t>
  </si>
  <si>
    <t>Diya City</t>
  </si>
  <si>
    <t>دييه ستى</t>
  </si>
  <si>
    <t>Dullani Khwaro</t>
  </si>
  <si>
    <t>دولاني خوارو</t>
  </si>
  <si>
    <t>Goizhai New 220</t>
  </si>
  <si>
    <t>كويزة نوي 220</t>
  </si>
  <si>
    <t>Gopita</t>
  </si>
  <si>
    <t>كوبيتة</t>
  </si>
  <si>
    <t>Goran 104</t>
  </si>
  <si>
    <t>كوران 104</t>
  </si>
  <si>
    <t>Goyzha City</t>
  </si>
  <si>
    <t>كويزة ستى</t>
  </si>
  <si>
    <t>Grdi Joga</t>
  </si>
  <si>
    <t>كردي جوجا</t>
  </si>
  <si>
    <t>Grdi Sarchnar</t>
  </si>
  <si>
    <t>كردى سرجنار</t>
  </si>
  <si>
    <t>Green City</t>
  </si>
  <si>
    <t>كرين ستي</t>
  </si>
  <si>
    <t>Guezhay Kun</t>
  </si>
  <si>
    <t>كويزة كون</t>
  </si>
  <si>
    <t>Gula bakh 335</t>
  </si>
  <si>
    <t>كولة باخ 335</t>
  </si>
  <si>
    <t>Gulli Shar</t>
  </si>
  <si>
    <t>كولي شار</t>
  </si>
  <si>
    <t>Gundy Almany</t>
  </si>
  <si>
    <t>كوندى المانى</t>
  </si>
  <si>
    <t>Hakary 113</t>
  </si>
  <si>
    <t>هكاري 113</t>
  </si>
  <si>
    <t>Handren 109</t>
  </si>
  <si>
    <t>هندرين 109</t>
  </si>
  <si>
    <t>Hawara barza 218</t>
  </si>
  <si>
    <t>هوارة برزة 218</t>
  </si>
  <si>
    <t>Haware Shar</t>
  </si>
  <si>
    <t>هوارى شار</t>
  </si>
  <si>
    <t>Hawari Taza</t>
  </si>
  <si>
    <t>هوارى تازة</t>
  </si>
  <si>
    <t>Hemn 146</t>
  </si>
  <si>
    <t>هيمن 146</t>
  </si>
  <si>
    <t>Hewa 311</t>
  </si>
  <si>
    <t>هيوا 311</t>
  </si>
  <si>
    <t>Hwana</t>
  </si>
  <si>
    <t>هوانة</t>
  </si>
  <si>
    <t>Ibrahim Ahmad</t>
  </si>
  <si>
    <t>ابراهيم احمد</t>
  </si>
  <si>
    <t>Ibrahim pasha</t>
  </si>
  <si>
    <t>ابراهيم باشا</t>
  </si>
  <si>
    <t>Jihan</t>
  </si>
  <si>
    <t>جيهان</t>
  </si>
  <si>
    <t>Kalakn 158</t>
  </si>
  <si>
    <t>كلكن 158</t>
  </si>
  <si>
    <t>Kalawanan</t>
  </si>
  <si>
    <t>كةلةوانان</t>
  </si>
  <si>
    <t>Kanakawa</t>
  </si>
  <si>
    <t>كنكوة</t>
  </si>
  <si>
    <t>Kanda Sura</t>
  </si>
  <si>
    <t>كنه سوره</t>
  </si>
  <si>
    <t>Kani 317</t>
  </si>
  <si>
    <t>كاني 317</t>
  </si>
  <si>
    <t>Kani Bardina</t>
  </si>
  <si>
    <t>كاني بةردينا</t>
  </si>
  <si>
    <t>Kani Goma</t>
  </si>
  <si>
    <t>كاني كومه</t>
  </si>
  <si>
    <t>Kani goran</t>
  </si>
  <si>
    <t>كانى كوران</t>
  </si>
  <si>
    <t>Kani Iskan</t>
  </si>
  <si>
    <t>كانيسكان</t>
  </si>
  <si>
    <t>Kani shaitan-Kani Shaitan</t>
  </si>
  <si>
    <t>كاني شيطان</t>
  </si>
  <si>
    <t>Kani Spika 130</t>
  </si>
  <si>
    <t>كاني سبيكة 130</t>
  </si>
  <si>
    <t>Kania ba 318</t>
  </si>
  <si>
    <t>كاني با 318</t>
  </si>
  <si>
    <t>Karezawshk</t>
  </si>
  <si>
    <t>كاريزوشك</t>
  </si>
  <si>
    <t>Karezawshk 118</t>
  </si>
  <si>
    <t>كاريزوشك 118</t>
  </si>
  <si>
    <t>kela spi</t>
  </si>
  <si>
    <t>كيلة سبي</t>
  </si>
  <si>
    <t>Kewstan</t>
  </si>
  <si>
    <t>كويستان</t>
  </si>
  <si>
    <t>Khabat 306+304+308</t>
  </si>
  <si>
    <t>خبات 306+304+308</t>
  </si>
  <si>
    <t>Khak</t>
  </si>
  <si>
    <t>خاك</t>
  </si>
  <si>
    <t>Khalif awa village</t>
  </si>
  <si>
    <t>كوندي خليف اوا</t>
  </si>
  <si>
    <t>Khewata</t>
  </si>
  <si>
    <t>خيويتا</t>
  </si>
  <si>
    <t>Khwar kurdsat 134</t>
  </si>
  <si>
    <t>خوار كوردسات 134</t>
  </si>
  <si>
    <t>Koshki Sarw</t>
  </si>
  <si>
    <t>كوشكي سرو</t>
  </si>
  <si>
    <t>Kostay Cham</t>
  </si>
  <si>
    <t>كوستى جم</t>
  </si>
  <si>
    <t>Kurd city</t>
  </si>
  <si>
    <t>كورد ستى</t>
  </si>
  <si>
    <t>Kurdi 402</t>
  </si>
  <si>
    <t>كوردى 402</t>
  </si>
  <si>
    <t>Kurdsat 138+136</t>
  </si>
  <si>
    <t>كوردسات 136+138</t>
  </si>
  <si>
    <t>Lebanon City</t>
  </si>
  <si>
    <t>لبنان ستي</t>
  </si>
  <si>
    <t>Mahwe 404</t>
  </si>
  <si>
    <t>محوى 404</t>
  </si>
  <si>
    <t>Majeed Bag</t>
  </si>
  <si>
    <t>مجيد بك</t>
  </si>
  <si>
    <t>Mala Dawud</t>
  </si>
  <si>
    <t>ملا داود</t>
  </si>
  <si>
    <t>Malik mahmood 401</t>
  </si>
  <si>
    <t>مليك محمود 401</t>
  </si>
  <si>
    <t>Malkanidy</t>
  </si>
  <si>
    <t>ملكندى</t>
  </si>
  <si>
    <t>Mama yara 307+ 309</t>
  </si>
  <si>
    <t>مامة يارا 307+309</t>
  </si>
  <si>
    <t>MAMOSTAYAN</t>
  </si>
  <si>
    <t>Mardin 327</t>
  </si>
  <si>
    <t>ماردين 327</t>
  </si>
  <si>
    <t>Mashkhalan</t>
  </si>
  <si>
    <t>مشخلان</t>
  </si>
  <si>
    <t>Muaskar Al-Salam</t>
  </si>
  <si>
    <t>معسكر سلام</t>
  </si>
  <si>
    <t>Mushirawa 406 &amp; 206</t>
  </si>
  <si>
    <t>موشيراوا 406&amp;206</t>
  </si>
  <si>
    <t>Naghda</t>
  </si>
  <si>
    <t>ناغدا</t>
  </si>
  <si>
    <t>Nali 101</t>
  </si>
  <si>
    <t>نالى 101</t>
  </si>
  <si>
    <t>Naw Gardan</t>
  </si>
  <si>
    <t>ناوكردان</t>
  </si>
  <si>
    <t>Nergiz</t>
  </si>
  <si>
    <t>نيركز</t>
  </si>
  <si>
    <t>Newroz</t>
  </si>
  <si>
    <t>Pary 315</t>
  </si>
  <si>
    <t>باري 315</t>
  </si>
  <si>
    <t>Pasha City</t>
  </si>
  <si>
    <t>باشا ستى</t>
  </si>
  <si>
    <t>Peshasazy</t>
  </si>
  <si>
    <t>بيشاسازي</t>
  </si>
  <si>
    <t>Peshawa 301</t>
  </si>
  <si>
    <t>بيشوا 301</t>
  </si>
  <si>
    <t>Pyramagroon</t>
  </si>
  <si>
    <t>بيرمكرون</t>
  </si>
  <si>
    <t>Qaiwan</t>
  </si>
  <si>
    <t>قيوان</t>
  </si>
  <si>
    <t>Qaradagh</t>
  </si>
  <si>
    <t>قرداغ</t>
  </si>
  <si>
    <t>Qaraman</t>
  </si>
  <si>
    <t>قارمان</t>
  </si>
  <si>
    <t>Qaratughan</t>
  </si>
  <si>
    <t>قرتوغان</t>
  </si>
  <si>
    <t>Qazanqaia</t>
  </si>
  <si>
    <t>قازانقايا</t>
  </si>
  <si>
    <t>Qazi mohammed 110</t>
  </si>
  <si>
    <t>قازي محمد 110</t>
  </si>
  <si>
    <t>Qirga 331+329</t>
  </si>
  <si>
    <t>قركة 331+329</t>
  </si>
  <si>
    <t>Qliasan</t>
  </si>
  <si>
    <t>قلياسان</t>
  </si>
  <si>
    <t>Qularaese Kon</t>
  </si>
  <si>
    <t>قولريسى كون</t>
  </si>
  <si>
    <t>Raparin-Bawa Mrda</t>
  </si>
  <si>
    <t>رابرين-باوه مرده</t>
  </si>
  <si>
    <t>Raparine-Arya</t>
  </si>
  <si>
    <t>رابرين-اريا</t>
  </si>
  <si>
    <t>Raparine-Azadi</t>
  </si>
  <si>
    <t>ازادي-رابرين</t>
  </si>
  <si>
    <t>Raparine-Goran</t>
  </si>
  <si>
    <t>رابرين-كوران</t>
  </si>
  <si>
    <t>Raparine-Mahwey</t>
  </si>
  <si>
    <t>رابرين-محوي</t>
  </si>
  <si>
    <t>Raparine-Piramerd</t>
  </si>
  <si>
    <t>رابرين-بيرةميرد</t>
  </si>
  <si>
    <t>Raparine-Salim</t>
  </si>
  <si>
    <t>رابرين-سالم</t>
  </si>
  <si>
    <t>Raparine-Soran</t>
  </si>
  <si>
    <t>رابرين-سوران</t>
  </si>
  <si>
    <t>Raparine-Zanko</t>
  </si>
  <si>
    <t>رابرين-زانكو</t>
  </si>
  <si>
    <t>Rizgare 408</t>
  </si>
  <si>
    <t>رزكارى 408</t>
  </si>
  <si>
    <t>Rizgari 412</t>
  </si>
  <si>
    <t>رزكاري 412</t>
  </si>
  <si>
    <t>Rizgari-Arbat</t>
  </si>
  <si>
    <t>Roz city</t>
  </si>
  <si>
    <t>روز ستى</t>
  </si>
  <si>
    <t>Rozhlat 305</t>
  </si>
  <si>
    <t>روزهلات 305</t>
  </si>
  <si>
    <t>Runaki City</t>
  </si>
  <si>
    <t>روناكى ستى</t>
  </si>
  <si>
    <t>Sabun karan Qt</t>
  </si>
  <si>
    <t>صابن كران</t>
  </si>
  <si>
    <t>Saib City</t>
  </si>
  <si>
    <t>صائب ستي</t>
  </si>
  <si>
    <t>Saiwan 301</t>
  </si>
  <si>
    <t>سيوان 301</t>
  </si>
  <si>
    <t>Samawat</t>
  </si>
  <si>
    <t>سماوات</t>
  </si>
  <si>
    <t>Sana 313</t>
  </si>
  <si>
    <t>سانا313</t>
  </si>
  <si>
    <t>Sarchea 705</t>
  </si>
  <si>
    <t>سةرجيا 705</t>
  </si>
  <si>
    <t>Sarchnar</t>
  </si>
  <si>
    <t>سرجنار</t>
  </si>
  <si>
    <t>Sardam City</t>
  </si>
  <si>
    <t>سردم ستى</t>
  </si>
  <si>
    <t>Sardaw 140</t>
  </si>
  <si>
    <t>سارداو 140</t>
  </si>
  <si>
    <t>Sarshaqam 310</t>
  </si>
  <si>
    <t>سرشقام 310</t>
  </si>
  <si>
    <t>Sarwary 142</t>
  </si>
  <si>
    <t>سرورى 142</t>
  </si>
  <si>
    <t>Saya City</t>
  </si>
  <si>
    <t>سايه ستى</t>
  </si>
  <si>
    <t>Shahidan 103</t>
  </si>
  <si>
    <t>شهيدان 103</t>
  </si>
  <si>
    <t>Shahidani Azadi 214</t>
  </si>
  <si>
    <t>شهيداني ازادي 214</t>
  </si>
  <si>
    <t>Shakraka</t>
  </si>
  <si>
    <t>شكركه</t>
  </si>
  <si>
    <t>Sharaf khan</t>
  </si>
  <si>
    <t>شرف خان</t>
  </si>
  <si>
    <t>Sharawane 102</t>
  </si>
  <si>
    <t>شاروانى 102</t>
  </si>
  <si>
    <t>Shari Pzishkan</t>
  </si>
  <si>
    <t>شاري بزيشكان</t>
  </si>
  <si>
    <t>Shari Spi</t>
  </si>
  <si>
    <t>شاري سبي</t>
  </si>
  <si>
    <t>Shekh Muheden 404</t>
  </si>
  <si>
    <t>شيخ محى الدين 404</t>
  </si>
  <si>
    <t>Shniar City</t>
  </si>
  <si>
    <t>شنيار ستى</t>
  </si>
  <si>
    <t>Shoqakani Farmanbaran</t>
  </si>
  <si>
    <t>شوقكاني فرمانبران</t>
  </si>
  <si>
    <t>shorsh 101</t>
  </si>
  <si>
    <t>شورش101</t>
  </si>
  <si>
    <t>Slemani taza</t>
  </si>
  <si>
    <t>سليماني تازة</t>
  </si>
  <si>
    <t>Soreen 120</t>
  </si>
  <si>
    <t>سورين 120</t>
  </si>
  <si>
    <t>Srosht 333</t>
  </si>
  <si>
    <t>سروشت 333</t>
  </si>
  <si>
    <t>Sulaymaniya-Sharawani 407</t>
  </si>
  <si>
    <t>شارواني407</t>
  </si>
  <si>
    <t>Tanjaro 314</t>
  </si>
  <si>
    <t>تانجرو 314</t>
  </si>
  <si>
    <t>Tasluja</t>
  </si>
  <si>
    <t>طاسلوجة</t>
  </si>
  <si>
    <t>Tavan</t>
  </si>
  <si>
    <t>تافان</t>
  </si>
  <si>
    <t>Tavga</t>
  </si>
  <si>
    <t>تافكا</t>
  </si>
  <si>
    <t>Toy malik</t>
  </si>
  <si>
    <t>توملك</t>
  </si>
  <si>
    <t>Village 120</t>
  </si>
  <si>
    <t>قرية 120</t>
  </si>
  <si>
    <t>Wais 402</t>
  </si>
  <si>
    <t>ويس 402</t>
  </si>
  <si>
    <t>Wluba 326</t>
  </si>
  <si>
    <t>ولوبه 326</t>
  </si>
  <si>
    <t>Zanko 202</t>
  </si>
  <si>
    <t>زانكو 202</t>
  </si>
  <si>
    <t>Zargata 126</t>
  </si>
  <si>
    <t>زركتة 126</t>
  </si>
  <si>
    <t>Zargwez</t>
  </si>
  <si>
    <t>زركويز</t>
  </si>
  <si>
    <t>Zereen 144</t>
  </si>
  <si>
    <t>زيرين 144</t>
  </si>
  <si>
    <t>Zirak</t>
  </si>
  <si>
    <t>زيراك</t>
  </si>
  <si>
    <t>Al-Chibayish</t>
  </si>
  <si>
    <t>Al-Rifa'i</t>
  </si>
  <si>
    <t>Jiser Al Rifay</t>
  </si>
  <si>
    <t>جسر الرفاعي</t>
  </si>
  <si>
    <t>Al-Shatra</t>
  </si>
  <si>
    <t>14 Ramadan</t>
  </si>
  <si>
    <t>حي 14 رمضان</t>
  </si>
  <si>
    <t>Al awad</t>
  </si>
  <si>
    <t>ال عواد</t>
  </si>
  <si>
    <t>Al Mustashfa St</t>
  </si>
  <si>
    <t>شارع المستشفى</t>
  </si>
  <si>
    <t>Al Shomali</t>
  </si>
  <si>
    <t>الشوملي</t>
  </si>
  <si>
    <t>Al-fatahiyah</t>
  </si>
  <si>
    <t>حي الفتاحية</t>
  </si>
  <si>
    <t>Al-hawi</t>
  </si>
  <si>
    <t>حي الحاوي</t>
  </si>
  <si>
    <t>albedaa</t>
  </si>
  <si>
    <t xml:space="preserve">البدعة </t>
  </si>
  <si>
    <t>Hay al Zahraa</t>
  </si>
  <si>
    <t>Nassriya</t>
  </si>
  <si>
    <t>Al Aker</t>
  </si>
  <si>
    <t>العكر</t>
  </si>
  <si>
    <t>Al Aoeh</t>
  </si>
  <si>
    <t>قرية العوية</t>
  </si>
  <si>
    <t>Al Asrriyah Village</t>
  </si>
  <si>
    <t>القرية العصرية</t>
  </si>
  <si>
    <t>Al bohyaleh</t>
  </si>
  <si>
    <t>ال ابو حواله</t>
  </si>
  <si>
    <t>Al Dhubat</t>
  </si>
  <si>
    <t>Al Emarat</t>
  </si>
  <si>
    <t>العمارات</t>
  </si>
  <si>
    <t>الاسكان الصناعي</t>
  </si>
  <si>
    <t>Al Mahaliyah</t>
  </si>
  <si>
    <t>المحليه</t>
  </si>
  <si>
    <t>Al Saih</t>
  </si>
  <si>
    <t>منطقة السائح</t>
  </si>
  <si>
    <t>Al Sharqiya</t>
  </si>
  <si>
    <t>الشرقيه</t>
  </si>
  <si>
    <t>Al Shoula</t>
  </si>
  <si>
    <t>الشعلة</t>
  </si>
  <si>
    <t>Al Shumokh</t>
  </si>
  <si>
    <t>حي الشموخ</t>
  </si>
  <si>
    <t>Al-Berid</t>
  </si>
  <si>
    <t>البريد</t>
  </si>
  <si>
    <t>Al-bjara</t>
  </si>
  <si>
    <t>قرية البجاري</t>
  </si>
  <si>
    <t>Al-Salhiya</t>
  </si>
  <si>
    <t>حي الصالحية</t>
  </si>
  <si>
    <t>Al-shofah</t>
  </si>
  <si>
    <t>قرية الشوفة</t>
  </si>
  <si>
    <t>Al-Thawrah</t>
  </si>
  <si>
    <t>الثوره</t>
  </si>
  <si>
    <t>Al-zielat</t>
  </si>
  <si>
    <t>الزعيلات</t>
  </si>
  <si>
    <t>Aredo</t>
  </si>
  <si>
    <t>حي اريدو</t>
  </si>
  <si>
    <t>Baghdad Street</t>
  </si>
  <si>
    <t>شارع بغداد</t>
  </si>
  <si>
    <t>Hay Al Al Ghadeer</t>
  </si>
  <si>
    <t>Hay Al Fidaa</t>
  </si>
  <si>
    <t>حي الفداء</t>
  </si>
  <si>
    <t>Hay Al Khadraa</t>
  </si>
  <si>
    <t>Hay Al Mualimeen</t>
  </si>
  <si>
    <t>Hay Al Shoula 1</t>
  </si>
  <si>
    <t>حي الشعله 1</t>
  </si>
  <si>
    <t>Hay Al Tadhihiya</t>
  </si>
  <si>
    <t>حي التضحية</t>
  </si>
  <si>
    <t>Hay Al-Hakim</t>
  </si>
  <si>
    <t>Hay AL-Hussain</t>
  </si>
  <si>
    <t xml:space="preserve">حي الحسين </t>
  </si>
  <si>
    <t>Hay AL-Mansouria</t>
  </si>
  <si>
    <t xml:space="preserve">المنصورية </t>
  </si>
  <si>
    <t>Hay al-shohadaa</t>
  </si>
  <si>
    <t>Hay Mehidiya</t>
  </si>
  <si>
    <t>حي المهيديه</t>
  </si>
  <si>
    <t>Hey Al Amen Al Dakhlei 2</t>
  </si>
  <si>
    <t>الامن الداخلي 2</t>
  </si>
  <si>
    <t>Hey Al-Ariml</t>
  </si>
  <si>
    <t>حي الارامل</t>
  </si>
  <si>
    <t>Hey Al-Mtanzh</t>
  </si>
  <si>
    <t>حي المتنزة</t>
  </si>
  <si>
    <t>Hey Al-Rafdeen</t>
  </si>
  <si>
    <t>Nassriya-Hey 400</t>
  </si>
  <si>
    <t>حي 400</t>
  </si>
  <si>
    <t>Sadir City</t>
  </si>
  <si>
    <t>حي مدينة الصدر</t>
  </si>
  <si>
    <t>Sayid khudair</t>
  </si>
  <si>
    <t>سيد خضير</t>
  </si>
  <si>
    <t>Sharaa Al-hklas</t>
  </si>
  <si>
    <t>شارع الاخلاص</t>
  </si>
  <si>
    <t>Share Eshreen</t>
  </si>
  <si>
    <t>شارع عشرين</t>
  </si>
  <si>
    <t>Sindaliyah-Sidenaweyah</t>
  </si>
  <si>
    <t>حي السديناويه</t>
  </si>
  <si>
    <t>The Abu Athm</t>
  </si>
  <si>
    <t>منطقة ال ابو عظم</t>
  </si>
  <si>
    <t>Um Al Dood</t>
  </si>
  <si>
    <t>ام الدود</t>
  </si>
  <si>
    <t>Ur</t>
  </si>
  <si>
    <t>حي اور</t>
  </si>
  <si>
    <t>Suq Al-Shoyokh</t>
  </si>
  <si>
    <t>Al Barid Street</t>
  </si>
  <si>
    <t>شارع البريد</t>
  </si>
  <si>
    <t>Al Esmaelya 2</t>
  </si>
  <si>
    <t>الاسماعيليه 2</t>
  </si>
  <si>
    <t>Al Kibla</t>
  </si>
  <si>
    <t>القبله</t>
  </si>
  <si>
    <t>الشموخ</t>
  </si>
  <si>
    <t>Al-hey Al-Askarey</t>
  </si>
  <si>
    <t>Al-Shuhadaa</t>
  </si>
  <si>
    <t>Hey Al Tahrear</t>
  </si>
  <si>
    <t>حي التحرير</t>
  </si>
  <si>
    <t>Hey al-ghadeir</t>
  </si>
  <si>
    <t>Hey al-zahraa</t>
  </si>
  <si>
    <t>Al-Azezia</t>
  </si>
  <si>
    <t>Al Shabab 1</t>
  </si>
  <si>
    <t>الشباب الاولى</t>
  </si>
  <si>
    <t>Al-Azezia 150 area</t>
  </si>
  <si>
    <t>العزيزية 150</t>
  </si>
  <si>
    <t>Al-Debooni City Center</t>
  </si>
  <si>
    <t xml:space="preserve">مركز الدبوني </t>
  </si>
  <si>
    <t>Al-Khamas 3</t>
  </si>
  <si>
    <t>الخماس الثالثة</t>
  </si>
  <si>
    <t>Al-Khamas1</t>
  </si>
  <si>
    <t>الخماس الاولى</t>
  </si>
  <si>
    <t>Al-Sarai</t>
  </si>
  <si>
    <t>السراي</t>
  </si>
  <si>
    <t>Al-Tanmeya</t>
  </si>
  <si>
    <t>التنمية</t>
  </si>
  <si>
    <t>Bader Al-Kubra</t>
  </si>
  <si>
    <t>بدر الكبرى</t>
  </si>
  <si>
    <t>Hay Al Quds</t>
  </si>
  <si>
    <t>حي القدس</t>
  </si>
  <si>
    <t>Hay Al-Askari 1</t>
  </si>
  <si>
    <t>الحي العسكري الاولى</t>
  </si>
  <si>
    <t>Taj al-dien</t>
  </si>
  <si>
    <t>تاج الدين</t>
  </si>
  <si>
    <t>Taj al-dien center 1</t>
  </si>
  <si>
    <t>مركز تاج الدين 1</t>
  </si>
  <si>
    <t>Al-Hai</t>
  </si>
  <si>
    <t>Al Bashaer sub-district</t>
  </si>
  <si>
    <t xml:space="preserve">ناحية البشائر </t>
  </si>
  <si>
    <t>Al-Askari Al-Uwla</t>
  </si>
  <si>
    <t>حي العسكري الاولى</t>
  </si>
  <si>
    <t>Al-hay al-asri</t>
  </si>
  <si>
    <t>Al-Hay Al-Asri Al-Thalitha</t>
  </si>
  <si>
    <t>الحي العصري الثالثة</t>
  </si>
  <si>
    <t>Al-Zaiton Neighborhood</t>
  </si>
  <si>
    <t>Bashaeer-Al-Imam Al-Sadiq Village</t>
  </si>
  <si>
    <t>ناحية البشائر-قرية الأمام الصادق</t>
  </si>
  <si>
    <t>Hay Al-Imam Al-Sadiq</t>
  </si>
  <si>
    <t>حي الأمام الصادق</t>
  </si>
  <si>
    <t>Hay al-muaalimen al-thaniyah</t>
  </si>
  <si>
    <t>حي المعلمين الثانية</t>
  </si>
  <si>
    <t>Hay Al-Rasol</t>
  </si>
  <si>
    <t>Hay Al-Saray</t>
  </si>
  <si>
    <t>Hay Al-Wehda(Mahala al-arab)</t>
  </si>
  <si>
    <t>حي الوحدة-محلة العرب</t>
  </si>
  <si>
    <t>Hay Saed Al-Thania</t>
  </si>
  <si>
    <t>حي سعيد الثانية</t>
  </si>
  <si>
    <t>Al-Na'maniya</t>
  </si>
  <si>
    <t>Al-Ahrar city center</t>
  </si>
  <si>
    <t>الاحرار المركز</t>
  </si>
  <si>
    <t>Al-Baqaratain Village</t>
  </si>
  <si>
    <t>قرية البقرتين</t>
  </si>
  <si>
    <t>Al-Hakeem villge</t>
  </si>
  <si>
    <t>قرية الحكيم</t>
  </si>
  <si>
    <t>Imam Rudha</t>
  </si>
  <si>
    <t>حي الأمام الرضا</t>
  </si>
  <si>
    <t>Misarhad village</t>
  </si>
  <si>
    <t>قرية مسرهد</t>
  </si>
  <si>
    <t>Said Habeeb Village</t>
  </si>
  <si>
    <t>قرية سيد حبيب</t>
  </si>
  <si>
    <t>Said malik village</t>
  </si>
  <si>
    <t>قرية سيد مالك</t>
  </si>
  <si>
    <t>Al-Suwaira</t>
  </si>
  <si>
    <t>Al-Jisir village</t>
  </si>
  <si>
    <t>قرية الجسر</t>
  </si>
  <si>
    <t>Hai Al-Askari-5 Dunam</t>
  </si>
  <si>
    <t>حي العسكري-5 دونم</t>
  </si>
  <si>
    <t>Hay Al-Amer</t>
  </si>
  <si>
    <t>Hay Al-askary</t>
  </si>
  <si>
    <t>Hay Al-Furat</t>
  </si>
  <si>
    <t>Hay Al-Jameya</t>
  </si>
  <si>
    <t>Hay Al-Jihad</t>
  </si>
  <si>
    <t>Hay Al-Maghrib</t>
  </si>
  <si>
    <t>Qatae Dejla</t>
  </si>
  <si>
    <t>قطاع دجلة</t>
  </si>
  <si>
    <t>Badra</t>
  </si>
  <si>
    <t>Al-Shuhadaa Village</t>
  </si>
  <si>
    <t>قرية الشهداء</t>
  </si>
  <si>
    <t>Dahnok</t>
  </si>
  <si>
    <t>دهنوك</t>
  </si>
  <si>
    <t>Hay Al-Imam Al-Hussein</t>
  </si>
  <si>
    <t>حي الأمام الحسين</t>
  </si>
  <si>
    <t>Jassan center</t>
  </si>
  <si>
    <t>مركز جصان</t>
  </si>
  <si>
    <t>Kut</t>
  </si>
  <si>
    <t>Al Batar village</t>
  </si>
  <si>
    <t>قرية البتار</t>
  </si>
  <si>
    <t>Al Dujily-Al zahraa</t>
  </si>
  <si>
    <t>الدجيلي-الزهراء</t>
  </si>
  <si>
    <t>Al Gardhia</t>
  </si>
  <si>
    <t>الكارضية</t>
  </si>
  <si>
    <t>Al Hakeem Al-Khdhra</t>
  </si>
  <si>
    <t>الحكيم الخضراء</t>
  </si>
  <si>
    <t>Al Hakeem Al-Thania</t>
  </si>
  <si>
    <t>الحكيم الثانيه</t>
  </si>
  <si>
    <t>Al Hakeem Al-Ula</t>
  </si>
  <si>
    <t>الحكيم الأولى</t>
  </si>
  <si>
    <t>Al Hasan Al Askari</t>
  </si>
  <si>
    <t>الحسن العسكري</t>
  </si>
  <si>
    <t>Al Hindiyah</t>
  </si>
  <si>
    <t>الهندية</t>
  </si>
  <si>
    <t>Al Hoqoqein</t>
  </si>
  <si>
    <t>الحقوقيين</t>
  </si>
  <si>
    <t>Al Maimoon</t>
  </si>
  <si>
    <t>الميمون</t>
  </si>
  <si>
    <t>Al Mantaqa Al qadima</t>
  </si>
  <si>
    <t>المنطقة القديمة</t>
  </si>
  <si>
    <t>Al Muhandseen-Al Amarat Al Sakaniyah</t>
  </si>
  <si>
    <t>المهندسين-العمارات السكنية</t>
  </si>
  <si>
    <t>Al Nahalat</t>
  </si>
  <si>
    <t>النحالات</t>
  </si>
  <si>
    <t>Al Uroba 1</t>
  </si>
  <si>
    <t>العروبة الاولى</t>
  </si>
  <si>
    <t>Al-Badreya village</t>
  </si>
  <si>
    <t>قرية البدرية</t>
  </si>
  <si>
    <t>Al-chabab</t>
  </si>
  <si>
    <t>قرية الجباب</t>
  </si>
  <si>
    <t>Al-Eza Al-Jadida</t>
  </si>
  <si>
    <t>العزة الجديدة</t>
  </si>
  <si>
    <t>Al-Eza Al-Qadima</t>
  </si>
  <si>
    <t>العزة القديمة</t>
  </si>
  <si>
    <t>Al-Hassan Al-Askari Al-Thania</t>
  </si>
  <si>
    <t>الحسن العسكري الثانيه</t>
  </si>
  <si>
    <t>Al-Jihad Al-Zahraa</t>
  </si>
  <si>
    <t>الجهاد الزهراء</t>
  </si>
  <si>
    <t>Al-Jihad-Al Shaheed Dawood</t>
  </si>
  <si>
    <t>الجهاد-الشهيد داود</t>
  </si>
  <si>
    <t>Al-Jihad-Al Thaqalain</t>
  </si>
  <si>
    <t>الجهاد-الثقلين</t>
  </si>
  <si>
    <t>Al-Jihad-Al-Sajad</t>
  </si>
  <si>
    <t>الجهاد-السجاد</t>
  </si>
  <si>
    <t>Al-Jihad-Al-Zanabra</t>
  </si>
  <si>
    <t>الجهاد-الزنابرة</t>
  </si>
  <si>
    <t>Al-Sebtain W Al-Maamel</t>
  </si>
  <si>
    <t>السبطين والمعامل</t>
  </si>
  <si>
    <t>Al-Shuhadaa 3</t>
  </si>
  <si>
    <t>الشهداء الثالثة</t>
  </si>
  <si>
    <t>Al-Shuhadaa 4</t>
  </si>
  <si>
    <t>الشهداء الرابعة</t>
  </si>
  <si>
    <t>Al-Umarat-Al-Mutamaizeen</t>
  </si>
  <si>
    <t>العمارات المتميزين</t>
  </si>
  <si>
    <t>Al-Wafdin Al-Sadrain</t>
  </si>
  <si>
    <t>الوافدين الصدرين</t>
  </si>
  <si>
    <t>Al-Zahra Al-Karavanat</t>
  </si>
  <si>
    <t>الزهراء الكرفانات</t>
  </si>
  <si>
    <t>Anwar Al Sadur</t>
  </si>
  <si>
    <t>انوار الصدر</t>
  </si>
  <si>
    <t>Anwar Al Sadur-Al-Ghader</t>
  </si>
  <si>
    <t>انوار الصدر-الغدير</t>
  </si>
  <si>
    <t>Damook 150</t>
  </si>
  <si>
    <t>داموك 150</t>
  </si>
  <si>
    <t>Damook Al-Dhbat</t>
  </si>
  <si>
    <t>داموك الضباط</t>
  </si>
  <si>
    <t>Damook-Al-Hurriya</t>
  </si>
  <si>
    <t>داموك الحرية</t>
  </si>
  <si>
    <t>Door al-Umal</t>
  </si>
  <si>
    <t>دور العمال</t>
  </si>
  <si>
    <t>Hay Al Jawadeen Al-Thalitha</t>
  </si>
  <si>
    <t>حي الجوادين الثالثه</t>
  </si>
  <si>
    <t>Hay Al Jawadeen Al-Ula</t>
  </si>
  <si>
    <t>حي الجوادين الاولى</t>
  </si>
  <si>
    <t>Hay Al Wehda</t>
  </si>
  <si>
    <t>Hay Al-Abassya</t>
  </si>
  <si>
    <t>حي العباسية</t>
  </si>
  <si>
    <t>Hay Al-Emam Ali-2</t>
  </si>
  <si>
    <t>حي الامام علي الثانيه</t>
  </si>
  <si>
    <t>Hay Al-Hawaraa 3</t>
  </si>
  <si>
    <t>حي الحوراء الثالثة</t>
  </si>
  <si>
    <t>Hay Al-Kadhraa</t>
  </si>
  <si>
    <t>Hay al-zahraa</t>
  </si>
  <si>
    <t>Khajia –Hay Al Rassol</t>
  </si>
  <si>
    <t>الخاجية حي الرسول</t>
  </si>
  <si>
    <t>Sewada Said Shati</t>
  </si>
  <si>
    <t>سوادة وسيد شاطي</t>
  </si>
  <si>
    <t>Sewada-Al-Baydhaa village</t>
  </si>
  <si>
    <t>السوادة-قرية البيضاء</t>
  </si>
  <si>
    <t>Um Hulail Village</t>
  </si>
  <si>
    <t>ام هليل</t>
  </si>
  <si>
    <t>Summary</t>
  </si>
  <si>
    <t>#Districts</t>
  </si>
  <si>
    <t>#Locations</t>
  </si>
  <si>
    <t>#Individuals</t>
  </si>
  <si>
    <t>District of Displacement</t>
  </si>
  <si>
    <t>Total</t>
  </si>
  <si>
    <t/>
  </si>
  <si>
    <t>Shelter Type</t>
  </si>
  <si>
    <t>Rental(Habitable)</t>
  </si>
  <si>
    <t>Rental(uninhabitable)</t>
  </si>
  <si>
    <t xml:space="preserve">    Total</t>
  </si>
  <si>
    <t xml:space="preserve">Post March16 </t>
  </si>
  <si>
    <t xml:space="preserve">Post
 October 16 </t>
  </si>
  <si>
    <t>IDP Individuals</t>
  </si>
  <si>
    <t>%</t>
  </si>
  <si>
    <t>Post 17Oct2016</t>
  </si>
  <si>
    <t>Post Mar2016</t>
  </si>
  <si>
    <t>Others</t>
  </si>
  <si>
    <t>Shelter</t>
  </si>
  <si>
    <t xml:space="preserve">Camp </t>
  </si>
  <si>
    <t>Critical</t>
  </si>
  <si>
    <t>Private setting</t>
  </si>
  <si>
    <t>Unknown</t>
  </si>
  <si>
    <t>Governorate of Origin</t>
  </si>
  <si>
    <t>Row Labels</t>
  </si>
  <si>
    <t>rank</t>
  </si>
  <si>
    <t>Sum of rank</t>
  </si>
  <si>
    <t>Sum of IDP Individuals</t>
  </si>
  <si>
    <t>Sum of %</t>
  </si>
  <si>
    <t>Jan 19</t>
  </si>
  <si>
    <t>Own Property</t>
  </si>
  <si>
    <t>January 19</t>
  </si>
  <si>
    <t>Governorate of Displacement</t>
  </si>
  <si>
    <t>Period of Displacement</t>
  </si>
  <si>
    <t>Number of IDPs by District of Displacement</t>
  </si>
  <si>
    <t xml:space="preserve">Period of Displacement includes a chart that shows the number of IDPs by Period of Displacement </t>
  </si>
  <si>
    <t>Dataset</t>
  </si>
  <si>
    <t>Other tabs</t>
  </si>
  <si>
    <t>Darawish</t>
  </si>
  <si>
    <t>دراويش</t>
  </si>
  <si>
    <t>Al Farashea</t>
  </si>
  <si>
    <t>الفراشية</t>
  </si>
  <si>
    <t>Al-Sabeeha</t>
  </si>
  <si>
    <t>الصبيحة</t>
  </si>
  <si>
    <t>Markaz AL-Nahiya</t>
  </si>
  <si>
    <t>مركز الناحية</t>
  </si>
  <si>
    <t>Al Iskan Al Sinaie</t>
  </si>
  <si>
    <t>Al Ubaidy 766</t>
  </si>
  <si>
    <t>العبيدي-766</t>
  </si>
  <si>
    <t>Al Ubaidy 768</t>
  </si>
  <si>
    <t>العبيدي 768</t>
  </si>
  <si>
    <t>Mughagh</t>
  </si>
  <si>
    <t>مغاغ</t>
  </si>
  <si>
    <t>Al Ubaidy 760</t>
  </si>
  <si>
    <t>العبيدي-760</t>
  </si>
  <si>
    <t>You can find in the Summary tab the number of IDPs breakdown by:</t>
  </si>
  <si>
    <t>The whole dataset is located under DTM Dataset tab</t>
  </si>
  <si>
    <t>Number of IDPs by Shelter Type</t>
  </si>
  <si>
    <t>Number of IDPs by Governorate of Origin</t>
  </si>
  <si>
    <t>Number of IDPs by Period of Displacement and Governorate of Displacement</t>
  </si>
  <si>
    <t>Number and % of IDPs by Period of Displacement</t>
  </si>
  <si>
    <t>Al-Daraemah Village</t>
  </si>
  <si>
    <t>قرية الدراعمة</t>
  </si>
  <si>
    <t>Gharb Al-Wadi</t>
  </si>
  <si>
    <t>حي غرب الوادي</t>
  </si>
  <si>
    <t>Rumilah Village</t>
  </si>
  <si>
    <t>Zankura</t>
  </si>
  <si>
    <t>زنكورة</t>
  </si>
  <si>
    <t>Pank Village</t>
  </si>
  <si>
    <t xml:space="preserve">قريه بانك </t>
  </si>
  <si>
    <t>Al Dafteer Dar</t>
  </si>
  <si>
    <t>الدفتر دار</t>
  </si>
  <si>
    <t>Al-Haleela village</t>
  </si>
  <si>
    <t>قرية الحليلة</t>
  </si>
  <si>
    <t>Al-Khamees village</t>
  </si>
  <si>
    <t>قرية آل خميس</t>
  </si>
  <si>
    <t>Markaz Al-Hilal</t>
  </si>
  <si>
    <t>مركز الهلال</t>
  </si>
  <si>
    <t>Al Jamiaa 1</t>
  </si>
  <si>
    <t>الجامعة 1</t>
  </si>
  <si>
    <t>Hay Al-Ahmadi</t>
  </si>
  <si>
    <t>حي الاحمدي</t>
  </si>
  <si>
    <t>Hay Al-Askery</t>
  </si>
  <si>
    <t>15 Sha'aban</t>
  </si>
  <si>
    <t>15 شعبان</t>
  </si>
  <si>
    <t>Al Amam Al Ridhah</t>
  </si>
  <si>
    <t>الامام الرضا</t>
  </si>
  <si>
    <t>Al-Moalmein</t>
  </si>
  <si>
    <t>Al-Mustshfah</t>
  </si>
  <si>
    <t>حي المستشفى</t>
  </si>
  <si>
    <t>Al-Omal</t>
  </si>
  <si>
    <t>Al-Sadrein</t>
  </si>
  <si>
    <t>Hay Al-Husein</t>
  </si>
  <si>
    <t>Hay Al-Omal</t>
  </si>
  <si>
    <t>Hay Al-Tahreer</t>
  </si>
  <si>
    <t>Al Soob Al Sagheer</t>
  </si>
  <si>
    <t>الصوب الصغير</t>
  </si>
  <si>
    <t>Hay Al-Shouhdaa</t>
  </si>
  <si>
    <t>Al-Hadhar</t>
  </si>
  <si>
    <t>الحضر</t>
  </si>
  <si>
    <t>Period and Governorate of Displacement</t>
  </si>
  <si>
    <t>Shelter Type is a breakdown chart that shows Shelter Type by Governorate of Displacement</t>
  </si>
  <si>
    <t>Households</t>
  </si>
  <si>
    <t>#IDP Households</t>
  </si>
  <si>
    <t xml:space="preserve">IDP Households </t>
  </si>
  <si>
    <t>Governorate of origin (Number of Households)</t>
  </si>
  <si>
    <t>DTM : IDP Master List 31-10-2019</t>
  </si>
  <si>
    <t>Al bor (Shishan)</t>
  </si>
  <si>
    <t>حي العبور</t>
  </si>
  <si>
    <t>Hay Al Rahman</t>
  </si>
  <si>
    <t>حي الرحمن</t>
  </si>
  <si>
    <t>Hay Al-Mutasem</t>
  </si>
  <si>
    <t>حي المعتصم</t>
  </si>
  <si>
    <t>Hay Barwanah Al Gharbiyah</t>
  </si>
  <si>
    <t>حي بروانه غربيه</t>
  </si>
  <si>
    <t>Hay Ibn Bittar</t>
  </si>
  <si>
    <t>حي ابن بيطار</t>
  </si>
  <si>
    <t>Hay K 28</t>
  </si>
  <si>
    <t>مجمع ك 28 (( كي ثري ))</t>
  </si>
  <si>
    <t>ابو فليس</t>
  </si>
  <si>
    <t>AL-Karama complex</t>
  </si>
  <si>
    <t>مجمع الكرامه</t>
  </si>
  <si>
    <t>AL Shaab-359</t>
  </si>
  <si>
    <t>الشعب-359</t>
  </si>
  <si>
    <t>Al Jamahir Qtr Sector 4</t>
  </si>
  <si>
    <t>حي الجماهير قطاع 4</t>
  </si>
  <si>
    <t>Al Jamahir Qtr Sector 5</t>
  </si>
  <si>
    <t>حي الجماهير قطاع 5</t>
  </si>
  <si>
    <t>Al Jamahir Qtr Sector 6</t>
  </si>
  <si>
    <t>حي الجماهير قطاع 6</t>
  </si>
  <si>
    <t>Al Shuhada Qtr Sector 1</t>
  </si>
  <si>
    <t>حي الشهداء قطاع 1</t>
  </si>
  <si>
    <t>Al Shuhada Qtr Sector 2</t>
  </si>
  <si>
    <t>حي الشهداء قطاع 2</t>
  </si>
  <si>
    <t>Al Shuhada Qtr Sector 3</t>
  </si>
  <si>
    <t>حي الشهداء قطاع 3</t>
  </si>
  <si>
    <t>Al Shuhada Qtr Sector 4</t>
  </si>
  <si>
    <t>حي الشهداء قطاع 4</t>
  </si>
  <si>
    <t>Al Shuhada Qtr Sector 5</t>
  </si>
  <si>
    <t>حي الشهداء قطاع 5</t>
  </si>
  <si>
    <t>Grd Muhammed</t>
  </si>
  <si>
    <t>كرد محمد</t>
  </si>
  <si>
    <t>Grd Rost</t>
  </si>
  <si>
    <t>كرد روست</t>
  </si>
  <si>
    <t>Harsham 1</t>
  </si>
  <si>
    <t>Harsham 2</t>
  </si>
  <si>
    <t>Harsham 3</t>
  </si>
  <si>
    <t>Mirza Ahmed</t>
  </si>
  <si>
    <t>مرزا احمد</t>
  </si>
  <si>
    <t>Mizori</t>
  </si>
  <si>
    <t>مزوري</t>
  </si>
  <si>
    <t>Nazimawa</t>
  </si>
  <si>
    <t>نازماوه</t>
  </si>
  <si>
    <t>Qatawi</t>
  </si>
  <si>
    <t>قتوي</t>
  </si>
  <si>
    <t>Qushtapa center</t>
  </si>
  <si>
    <t>Sarkarez</t>
  </si>
  <si>
    <t>سركاريز</t>
  </si>
  <si>
    <t>Timar Big</t>
  </si>
  <si>
    <t>تيمار كةوره</t>
  </si>
  <si>
    <t>Al Sharagia</t>
  </si>
  <si>
    <t>الشراكية</t>
  </si>
  <si>
    <t>Al-Iqtisadieen</t>
  </si>
  <si>
    <t>حي الاقتصاديين</t>
  </si>
  <si>
    <t>بورك</t>
  </si>
  <si>
    <t>Goran City</t>
  </si>
  <si>
    <t>كوران ستي</t>
  </si>
  <si>
    <t>Qala</t>
  </si>
  <si>
    <t>قلا</t>
  </si>
  <si>
    <t>Sewsenan</t>
  </si>
  <si>
    <t>سيوسينان</t>
  </si>
  <si>
    <t>AL Ziyadat</t>
  </si>
  <si>
    <t>الزيادات</t>
  </si>
  <si>
    <t>During this round of data collection, DTM has identified 1,444,500 internally displaced persons (240,750 households), dispersed across 18 governorates, 104 districts and 3,066 locations in Iraq</t>
  </si>
  <si>
    <t>IOM is pleased to share with you the latest Displacement Tracking Matrix (DTM) Dataset Round 112, covering the months of September and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</si>
</sst>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#"/>
    <numFmt numFmtId="165" formatCode="0.0"/>
    <numFmt numFmtId="166" formatCode="0.0%"/>
  </numFmts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Calibri"/>
      <family val="2"/>
      <scheme val="minor"/>
    </font>
    <font>
      <sz val="11"/>
      <color theme="0"/>
      <name val="Gill Sans Nova"/>
      <family val="2"/>
    </font>
    <font>
      <sz val="11"/>
      <name val="Gill Sans Nova"/>
      <family val="2"/>
    </font>
    <font>
      <sz val="11"/>
      <name val="Calibri"/>
      <family val="2"/>
      <scheme val="minor"/>
    </font>
    <font>
      <b/>
      <sz val="10"/>
      <color rgb="FFFFFFFF"/>
      <name val="Gill Sans Nova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Gill Sans Nova"/>
      <family val="2"/>
    </font>
    <font>
      <u/>
      <sz val="10"/>
      <color rgb="FF0070C0"/>
      <name val="Arial Narrow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4682B4"/>
      <name val="Calibri"/>
      <family val="2"/>
      <scheme val="minor"/>
    </font>
    <font>
      <sz val="10"/>
      <color rgb="FF000000"/>
      <name val="Gill Sans Nova"/>
      <family val="2"/>
    </font>
    <font>
      <u/>
      <sz val="10"/>
      <color theme="10"/>
      <name val="Gill Sans Nova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Gill Sans Nov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92D050"/>
        <bgColor rgb="FF800000"/>
      </patternFill>
    </fill>
    <fill>
      <patternFill patternType="solid">
        <fgColor theme="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00008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 tint="-0.14999847407452621"/>
      </bottom>
      <diagonal/>
    </border>
    <border>
      <left/>
      <right/>
      <top style="thin">
        <color theme="0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23">
    <xf numFmtId="0" fontId="0" fillId="0" borderId="0" xfId="0"/>
    <xf numFmtId="0" fontId="4" fillId="9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9" fillId="0" borderId="4" xfId="0" applyFont="1" applyBorder="1"/>
    <xf numFmtId="0" fontId="0" fillId="0" borderId="4" xfId="0" pivotButton="1" applyBorder="1"/>
    <xf numFmtId="0" fontId="0" fillId="0" borderId="4" xfId="0" applyBorder="1"/>
    <xf numFmtId="0" fontId="2" fillId="0" borderId="4" xfId="0" applyFont="1" applyBorder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164" fontId="13" fillId="0" borderId="8" xfId="0" applyNumberFormat="1" applyFont="1" applyBorder="1" applyAlignment="1">
      <alignment vertical="center" wrapText="1" readingOrder="1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 readingOrder="1"/>
    </xf>
    <xf numFmtId="0" fontId="15" fillId="8" borderId="3" xfId="0" applyFont="1" applyFill="1" applyBorder="1"/>
    <xf numFmtId="0" fontId="15" fillId="8" borderId="4" xfId="0" applyFont="1" applyFill="1" applyBorder="1"/>
    <xf numFmtId="0" fontId="11" fillId="0" borderId="4" xfId="0" applyFont="1" applyBorder="1"/>
    <xf numFmtId="0" fontId="3" fillId="3" borderId="8" xfId="0" applyFont="1" applyFill="1" applyBorder="1" applyAlignment="1">
      <alignment horizontal="center" vertical="center" wrapText="1" readingOrder="1"/>
    </xf>
    <xf numFmtId="0" fontId="12" fillId="0" borderId="8" xfId="0" applyFont="1" applyBorder="1" applyAlignment="1">
      <alignment vertical="top" wrapText="1" readingOrder="1"/>
    </xf>
    <xf numFmtId="164" fontId="12" fillId="0" borderId="8" xfId="0" applyNumberFormat="1" applyFont="1" applyBorder="1" applyAlignment="1">
      <alignment vertical="top" wrapText="1" readingOrder="1"/>
    </xf>
    <xf numFmtId="164" fontId="16" fillId="0" borderId="8" xfId="0" applyNumberFormat="1" applyFont="1" applyBorder="1" applyAlignment="1">
      <alignment vertical="top" wrapText="1" readingOrder="1"/>
    </xf>
    <xf numFmtId="164" fontId="12" fillId="0" borderId="2" xfId="0" applyNumberFormat="1" applyFont="1" applyBorder="1" applyAlignment="1">
      <alignment vertical="center" wrapText="1" readingOrder="1"/>
    </xf>
    <xf numFmtId="0" fontId="13" fillId="0" borderId="8" xfId="0" applyFont="1" applyBorder="1" applyAlignment="1">
      <alignment vertical="top" wrapText="1" readingOrder="1"/>
    </xf>
    <xf numFmtId="164" fontId="13" fillId="0" borderId="8" xfId="0" applyNumberFormat="1" applyFont="1" applyBorder="1" applyAlignment="1">
      <alignment vertical="top" wrapText="1" readingOrder="1"/>
    </xf>
    <xf numFmtId="164" fontId="17" fillId="0" borderId="8" xfId="0" applyNumberFormat="1" applyFont="1" applyBorder="1" applyAlignment="1">
      <alignment vertical="top" wrapText="1" readingOrder="1"/>
    </xf>
    <xf numFmtId="0" fontId="13" fillId="0" borderId="6" xfId="0" applyFont="1" applyBorder="1" applyAlignment="1">
      <alignment vertical="top" wrapText="1" readingOrder="1"/>
    </xf>
    <xf numFmtId="164" fontId="13" fillId="0" borderId="6" xfId="0" applyNumberFormat="1" applyFont="1" applyBorder="1" applyAlignment="1">
      <alignment vertical="top" wrapText="1" readingOrder="1"/>
    </xf>
    <xf numFmtId="164" fontId="17" fillId="0" borderId="6" xfId="0" applyNumberFormat="1" applyFont="1" applyBorder="1" applyAlignment="1">
      <alignment vertical="top" wrapText="1" readingOrder="1"/>
    </xf>
    <xf numFmtId="0" fontId="16" fillId="8" borderId="4" xfId="0" applyFont="1" applyFill="1" applyBorder="1"/>
    <xf numFmtId="0" fontId="14" fillId="0" borderId="5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2" fillId="0" borderId="4" xfId="0" applyFont="1" applyBorder="1"/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12" fillId="0" borderId="3" xfId="0" applyFont="1" applyBorder="1"/>
    <xf numFmtId="164" fontId="12" fillId="0" borderId="8" xfId="0" applyNumberFormat="1" applyFont="1" applyBorder="1" applyAlignment="1">
      <alignment vertical="center" wrapText="1" readingOrder="1"/>
    </xf>
    <xf numFmtId="164" fontId="12" fillId="0" borderId="13" xfId="0" applyNumberFormat="1" applyFont="1" applyBorder="1" applyAlignment="1">
      <alignment vertical="center" wrapText="1" readingOrder="1"/>
    </xf>
    <xf numFmtId="0" fontId="13" fillId="0" borderId="8" xfId="0" applyFont="1" applyBorder="1" applyAlignment="1">
      <alignment vertical="center" wrapText="1" readingOrder="1"/>
    </xf>
    <xf numFmtId="164" fontId="13" fillId="0" borderId="13" xfId="0" applyNumberFormat="1" applyFont="1" applyBorder="1" applyAlignment="1">
      <alignment vertical="center" wrapText="1" readingOrder="1"/>
    </xf>
    <xf numFmtId="164" fontId="13" fillId="0" borderId="2" xfId="0" applyNumberFormat="1" applyFont="1" applyBorder="1" applyAlignment="1">
      <alignment vertical="center" wrapText="1" readingOrder="1"/>
    </xf>
    <xf numFmtId="0" fontId="11" fillId="0" borderId="6" xfId="0" applyFont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 wrapText="1" readingOrder="1"/>
    </xf>
    <xf numFmtId="49" fontId="3" fillId="3" borderId="2" xfId="0" applyNumberFormat="1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vertical="center"/>
    </xf>
    <xf numFmtId="164" fontId="12" fillId="0" borderId="14" xfId="0" applyNumberFormat="1" applyFont="1" applyBorder="1" applyAlignment="1">
      <alignment vertical="center" wrapText="1" readingOrder="1"/>
    </xf>
    <xf numFmtId="0" fontId="15" fillId="0" borderId="3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9" fontId="16" fillId="8" borderId="8" xfId="1" applyNumberFormat="1" applyFont="1" applyFill="1" applyBorder="1" applyAlignment="1">
      <alignment vertical="center" wrapText="1" readingOrder="1"/>
    </xf>
    <xf numFmtId="49" fontId="12" fillId="0" borderId="8" xfId="0" applyNumberFormat="1" applyFont="1" applyBorder="1" applyAlignment="1">
      <alignment vertical="center" wrapText="1" readingOrder="1"/>
    </xf>
    <xf numFmtId="49" fontId="12" fillId="0" borderId="11" xfId="0" applyNumberFormat="1" applyFont="1" applyBorder="1" applyAlignment="1">
      <alignment vertical="center" wrapText="1" readingOrder="1"/>
    </xf>
    <xf numFmtId="0" fontId="14" fillId="0" borderId="12" xfId="0" applyFont="1" applyBorder="1" applyAlignment="1">
      <alignment horizontal="left" vertical="center"/>
    </xf>
    <xf numFmtId="164" fontId="13" fillId="0" borderId="10" xfId="0" applyNumberFormat="1" applyFont="1" applyBorder="1" applyAlignment="1">
      <alignment vertical="center" wrapText="1" readingOrder="1"/>
    </xf>
    <xf numFmtId="9" fontId="17" fillId="8" borderId="8" xfId="1" applyNumberFormat="1" applyFont="1" applyFill="1" applyBorder="1" applyAlignment="1">
      <alignment vertical="center" wrapText="1" readingOrder="1"/>
    </xf>
    <xf numFmtId="0" fontId="11" fillId="0" borderId="3" xfId="0" applyFont="1" applyBorder="1"/>
    <xf numFmtId="0" fontId="19" fillId="0" borderId="4" xfId="0" applyFont="1" applyBorder="1" applyAlignment="1">
      <alignment horizontal="center" wrapText="1"/>
    </xf>
    <xf numFmtId="0" fontId="20" fillId="0" borderId="4" xfId="2" applyFont="1" applyBorder="1" applyAlignment="1">
      <alignment horizontal="center"/>
    </xf>
    <xf numFmtId="0" fontId="15" fillId="0" borderId="4" xfId="0" applyFont="1" applyFill="1" applyBorder="1"/>
    <xf numFmtId="0" fontId="11" fillId="0" borderId="4" xfId="0" applyFont="1" applyFill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3" fillId="3" borderId="2" xfId="0" applyFont="1" applyFill="1" applyBorder="1" applyAlignment="1">
      <alignment horizontal="center" vertical="center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5" borderId="2" xfId="0" applyFont="1" applyFill="1" applyBorder="1" applyAlignment="1">
      <alignment horizontal="center" vertical="center" wrapText="1" readingOrder="1"/>
    </xf>
    <xf numFmtId="49" fontId="3" fillId="6" borderId="2" xfId="0" applyNumberFormat="1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10" fillId="0" borderId="2" xfId="0" applyNumberFormat="1" applyFont="1" applyFill="1" applyBorder="1" applyAlignment="1">
      <alignment horizontal="center" vertical="top" wrapText="1" readingOrder="1"/>
    </xf>
    <xf numFmtId="166" fontId="5" fillId="0" borderId="4" xfId="3" applyNumberFormat="1" applyFont="1" applyBorder="1"/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0" fillId="0" borderId="4" xfId="2" applyFont="1" applyBorder="1" applyAlignment="1">
      <alignment horizontal="left"/>
    </xf>
    <xf numFmtId="0" fontId="20" fillId="0" borderId="4" xfId="2" applyFont="1" applyBorder="1" applyAlignment="1"/>
    <xf numFmtId="0" fontId="19" fillId="0" borderId="4" xfId="0" applyFont="1" applyBorder="1" applyAlignment="1"/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7" fillId="3" borderId="2" xfId="0" applyFont="1" applyFill="1" applyBorder="1" applyAlignment="1">
      <alignment horizontal="center" vertical="top" wrapText="1" readingOrder="1"/>
    </xf>
    <xf numFmtId="0" fontId="4" fillId="10" borderId="1" xfId="0" applyFont="1" applyFill="1" applyBorder="1"/>
    <xf numFmtId="0" fontId="23" fillId="0" borderId="4" xfId="0" applyFont="1" applyBorder="1" applyAlignment="1">
      <alignment horizontal="center"/>
    </xf>
    <xf numFmtId="0" fontId="19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 readingOrder="1"/>
    </xf>
    <xf numFmtId="164" fontId="13" fillId="0" borderId="8" xfId="0" applyNumberFormat="1" applyFont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3" fillId="3" borderId="20" xfId="0" applyFont="1" applyFill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3" fillId="3" borderId="17" xfId="0" applyFont="1" applyFill="1" applyBorder="1" applyAlignment="1">
      <alignment horizontal="center" vertical="center" wrapText="1" readingOrder="1"/>
    </xf>
    <xf numFmtId="164" fontId="12" fillId="0" borderId="11" xfId="0" applyNumberFormat="1" applyFont="1" applyBorder="1" applyAlignment="1">
      <alignment horizontal="left" vertical="center" wrapText="1" readingOrder="1"/>
    </xf>
    <xf numFmtId="164" fontId="12" fillId="0" borderId="21" xfId="0" applyNumberFormat="1" applyFont="1" applyBorder="1" applyAlignment="1">
      <alignment horizontal="left" vertical="center" wrapText="1" readingOrder="1"/>
    </xf>
    <xf numFmtId="164" fontId="12" fillId="0" borderId="14" xfId="0" applyNumberFormat="1" applyFont="1" applyBorder="1" applyAlignment="1">
      <alignment horizontal="left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top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5" borderId="2" xfId="0" applyFont="1" applyFill="1" applyBorder="1" applyAlignment="1">
      <alignment horizontal="center" vertical="center" wrapText="1" readingOrder="1"/>
    </xf>
    <xf numFmtId="0" fontId="3" fillId="6" borderId="2" xfId="0" applyFont="1" applyFill="1" applyBorder="1" applyAlignment="1">
      <alignment horizontal="center" vertical="center" wrapText="1" readingOrder="1"/>
    </xf>
  </cellXfs>
  <cellStyles count="4">
    <cellStyle name="60% - Accent1 2" xfId="1" xr:uid="{DF31C262-B8CC-4BC0-AF63-22761E50515A}"/>
    <cellStyle name="Hyperlink" xfId="2" builtinId="8"/>
    <cellStyle name="Normal" xfId="0" builtinId="0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000080"/>
      <color rgb="FF868008"/>
      <color rgb="FFA69F0A"/>
      <color rgb="FF506C69"/>
      <color rgb="FF7A9CC6"/>
      <color rgb="FFAFECE7"/>
      <color rgb="FF567FCA"/>
      <color rgb="FF0281AE"/>
      <color rgb="FF00487C"/>
      <color rgb="FF407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[Round112_Master_List_IDP_2019-10-31_IOM_DTM.xlsx]Period of Displacement!PivotTable1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8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IDPs by Period of Displacement </a:t>
            </a:r>
          </a:p>
        </c:rich>
      </c:tx>
      <c:layout>
        <c:manualLayout>
          <c:xMode val="edge"/>
          <c:yMode val="edge"/>
          <c:x val="0.36464399432285738"/>
          <c:y val="1.449110848135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8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0033A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2669269048394576E-3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1"/>
          <c:tx>
            <c:strRef>
              <c:f>'Period of Displacement'!$C$1</c:f>
              <c:strCache>
                <c:ptCount val="1"/>
                <c:pt idx="0">
                  <c:v>Sum of %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Displacement'!$A$2:$A$10</c:f>
              <c:strCache>
                <c:ptCount val="9"/>
                <c:pt idx="0">
                  <c:v>Pre-June14 </c:v>
                </c:pt>
                <c:pt idx="1">
                  <c:v>June-July14 </c:v>
                </c:pt>
                <c:pt idx="2">
                  <c:v>August14</c:v>
                </c:pt>
                <c:pt idx="3">
                  <c:v>Post September14 </c:v>
                </c:pt>
                <c:pt idx="4">
                  <c:v>Post April15 </c:v>
                </c:pt>
                <c:pt idx="5">
                  <c:v>Post Mar2016</c:v>
                </c:pt>
                <c:pt idx="6">
                  <c:v>Post 17Oct2016</c:v>
                </c:pt>
                <c:pt idx="7">
                  <c:v>July 17</c:v>
                </c:pt>
                <c:pt idx="8">
                  <c:v>January 19</c:v>
                </c:pt>
              </c:strCache>
            </c:strRef>
          </c:cat>
          <c:val>
            <c:numRef>
              <c:f>'Period of Displacement'!$C$2:$C$10</c:f>
              <c:numCache>
                <c:formatCode>General</c:formatCode>
                <c:ptCount val="9"/>
                <c:pt idx="0">
                  <c:v>3.7578384894462927E-2</c:v>
                </c:pt>
                <c:pt idx="1">
                  <c:v>0.1817756810744188</c:v>
                </c:pt>
                <c:pt idx="2">
                  <c:v>0.29886136643754901</c:v>
                </c:pt>
                <c:pt idx="3">
                  <c:v>8.4962850486247146E-2</c:v>
                </c:pt>
                <c:pt idx="4">
                  <c:v>6.7301859600724837E-2</c:v>
                </c:pt>
                <c:pt idx="5">
                  <c:v>3.5140387684057195E-2</c:v>
                </c:pt>
                <c:pt idx="6">
                  <c:v>0.18661690215942414</c:v>
                </c:pt>
                <c:pt idx="7">
                  <c:v>9.6948060227417615E-2</c:v>
                </c:pt>
                <c:pt idx="8">
                  <c:v>1.0814507435698307E-2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A-4F1A-8A2E-4785DA612AA2}"/>
            </c:ext>
          </c:extLst>
        </c:ser>
        <c:ser>
          <c:idx val="1"/>
          <c:order val="0"/>
          <c:tx>
            <c:strRef>
              <c:f>'Period of Displacement'!$B$1</c:f>
              <c:strCache>
                <c:ptCount val="1"/>
                <c:pt idx="0">
                  <c:v>Sum of IDP Individuals</c:v>
                </c:pt>
              </c:strCache>
            </c:strRef>
          </c:tx>
          <c:spPr>
            <a:solidFill>
              <a:srgbClr val="00008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8B-43AD-85D4-978C28A79E90}"/>
              </c:ext>
            </c:extLst>
          </c:dPt>
          <c:dLbls>
            <c:dLbl>
              <c:idx val="8"/>
              <c:layout>
                <c:manualLayout>
                  <c:x val="-4.2669269048394576E-3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B-43AD-85D4-978C28A79E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Displacement'!$A$2:$A$10</c:f>
              <c:strCache>
                <c:ptCount val="9"/>
                <c:pt idx="0">
                  <c:v>Pre-June14 </c:v>
                </c:pt>
                <c:pt idx="1">
                  <c:v>June-July14 </c:v>
                </c:pt>
                <c:pt idx="2">
                  <c:v>August14</c:v>
                </c:pt>
                <c:pt idx="3">
                  <c:v>Post September14 </c:v>
                </c:pt>
                <c:pt idx="4">
                  <c:v>Post April15 </c:v>
                </c:pt>
                <c:pt idx="5">
                  <c:v>Post Mar2016</c:v>
                </c:pt>
                <c:pt idx="6">
                  <c:v>Post 17Oct2016</c:v>
                </c:pt>
                <c:pt idx="7">
                  <c:v>July 17</c:v>
                </c:pt>
                <c:pt idx="8">
                  <c:v>January 19</c:v>
                </c:pt>
              </c:strCache>
            </c:strRef>
          </c:cat>
          <c:val>
            <c:numRef>
              <c:f>'Period of Displacement'!$B$2:$B$10</c:f>
              <c:numCache>
                <c:formatCode>General</c:formatCode>
                <c:ptCount val="9"/>
                <c:pt idx="0">
                  <c:v>58356</c:v>
                </c:pt>
                <c:pt idx="1">
                  <c:v>282282</c:v>
                </c:pt>
                <c:pt idx="2">
                  <c:v>464106</c:v>
                </c:pt>
                <c:pt idx="3">
                  <c:v>131940</c:v>
                </c:pt>
                <c:pt idx="4">
                  <c:v>104514</c:v>
                </c:pt>
                <c:pt idx="5">
                  <c:v>54570</c:v>
                </c:pt>
                <c:pt idx="6">
                  <c:v>289800</c:v>
                </c:pt>
                <c:pt idx="7">
                  <c:v>150552</c:v>
                </c:pt>
                <c:pt idx="8">
                  <c:v>16794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1-4F23-90EF-408E48E0E923}"/>
            </c:ext>
          </c:extLst>
        </c:ser>
        <c:ser>
          <c:idx val="2"/>
          <c:order val="2"/>
          <c:tx>
            <c:strRef>
              <c:f>'Period of Displacement'!$D$1</c:f>
              <c:strCache>
                <c:ptCount val="1"/>
                <c:pt idx="0">
                  <c:v>Sum of rank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Displacement'!$A$2:$A$10</c:f>
              <c:strCache>
                <c:ptCount val="9"/>
                <c:pt idx="0">
                  <c:v>Pre-June14 </c:v>
                </c:pt>
                <c:pt idx="1">
                  <c:v>June-July14 </c:v>
                </c:pt>
                <c:pt idx="2">
                  <c:v>August14</c:v>
                </c:pt>
                <c:pt idx="3">
                  <c:v>Post September14 </c:v>
                </c:pt>
                <c:pt idx="4">
                  <c:v>Post April15 </c:v>
                </c:pt>
                <c:pt idx="5">
                  <c:v>Post Mar2016</c:v>
                </c:pt>
                <c:pt idx="6">
                  <c:v>Post 17Oct2016</c:v>
                </c:pt>
                <c:pt idx="7">
                  <c:v>July 17</c:v>
                </c:pt>
                <c:pt idx="8">
                  <c:v>January 19</c:v>
                </c:pt>
              </c:strCache>
            </c:strRef>
          </c:cat>
          <c:val>
            <c:numRef>
              <c:f>'Period of Displacement'!$D$2:$D$10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FA-4F1A-8A2E-4785DA612A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65655359"/>
        <c:axId val="277144959"/>
        <c:extLst/>
      </c:barChart>
      <c:catAx>
        <c:axId val="565655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44959"/>
        <c:crosses val="autoZero"/>
        <c:auto val="1"/>
        <c:lblAlgn val="ctr"/>
        <c:lblOffset val="100"/>
        <c:noMultiLvlLbl val="0"/>
      </c:catAx>
      <c:valAx>
        <c:axId val="2771449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65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Shelter Type by Governorate of Displacement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'Shelter Type'!$T$45</c:f>
              <c:strCache>
                <c:ptCount val="1"/>
                <c:pt idx="0">
                  <c:v>Camp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679538977212089E-3"/>
                  <c:y val="-1.17161582526839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5-4973-B027-083F07A0B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Type'!$S$46:$S$63</c15:sqref>
                  </c15:fullRef>
                </c:ext>
              </c:extLst>
              <c:f>('Shelter Type'!$S$46:$S$54,'Shelter Type'!$S$57:$S$61,'Shelter Type'!$S$63)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Type'!$T$46:$T$63</c15:sqref>
                  </c15:fullRef>
                </c:ext>
              </c:extLst>
              <c:f>('Shelter Type'!$T$46:$T$54,'Shelter Type'!$T$57:$T$61,'Shelter Type'!$T$63)</c:f>
              <c:numCache>
                <c:formatCode>General</c:formatCode>
                <c:ptCount val="15"/>
                <c:pt idx="0">
                  <c:v>1847</c:v>
                </c:pt>
                <c:pt idx="1">
                  <c:v>0</c:v>
                </c:pt>
                <c:pt idx="2">
                  <c:v>491</c:v>
                </c:pt>
                <c:pt idx="3">
                  <c:v>0</c:v>
                </c:pt>
                <c:pt idx="4">
                  <c:v>25273</c:v>
                </c:pt>
                <c:pt idx="5">
                  <c:v>1140</c:v>
                </c:pt>
                <c:pt idx="6">
                  <c:v>3032</c:v>
                </c:pt>
                <c:pt idx="7">
                  <c:v>179</c:v>
                </c:pt>
                <c:pt idx="8">
                  <c:v>1985</c:v>
                </c:pt>
                <c:pt idx="9">
                  <c:v>185</c:v>
                </c:pt>
                <c:pt idx="10">
                  <c:v>22677</c:v>
                </c:pt>
                <c:pt idx="11">
                  <c:v>0</c:v>
                </c:pt>
                <c:pt idx="12">
                  <c:v>235</c:v>
                </c:pt>
                <c:pt idx="13">
                  <c:v>2794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547-9F9A-B39F5318D5BE}"/>
            </c:ext>
          </c:extLst>
        </c:ser>
        <c:ser>
          <c:idx val="1"/>
          <c:order val="1"/>
          <c:tx>
            <c:strRef>
              <c:f>'Shelter Type'!$U$45</c:f>
              <c:strCache>
                <c:ptCount val="1"/>
                <c:pt idx="0">
                  <c:v>Host families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Type'!$S$46:$S$63</c15:sqref>
                  </c15:fullRef>
                </c:ext>
              </c:extLst>
              <c:f>('Shelter Type'!$S$46:$S$54,'Shelter Type'!$S$57:$S$61,'Shelter Type'!$S$63)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Type'!$U$46:$U$63</c15:sqref>
                  </c15:fullRef>
                </c:ext>
              </c:extLst>
              <c:f>('Shelter Type'!$U$46:$U$54,'Shelter Type'!$U$57:$U$61,'Shelter Type'!$U$63)</c:f>
              <c:numCache>
                <c:formatCode>General</c:formatCode>
                <c:ptCount val="15"/>
                <c:pt idx="0">
                  <c:v>940</c:v>
                </c:pt>
                <c:pt idx="1">
                  <c:v>161</c:v>
                </c:pt>
                <c:pt idx="2">
                  <c:v>2257</c:v>
                </c:pt>
                <c:pt idx="3">
                  <c:v>285</c:v>
                </c:pt>
                <c:pt idx="4">
                  <c:v>3444</c:v>
                </c:pt>
                <c:pt idx="5">
                  <c:v>1503</c:v>
                </c:pt>
                <c:pt idx="6">
                  <c:v>63</c:v>
                </c:pt>
                <c:pt idx="7">
                  <c:v>19</c:v>
                </c:pt>
                <c:pt idx="8">
                  <c:v>570</c:v>
                </c:pt>
                <c:pt idx="9">
                  <c:v>0</c:v>
                </c:pt>
                <c:pt idx="10">
                  <c:v>9435</c:v>
                </c:pt>
                <c:pt idx="11">
                  <c:v>158</c:v>
                </c:pt>
                <c:pt idx="12">
                  <c:v>1290</c:v>
                </c:pt>
                <c:pt idx="13">
                  <c:v>61</c:v>
                </c:pt>
                <c:pt idx="1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8-4547-9F9A-B39F5318D5BE}"/>
            </c:ext>
          </c:extLst>
        </c:ser>
        <c:ser>
          <c:idx val="2"/>
          <c:order val="2"/>
          <c:tx>
            <c:strRef>
              <c:f>'Shelter Type'!$V$45</c:f>
              <c:strCache>
                <c:ptCount val="1"/>
                <c:pt idx="0">
                  <c:v>Rental(Habitable)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Type'!$S$46:$S$63</c15:sqref>
                  </c15:fullRef>
                </c:ext>
              </c:extLst>
              <c:f>('Shelter Type'!$S$46:$S$54,'Shelter Type'!$S$57:$S$61,'Shelter Type'!$S$63)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Type'!$V$46:$V$63</c15:sqref>
                  </c15:fullRef>
                </c:ext>
              </c:extLst>
              <c:f>('Shelter Type'!$V$46:$V$54,'Shelter Type'!$V$57:$V$61,'Shelter Type'!$V$63)</c:f>
              <c:numCache>
                <c:formatCode>General</c:formatCode>
                <c:ptCount val="15"/>
                <c:pt idx="0">
                  <c:v>924</c:v>
                </c:pt>
                <c:pt idx="1">
                  <c:v>2556</c:v>
                </c:pt>
                <c:pt idx="2">
                  <c:v>4044</c:v>
                </c:pt>
                <c:pt idx="3">
                  <c:v>720</c:v>
                </c:pt>
                <c:pt idx="4">
                  <c:v>17753</c:v>
                </c:pt>
                <c:pt idx="5">
                  <c:v>6023</c:v>
                </c:pt>
                <c:pt idx="6">
                  <c:v>37240</c:v>
                </c:pt>
                <c:pt idx="7">
                  <c:v>2051</c:v>
                </c:pt>
                <c:pt idx="8">
                  <c:v>12664</c:v>
                </c:pt>
                <c:pt idx="9">
                  <c:v>1673</c:v>
                </c:pt>
                <c:pt idx="10">
                  <c:v>22160</c:v>
                </c:pt>
                <c:pt idx="11">
                  <c:v>376</c:v>
                </c:pt>
                <c:pt idx="12">
                  <c:v>8749</c:v>
                </c:pt>
                <c:pt idx="13">
                  <c:v>20050</c:v>
                </c:pt>
                <c:pt idx="14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8-4547-9F9A-B39F5318D5BE}"/>
            </c:ext>
          </c:extLst>
        </c:ser>
        <c:ser>
          <c:idx val="3"/>
          <c:order val="3"/>
          <c:tx>
            <c:strRef>
              <c:f>'Shelter Type'!$W$45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Type'!$S$46:$S$63</c15:sqref>
                  </c15:fullRef>
                </c:ext>
              </c:extLst>
              <c:f>('Shelter Type'!$S$46:$S$54,'Shelter Type'!$S$57:$S$61,'Shelter Type'!$S$63)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Type'!$W$46:$W$63</c15:sqref>
                  </c15:fullRef>
                </c:ext>
              </c:extLst>
              <c:f>('Shelter Type'!$W$46:$W$54,'Shelter Type'!$W$57:$W$61,'Shelter Type'!$W$63)</c:f>
              <c:numCache>
                <c:formatCode>General</c:formatCode>
                <c:ptCount val="15"/>
                <c:pt idx="0">
                  <c:v>1326</c:v>
                </c:pt>
                <c:pt idx="1">
                  <c:v>163</c:v>
                </c:pt>
                <c:pt idx="2">
                  <c:v>641</c:v>
                </c:pt>
                <c:pt idx="3">
                  <c:v>105</c:v>
                </c:pt>
                <c:pt idx="4">
                  <c:v>6817</c:v>
                </c:pt>
                <c:pt idx="5">
                  <c:v>316</c:v>
                </c:pt>
                <c:pt idx="6">
                  <c:v>405</c:v>
                </c:pt>
                <c:pt idx="7">
                  <c:v>656</c:v>
                </c:pt>
                <c:pt idx="8">
                  <c:v>1628</c:v>
                </c:pt>
                <c:pt idx="9">
                  <c:v>65</c:v>
                </c:pt>
                <c:pt idx="10">
                  <c:v>4618</c:v>
                </c:pt>
                <c:pt idx="11">
                  <c:v>135</c:v>
                </c:pt>
                <c:pt idx="12">
                  <c:v>3959</c:v>
                </c:pt>
                <c:pt idx="13">
                  <c:v>567</c:v>
                </c:pt>
                <c:pt idx="14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8-4547-9F9A-B39F5318D5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904992"/>
        <c:axId val="391313728"/>
      </c:barChart>
      <c:catAx>
        <c:axId val="3929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13728"/>
        <c:crosses val="autoZero"/>
        <c:auto val="1"/>
        <c:lblAlgn val="ctr"/>
        <c:lblOffset val="100"/>
        <c:noMultiLvlLbl val="0"/>
      </c:catAx>
      <c:valAx>
        <c:axId val="3913137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+mn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000" b="0" i="0" u="none" strike="noStrike" kern="1200" cap="all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cap="all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IDP Shelter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cap="all" spc="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'Shelter Type'!$H$46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explosion val="4"/>
          <c:dPt>
            <c:idx val="0"/>
            <c:bubble3D val="0"/>
            <c:spPr>
              <a:solidFill>
                <a:srgbClr val="5B92E5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5-4EDE-9C54-93EC4209E1F8}"/>
              </c:ext>
            </c:extLst>
          </c:dPt>
          <c:dPt>
            <c:idx val="1"/>
            <c:bubble3D val="0"/>
            <c:spPr>
              <a:solidFill>
                <a:srgbClr val="D2263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5-4EDE-9C54-93EC4209E1F8}"/>
              </c:ext>
            </c:extLst>
          </c:dPt>
          <c:dPt>
            <c:idx val="2"/>
            <c:bubble3D val="0"/>
            <c:spPr>
              <a:solidFill>
                <a:srgbClr val="C5E5E3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5-4EDE-9C54-93EC4209E1F8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5-4EDE-9C54-93EC4209E1F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'Shelter Type'!$G$47:$G$50</c:f>
              <c:strCache>
                <c:ptCount val="4"/>
                <c:pt idx="0">
                  <c:v>Camp </c:v>
                </c:pt>
                <c:pt idx="1">
                  <c:v>Critical</c:v>
                </c:pt>
                <c:pt idx="2">
                  <c:v>Private setting</c:v>
                </c:pt>
                <c:pt idx="3">
                  <c:v>Unknown</c:v>
                </c:pt>
              </c:strCache>
            </c:strRef>
          </c:cat>
          <c:val>
            <c:numRef>
              <c:f>'Shelter Type'!$H$47:$H$50</c:f>
              <c:numCache>
                <c:formatCode>General</c:formatCode>
                <c:ptCount val="4"/>
                <c:pt idx="0">
                  <c:v>59838</c:v>
                </c:pt>
                <c:pt idx="1">
                  <c:v>18295</c:v>
                </c:pt>
                <c:pt idx="2">
                  <c:v>162490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5-4EDE-9C54-93EC4209E1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132523</xdr:colOff>
      <xdr:row>1</xdr:row>
      <xdr:rowOff>16565</xdr:rowOff>
    </xdr:from>
    <xdr:to>
      <xdr:col>9</xdr:col>
      <xdr:colOff>76334</xdr:colOff>
      <xdr:row>7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AC30B4-48F2-423C-91DA-1B7B2D18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175" y="223630"/>
          <a:ext cx="3008376" cy="132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211116</xdr:colOff>
      <xdr:row>27</xdr:row>
      <xdr:rowOff>142155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25C0EF-4570-4051-BF8E-D538BB3DC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593032</xdr:colOff>
      <xdr:row>41</xdr:row>
      <xdr:rowOff>141719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8E2FD-3802-4A94-B47B-BE3874180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145039</xdr:rowOff>
    </xdr:from>
    <xdr:to>
      <xdr:col>5</xdr:col>
      <xdr:colOff>781746</xdr:colOff>
      <xdr:row>72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E42057-FC94-4A44-874D-90B954CC7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WSHEEN Dwen" refreshedDate="43717.632254166667" createdVersion="6" refreshedVersion="6" minRefreshableVersion="3" recordCount="9" xr:uid="{B6560D59-DAB3-4DE4-B379-E18F41F360A2}">
  <cacheSource type="worksheet">
    <worksheetSource ref="A77:E86" sheet="Summary"/>
  </cacheSource>
  <cacheFields count="5">
    <cacheField name="Period of Displacement" numFmtId="0">
      <sharedItems count="9">
        <s v="Pre-June14 "/>
        <s v="June-July14 "/>
        <s v="August14"/>
        <s v="Post September14 "/>
        <s v="Post April15 "/>
        <s v="Post Mar2016"/>
        <s v="Post 17Oct2016"/>
        <s v="July 17"/>
        <s v="January 19"/>
      </sharedItems>
    </cacheField>
    <cacheField name="IDP Families " numFmtId="164">
      <sharedItems containsSemiMixedTypes="0" containsString="0" containsNumber="1" containsInteger="1" minValue="2799" maxValue="77351"/>
    </cacheField>
    <cacheField name="IDP Individuals" numFmtId="164">
      <sharedItems containsSemiMixedTypes="0" containsString="0" containsNumber="1" containsInteger="1" minValue="16794" maxValue="464106"/>
    </cacheField>
    <cacheField name="%" numFmtId="9">
      <sharedItems containsSemiMixedTypes="0" containsString="0" containsNumber="1" minValue="1.0814507435698307E-2" maxValue="0.29886136643754901"/>
    </cacheField>
    <cacheField name="rank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9726"/>
    <n v="58356"/>
    <n v="3.7578384894462927E-2"/>
    <n v="9"/>
  </r>
  <r>
    <x v="1"/>
    <n v="47047"/>
    <n v="282282"/>
    <n v="0.1817756810744188"/>
    <n v="8"/>
  </r>
  <r>
    <x v="2"/>
    <n v="77351"/>
    <n v="464106"/>
    <n v="0.29886136643754901"/>
    <n v="7"/>
  </r>
  <r>
    <x v="3"/>
    <n v="21990"/>
    <n v="131940"/>
    <n v="8.4962850486247146E-2"/>
    <n v="6"/>
  </r>
  <r>
    <x v="4"/>
    <n v="17419"/>
    <n v="104514"/>
    <n v="6.7301859600724837E-2"/>
    <n v="5"/>
  </r>
  <r>
    <x v="5"/>
    <n v="9095"/>
    <n v="54570"/>
    <n v="3.5140387684057195E-2"/>
    <n v="4"/>
  </r>
  <r>
    <x v="6"/>
    <n v="48300"/>
    <n v="289800"/>
    <n v="0.18661690215942414"/>
    <n v="3"/>
  </r>
  <r>
    <x v="7"/>
    <n v="25092"/>
    <n v="150552"/>
    <n v="9.6948060227417615E-2"/>
    <n v="2"/>
  </r>
  <r>
    <x v="8"/>
    <n v="2799"/>
    <n v="16794"/>
    <n v="1.0814507435698307E-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6A816A-4AC7-4558-8F3E-5BACE0898779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 chartFormat="1">
  <location ref="A1:D10" firstHeaderRow="0" firstDataRow="1" firstDataCol="1"/>
  <pivotFields count="5">
    <pivotField axis="axisRow" showAll="0" sortType="descending">
      <items count="10">
        <item x="2"/>
        <item x="7"/>
        <item x="1"/>
        <item x="6"/>
        <item x="4"/>
        <item x="5"/>
        <item x="3"/>
        <item x="0"/>
        <item x="8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numFmtId="164" showAll="0"/>
    <pivotField dataField="1" numFmtId="164" showAll="0"/>
    <pivotField dataField="1" numFmtId="9" showAll="0"/>
    <pivotField dataField="1" showAll="0"/>
  </pivotFields>
  <rowFields count="1">
    <field x="0"/>
  </rowFields>
  <rowItems count="9">
    <i>
      <x v="7"/>
    </i>
    <i>
      <x v="2"/>
    </i>
    <i>
      <x/>
    </i>
    <i>
      <x v="6"/>
    </i>
    <i>
      <x v="4"/>
    </i>
    <i>
      <x v="5"/>
    </i>
    <i>
      <x v="3"/>
    </i>
    <i>
      <x v="1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DP Individuals" fld="2" baseField="0" baseItem="0"/>
    <dataField name="Sum of %" fld="3" baseField="0" baseItem="0"/>
    <dataField name="Sum of rank" fld="4" baseField="0" baseItem="0"/>
  </dataFields>
  <formats count="5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6ABA-3AD9-4ADB-BBB9-9CF1AE2470CD}">
  <dimension ref="A10:N27"/>
  <sheetViews>
    <sheetView tabSelected="1" zoomScaleNormal="100" workbookViewId="0">
      <selection activeCell="A10" sqref="A10:N10"/>
    </sheetView>
  </sheetViews>
  <sheetFormatPr defaultRowHeight="17.100000000000001" customHeight="1" x14ac:dyDescent="0.35"/>
  <cols>
    <col min="1" max="13" width="9.140625" style="15"/>
    <col min="14" max="14" width="11.28515625" style="15" bestFit="1" customWidth="1"/>
    <col min="15" max="16384" width="9.140625" style="15"/>
  </cols>
  <sheetData>
    <row r="10" spans="1:14" ht="17.100000000000001" customHeight="1" x14ac:dyDescent="0.35">
      <c r="A10" s="99" t="s">
        <v>5932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17.100000000000001" customHeight="1" x14ac:dyDescent="0.35">
      <c r="B11" s="96"/>
      <c r="C11" s="100" t="s">
        <v>5931</v>
      </c>
      <c r="D11" s="101"/>
      <c r="E11" s="101"/>
      <c r="F11" s="101"/>
      <c r="G11" s="101"/>
      <c r="H11" s="101"/>
      <c r="I11" s="101"/>
      <c r="J11" s="101"/>
      <c r="K11" s="102"/>
      <c r="L11" s="96"/>
      <c r="M11" s="96"/>
      <c r="N11" s="96"/>
    </row>
    <row r="12" spans="1:14" ht="17.100000000000001" customHeight="1" x14ac:dyDescent="0.35">
      <c r="A12" s="96"/>
      <c r="B12" s="96"/>
      <c r="C12" s="103"/>
      <c r="D12" s="104"/>
      <c r="E12" s="104"/>
      <c r="F12" s="104"/>
      <c r="G12" s="104"/>
      <c r="H12" s="104"/>
      <c r="I12" s="104"/>
      <c r="J12" s="104"/>
      <c r="K12" s="105"/>
      <c r="L12" s="96"/>
      <c r="M12" s="96"/>
      <c r="N12" s="96"/>
    </row>
    <row r="13" spans="1:14" ht="17.100000000000001" customHeight="1" x14ac:dyDescent="0.3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ht="17.100000000000001" customHeight="1" x14ac:dyDescent="0.3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17.100000000000001" customHeight="1" x14ac:dyDescent="0.35">
      <c r="B15" s="94"/>
      <c r="C15" s="94"/>
      <c r="D15" s="94" t="s">
        <v>5813</v>
      </c>
      <c r="F15" s="94"/>
      <c r="G15" s="94"/>
      <c r="H15" s="94"/>
      <c r="I15" s="94"/>
      <c r="J15" s="94"/>
      <c r="K15" s="94"/>
      <c r="L15" s="94"/>
      <c r="M15" s="94"/>
      <c r="N15" s="94"/>
    </row>
    <row r="16" spans="1:14" ht="17.100000000000001" customHeight="1" x14ac:dyDescent="0.35">
      <c r="B16" s="93"/>
      <c r="C16" s="93"/>
      <c r="D16" s="93" t="s">
        <v>5765</v>
      </c>
      <c r="F16" s="93"/>
      <c r="G16" s="93"/>
      <c r="H16" s="93"/>
      <c r="I16" s="93"/>
      <c r="J16" s="93"/>
      <c r="K16" s="93"/>
      <c r="L16" s="93"/>
      <c r="M16" s="93"/>
      <c r="N16" s="93"/>
    </row>
    <row r="17" spans="2:14" ht="17.100000000000001" customHeight="1" x14ac:dyDescent="0.35">
      <c r="B17" s="93"/>
      <c r="C17" s="93"/>
      <c r="D17" s="93" t="s">
        <v>5781</v>
      </c>
      <c r="F17" s="93"/>
      <c r="G17" s="93"/>
      <c r="H17" s="93"/>
      <c r="I17" s="93"/>
      <c r="J17" s="93"/>
      <c r="K17" s="93"/>
      <c r="L17" s="93"/>
      <c r="M17" s="93"/>
      <c r="N17" s="93"/>
    </row>
    <row r="18" spans="2:14" ht="17.100000000000001" customHeight="1" x14ac:dyDescent="0.35">
      <c r="B18" s="93"/>
      <c r="C18" s="93"/>
      <c r="D18" s="93" t="s">
        <v>5858</v>
      </c>
      <c r="F18" s="93"/>
      <c r="G18" s="93"/>
      <c r="H18" s="93"/>
      <c r="I18" s="93"/>
      <c r="J18" s="93"/>
      <c r="K18" s="93"/>
      <c r="L18" s="93"/>
      <c r="M18" s="93"/>
      <c r="N18" s="93"/>
    </row>
    <row r="19" spans="2:14" ht="17.100000000000001" customHeight="1" x14ac:dyDescent="0.35">
      <c r="B19" s="93"/>
      <c r="C19" s="93"/>
      <c r="D19" s="93" t="s">
        <v>5791</v>
      </c>
      <c r="F19" s="93"/>
      <c r="G19" s="93"/>
      <c r="H19" s="93"/>
      <c r="I19" s="93"/>
      <c r="J19" s="93"/>
      <c r="K19" s="93"/>
      <c r="L19" s="93"/>
      <c r="M19" s="93"/>
      <c r="N19" s="93"/>
    </row>
    <row r="20" spans="2:14" ht="17.100000000000001" customHeight="1" x14ac:dyDescent="0.35">
      <c r="B20" s="93"/>
      <c r="C20" s="93"/>
      <c r="D20" s="93" t="s">
        <v>5762</v>
      </c>
      <c r="F20" s="93"/>
      <c r="G20" s="93"/>
      <c r="H20" s="93"/>
      <c r="I20" s="93"/>
      <c r="J20" s="93"/>
      <c r="K20" s="93"/>
      <c r="L20" s="93"/>
      <c r="M20" s="93"/>
      <c r="N20" s="93"/>
    </row>
    <row r="21" spans="2:14" ht="17.100000000000001" customHeight="1" x14ac:dyDescent="0.35">
      <c r="B21" s="71"/>
      <c r="C21" s="71"/>
      <c r="D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2:14" ht="17.100000000000001" customHeight="1" x14ac:dyDescent="0.35">
      <c r="B22" s="94"/>
      <c r="C22" s="94"/>
      <c r="D22" s="94" t="s">
        <v>5794</v>
      </c>
      <c r="F22" s="94"/>
      <c r="G22" s="94"/>
      <c r="H22" s="94"/>
      <c r="I22" s="94"/>
      <c r="J22" s="94"/>
      <c r="K22" s="94"/>
      <c r="L22" s="94"/>
      <c r="M22" s="94"/>
      <c r="N22" s="94"/>
    </row>
    <row r="23" spans="2:14" ht="17.100000000000001" customHeight="1" x14ac:dyDescent="0.35">
      <c r="B23" s="93"/>
      <c r="C23" s="93"/>
      <c r="D23" s="93" t="s">
        <v>5814</v>
      </c>
      <c r="F23" s="93"/>
      <c r="G23" s="92"/>
      <c r="H23" s="93"/>
      <c r="I23" s="93"/>
      <c r="J23" s="93"/>
      <c r="K23" s="93"/>
      <c r="L23" s="93"/>
      <c r="M23" s="93"/>
      <c r="N23" s="93"/>
    </row>
    <row r="24" spans="2:14" ht="17.100000000000001" customHeight="1" x14ac:dyDescent="0.35">
      <c r="B24" s="71"/>
      <c r="C24" s="71"/>
      <c r="D24" s="71"/>
      <c r="F24" s="71"/>
      <c r="G24" s="92"/>
      <c r="H24" s="71"/>
      <c r="I24" s="71"/>
      <c r="J24" s="71"/>
      <c r="K24" s="71"/>
      <c r="L24" s="71"/>
      <c r="M24" s="71"/>
      <c r="N24" s="71"/>
    </row>
    <row r="25" spans="2:14" ht="17.100000000000001" customHeight="1" x14ac:dyDescent="0.35">
      <c r="B25" s="94"/>
      <c r="C25" s="94"/>
      <c r="D25" s="94" t="s">
        <v>5795</v>
      </c>
      <c r="F25" s="94"/>
      <c r="G25" s="94"/>
      <c r="H25" s="94"/>
      <c r="I25" s="94"/>
      <c r="J25" s="94"/>
      <c r="K25" s="94"/>
      <c r="L25" s="94"/>
      <c r="M25" s="94"/>
      <c r="N25" s="94"/>
    </row>
    <row r="26" spans="2:14" ht="17.100000000000001" customHeight="1" x14ac:dyDescent="0.35">
      <c r="B26" s="93"/>
      <c r="C26" s="93"/>
      <c r="D26" s="93" t="s">
        <v>5793</v>
      </c>
      <c r="F26" s="93"/>
      <c r="G26" s="92"/>
      <c r="H26" s="93"/>
      <c r="I26" s="93"/>
      <c r="J26" s="93"/>
      <c r="K26" s="93"/>
      <c r="L26" s="93"/>
      <c r="M26" s="93"/>
      <c r="N26" s="93"/>
    </row>
    <row r="27" spans="2:14" ht="17.100000000000001" customHeight="1" x14ac:dyDescent="0.35">
      <c r="B27" s="93"/>
      <c r="C27" s="93"/>
      <c r="D27" s="93" t="s">
        <v>5859</v>
      </c>
      <c r="F27" s="93"/>
      <c r="G27" s="93"/>
      <c r="H27" s="93"/>
      <c r="I27" s="93"/>
      <c r="J27" s="93"/>
      <c r="K27" s="93"/>
      <c r="L27" s="93"/>
      <c r="M27" s="93"/>
      <c r="N27" s="93"/>
    </row>
  </sheetData>
  <mergeCells count="2">
    <mergeCell ref="A10:N10"/>
    <mergeCell ref="C11:K12"/>
  </mergeCells>
  <hyperlinks>
    <hyperlink ref="D16" location="Shelter_Type" display="Shelter Type" xr:uid="{854711F9-48F2-4138-8E96-E222C1FF5A81}"/>
    <hyperlink ref="D17" location="Governorate_of_Origin" display="Governorate of Origin" xr:uid="{CB053657-203B-47A4-9494-E720A4E18ECD}"/>
    <hyperlink ref="D18" location="IDP_Per_of_Disp_and_Gov_of_Dis" display="Period of Displacement and Governorate of Displacement" xr:uid="{239F9121-ABB2-40A7-A392-E2D2E63D43EE}"/>
    <hyperlink ref="D19" location="Period_of_Displacement" display="Period of Displacement alone" xr:uid="{3BF64811-C14C-4302-B835-144B232DD9B2}"/>
    <hyperlink ref="D20" location="District_of_Displacement" display="District of Displacement" xr:uid="{FCCE54A0-DBF0-4150-BFBC-610E074EC53F}"/>
    <hyperlink ref="D23" location="'DTM DATASET'!A1" display="The whole dataset is located DTM DATASET tab." xr:uid="{49F474F1-82C2-426A-8347-66FA936937A5}"/>
    <hyperlink ref="D26" location="'Period of Displacement'!A1" display="Period of Displacement includes a chart that shows the number of IDPs by Period of Displacement " xr:uid="{BD0AAAA6-D176-4D5E-8A28-80D0EB283F42}"/>
    <hyperlink ref="D27" location="'Shelter Type'!A1" display="Shelter Type is a breakdown chart  that shows Shelter Type by Governorate of Displacement" xr:uid="{729D85FD-4B3B-49B6-936C-E2E8A58EFD5E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0D22-B627-4FF5-9BBD-49EF5FE548EC}">
  <dimension ref="A1:Q197"/>
  <sheetViews>
    <sheetView zoomScaleNormal="100" workbookViewId="0">
      <selection activeCell="C4" sqref="C4"/>
    </sheetView>
  </sheetViews>
  <sheetFormatPr defaultColWidth="15.7109375" defaultRowHeight="12.75" x14ac:dyDescent="0.25"/>
  <cols>
    <col min="1" max="16384" width="15.7109375" style="22"/>
  </cols>
  <sheetData>
    <row r="1" spans="1:17" x14ac:dyDescent="0.25">
      <c r="A1" s="106" t="s">
        <v>5758</v>
      </c>
      <c r="B1" s="106"/>
      <c r="C1" s="21"/>
    </row>
    <row r="2" spans="1:17" x14ac:dyDescent="0.25">
      <c r="A2" s="23" t="s">
        <v>5759</v>
      </c>
      <c r="B2" s="24">
        <f>SUMPRODUCT(1/COUNTIF('DTM Dataset'!C4:C3069,'DTM Dataset'!C4:C3069&amp;""))</f>
        <v>103.999999999998</v>
      </c>
      <c r="C2" s="21"/>
    </row>
    <row r="3" spans="1:17" x14ac:dyDescent="0.25">
      <c r="A3" s="23" t="s">
        <v>5760</v>
      </c>
      <c r="B3" s="24">
        <f>COUNT('DTM Dataset'!A:A)</f>
        <v>3066</v>
      </c>
      <c r="C3" s="21"/>
      <c r="E3" s="73"/>
    </row>
    <row r="4" spans="1:17" x14ac:dyDescent="0.25">
      <c r="A4" s="23" t="s">
        <v>5861</v>
      </c>
      <c r="B4" s="24">
        <f>SUM('DTM Dataset'!H:H)</f>
        <v>240750</v>
      </c>
      <c r="C4" s="21"/>
    </row>
    <row r="5" spans="1:17" x14ac:dyDescent="0.25">
      <c r="A5" s="23" t="s">
        <v>5761</v>
      </c>
      <c r="B5" s="24">
        <f>SUM('DTM Dataset'!I:I)</f>
        <v>1444500</v>
      </c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7" x14ac:dyDescent="0.25">
      <c r="N6" s="21"/>
    </row>
    <row r="7" spans="1:17" x14ac:dyDescent="0.25">
      <c r="A7" s="27" t="s">
        <v>5815</v>
      </c>
      <c r="N7" s="21"/>
    </row>
    <row r="8" spans="1:17" s="31" customFormat="1" x14ac:dyDescent="0.2">
      <c r="A8" s="28" t="s">
        <v>5764</v>
      </c>
      <c r="B8" s="108" t="s">
        <v>5765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  <c r="N8" s="29"/>
      <c r="O8" s="30"/>
      <c r="P8" s="30"/>
      <c r="Q8" s="30"/>
    </row>
    <row r="9" spans="1:17" s="31" customFormat="1" ht="25.5" x14ac:dyDescent="0.2">
      <c r="A9" s="32" t="s">
        <v>5790</v>
      </c>
      <c r="B9" s="32" t="s">
        <v>30</v>
      </c>
      <c r="C9" s="32" t="s">
        <v>31</v>
      </c>
      <c r="D9" s="32" t="s">
        <v>32</v>
      </c>
      <c r="E9" s="32" t="s">
        <v>33</v>
      </c>
      <c r="F9" s="32" t="s">
        <v>34</v>
      </c>
      <c r="G9" s="32" t="s">
        <v>35</v>
      </c>
      <c r="H9" s="32" t="s">
        <v>5766</v>
      </c>
      <c r="I9" s="32" t="s">
        <v>5767</v>
      </c>
      <c r="J9" s="32" t="s">
        <v>38</v>
      </c>
      <c r="K9" s="32" t="s">
        <v>39</v>
      </c>
      <c r="L9" s="32" t="s">
        <v>5788</v>
      </c>
      <c r="M9" s="32" t="s">
        <v>40</v>
      </c>
      <c r="N9" s="32" t="s">
        <v>5763</v>
      </c>
      <c r="O9" s="30"/>
      <c r="P9" s="30"/>
      <c r="Q9" s="30"/>
    </row>
    <row r="10" spans="1:17" s="31" customFormat="1" x14ac:dyDescent="0.2">
      <c r="A10" s="33" t="s">
        <v>12</v>
      </c>
      <c r="B10" s="34">
        <f>SUMIF('DTM Dataset'!B:B,A10,'DTM Dataset'!AB:AB)</f>
        <v>1847</v>
      </c>
      <c r="C10" s="34">
        <f>SUMIF('DTM Dataset'!B:B,A10,'DTM Dataset'!AC:AC)</f>
        <v>940</v>
      </c>
      <c r="D10" s="34">
        <f>SUMIF('DTM Dataset'!B:B,A10,'DTM Dataset'!AD:AD)</f>
        <v>0</v>
      </c>
      <c r="E10" s="34">
        <f>SUMIF('DTM Dataset'!B:B,A10,'DTM Dataset'!AE:AE)</f>
        <v>1277</v>
      </c>
      <c r="F10" s="34">
        <f>SUMIF('DTM Dataset'!B:B,A10,'DTM Dataset'!AF:AF)</f>
        <v>40</v>
      </c>
      <c r="G10" s="34">
        <f>SUMIF('DTM Dataset'!B:B,A10,'DTM Dataset'!AG:AG)</f>
        <v>0</v>
      </c>
      <c r="H10" s="34">
        <f>SUMIF('DTM Dataset'!B:B,A10,'DTM Dataset'!AH:AH)</f>
        <v>924</v>
      </c>
      <c r="I10" s="35">
        <f>SUMIF('DTM Dataset'!B:B,A10,'DTM Dataset'!AI:AI)</f>
        <v>0</v>
      </c>
      <c r="J10" s="34">
        <f>SUMIF('DTM Dataset'!B:B,A10,'DTM Dataset'!AJ:AJ)</f>
        <v>0</v>
      </c>
      <c r="K10" s="34">
        <f>SUMIF('DTM Dataset'!B:B,A10,'DTM Dataset'!AK:AK)</f>
        <v>9</v>
      </c>
      <c r="L10" s="34">
        <f>SUMIF('DTM Dataset'!B:B,A10,'DTM Dataset'!AL:AL)</f>
        <v>0</v>
      </c>
      <c r="M10" s="34">
        <f>SUMIF('DTM Dataset'!B:B,B10,'DTM Dataset'!AM:AM)</f>
        <v>0</v>
      </c>
      <c r="N10" s="36">
        <f>SUM(B10:M10)</f>
        <v>5037</v>
      </c>
      <c r="O10" s="30"/>
      <c r="P10" s="30"/>
      <c r="Q10" s="30"/>
    </row>
    <row r="11" spans="1:17" s="31" customFormat="1" x14ac:dyDescent="0.2">
      <c r="A11" s="33" t="s">
        <v>13</v>
      </c>
      <c r="B11" s="34">
        <f>SUMIF('DTM Dataset'!B:B,A11,'DTM Dataset'!AB:AB)</f>
        <v>0</v>
      </c>
      <c r="C11" s="34">
        <f>SUMIF('DTM Dataset'!B:B,A11,'DTM Dataset'!AC:AC)</f>
        <v>161</v>
      </c>
      <c r="D11" s="34">
        <f>SUMIF('DTM Dataset'!B:B,A11,'DTM Dataset'!AD:AD)</f>
        <v>10</v>
      </c>
      <c r="E11" s="34">
        <f>SUMIF('DTM Dataset'!B:B,A11,'DTM Dataset'!AE:AE)</f>
        <v>68</v>
      </c>
      <c r="F11" s="34">
        <f>SUMIF('DTM Dataset'!B:B,A11,'DTM Dataset'!AF:AF)</f>
        <v>0</v>
      </c>
      <c r="G11" s="34">
        <f>SUMIF('DTM Dataset'!B:B,A11,'DTM Dataset'!AG:AG)</f>
        <v>3</v>
      </c>
      <c r="H11" s="34">
        <f>SUMIF('DTM Dataset'!B:B,A11,'DTM Dataset'!AH:AH)</f>
        <v>2556</v>
      </c>
      <c r="I11" s="35">
        <f>SUMIF('DTM Dataset'!B:B,A11,'DTM Dataset'!AI:AI)</f>
        <v>0</v>
      </c>
      <c r="J11" s="34">
        <f>SUMIF('DTM Dataset'!B:B,A11,'DTM Dataset'!AJ:AJ)</f>
        <v>0</v>
      </c>
      <c r="K11" s="34">
        <f>SUMIF('DTM Dataset'!B:B,A11,'DTM Dataset'!AK:AK)</f>
        <v>6</v>
      </c>
      <c r="L11" s="34">
        <f>SUMIF('DTM Dataset'!B:B,A11,'DTM Dataset'!AL:AL)</f>
        <v>76</v>
      </c>
      <c r="M11" s="34">
        <f>SUMIF('DTM Dataset'!B:B,A11,'DTM Dataset'!AM:AM)</f>
        <v>0</v>
      </c>
      <c r="N11" s="36">
        <f t="shared" ref="N11:N28" si="0">SUM(B11:M11)</f>
        <v>2880</v>
      </c>
      <c r="O11" s="30"/>
      <c r="P11" s="30"/>
      <c r="Q11" s="30"/>
    </row>
    <row r="12" spans="1:17" s="31" customFormat="1" x14ac:dyDescent="0.2">
      <c r="A12" s="33" t="s">
        <v>14</v>
      </c>
      <c r="B12" s="34">
        <f>SUMIF('DTM Dataset'!B:B,A12,'DTM Dataset'!AB:AB)</f>
        <v>491</v>
      </c>
      <c r="C12" s="34">
        <f>SUMIF('DTM Dataset'!B:B,A12,'DTM Dataset'!AC:AC)</f>
        <v>2257</v>
      </c>
      <c r="D12" s="34">
        <f>SUMIF('DTM Dataset'!B:B,A12,'DTM Dataset'!AD:AD)</f>
        <v>0</v>
      </c>
      <c r="E12" s="34">
        <f>SUMIF('DTM Dataset'!B:B,A12,'DTM Dataset'!AE:AE)</f>
        <v>158</v>
      </c>
      <c r="F12" s="34">
        <f>SUMIF('DTM Dataset'!B:B,A12,'DTM Dataset'!AF:AF)</f>
        <v>0</v>
      </c>
      <c r="G12" s="34">
        <f>SUMIF('DTM Dataset'!B:B,A12,'DTM Dataset'!AG:AG)</f>
        <v>15</v>
      </c>
      <c r="H12" s="34">
        <f>SUMIF('DTM Dataset'!B:B,A12,'DTM Dataset'!AH:AH)</f>
        <v>4044</v>
      </c>
      <c r="I12" s="35">
        <f>SUMIF('DTM Dataset'!B:B,A12,'DTM Dataset'!AI:AI)</f>
        <v>252</v>
      </c>
      <c r="J12" s="34">
        <f>SUMIF('DTM Dataset'!B:B,A12,'DTM Dataset'!AJ:AJ)</f>
        <v>14</v>
      </c>
      <c r="K12" s="34">
        <f>SUMIF('DTM Dataset'!B:B,A12,'DTM Dataset'!AK:AK)</f>
        <v>88</v>
      </c>
      <c r="L12" s="34">
        <f>SUMIF('DTM Dataset'!B:B,A12,'DTM Dataset'!AL:AL)</f>
        <v>114</v>
      </c>
      <c r="M12" s="34">
        <f>SUMIF('DTM Dataset'!B:B,A12,'DTM Dataset'!AM:AM)</f>
        <v>0</v>
      </c>
      <c r="N12" s="36">
        <f t="shared" si="0"/>
        <v>7433</v>
      </c>
      <c r="O12" s="30"/>
      <c r="P12" s="30"/>
      <c r="Q12" s="30"/>
    </row>
    <row r="13" spans="1:17" s="31" customFormat="1" x14ac:dyDescent="0.2">
      <c r="A13" s="33" t="s">
        <v>15</v>
      </c>
      <c r="B13" s="34">
        <f>SUMIF('DTM Dataset'!B:B,A13,'DTM Dataset'!AB:AB)</f>
        <v>0</v>
      </c>
      <c r="C13" s="34">
        <f>SUMIF('DTM Dataset'!B:B,A13,'DTM Dataset'!AC:AC)</f>
        <v>285</v>
      </c>
      <c r="D13" s="34">
        <f>SUMIF('DTM Dataset'!B:B,A13,'DTM Dataset'!AD:AD)</f>
        <v>26</v>
      </c>
      <c r="E13" s="34">
        <f>SUMIF('DTM Dataset'!B:B,A13,'DTM Dataset'!AE:AE)</f>
        <v>56</v>
      </c>
      <c r="F13" s="34">
        <f>SUMIF('DTM Dataset'!B:B,A13,'DTM Dataset'!AF:AF)</f>
        <v>0</v>
      </c>
      <c r="G13" s="34">
        <f>SUMIF('DTM Dataset'!B:B,A13,'DTM Dataset'!AG:AG)</f>
        <v>3</v>
      </c>
      <c r="H13" s="34">
        <f>SUMIF('DTM Dataset'!B:B,A13,'DTM Dataset'!AH:AH)</f>
        <v>720</v>
      </c>
      <c r="I13" s="35">
        <f>SUMIF('DTM Dataset'!B:B,A13,'DTM Dataset'!AI:AI)</f>
        <v>0</v>
      </c>
      <c r="J13" s="34">
        <f>SUMIF('DTM Dataset'!B:B,A13,'DTM Dataset'!AJ:AJ)</f>
        <v>2</v>
      </c>
      <c r="K13" s="34">
        <f>SUMIF('DTM Dataset'!B:B,A13,'DTM Dataset'!AK:AK)</f>
        <v>3</v>
      </c>
      <c r="L13" s="34">
        <f>SUMIF('DTM Dataset'!B:B,A13,'DTM Dataset'!AL:AL)</f>
        <v>15</v>
      </c>
      <c r="M13" s="34">
        <f>SUMIF('DTM Dataset'!B:B,A13,'DTM Dataset'!AM:AM)</f>
        <v>0</v>
      </c>
      <c r="N13" s="36">
        <f t="shared" si="0"/>
        <v>1110</v>
      </c>
      <c r="O13" s="30"/>
      <c r="P13" s="30"/>
      <c r="Q13" s="30"/>
    </row>
    <row r="14" spans="1:17" s="31" customFormat="1" x14ac:dyDescent="0.2">
      <c r="A14" s="33" t="s">
        <v>16</v>
      </c>
      <c r="B14" s="34">
        <f>SUMIF('DTM Dataset'!B:B,A14,'DTM Dataset'!AB:AB)</f>
        <v>25273</v>
      </c>
      <c r="C14" s="34">
        <f>SUMIF('DTM Dataset'!B:B,A14,'DTM Dataset'!AC:AC)</f>
        <v>3444</v>
      </c>
      <c r="D14" s="34">
        <f>SUMIF('DTM Dataset'!B:B,A14,'DTM Dataset'!AD:AD)</f>
        <v>85</v>
      </c>
      <c r="E14" s="34">
        <f>SUMIF('DTM Dataset'!B:B,A14,'DTM Dataset'!AE:AE)</f>
        <v>2316</v>
      </c>
      <c r="F14" s="34">
        <f>SUMIF('DTM Dataset'!B:B,A14,'DTM Dataset'!AF:AF)</f>
        <v>0</v>
      </c>
      <c r="G14" s="34">
        <f>SUMIF('DTM Dataset'!B:B,A14,'DTM Dataset'!AG:AG)</f>
        <v>6</v>
      </c>
      <c r="H14" s="34">
        <f>SUMIF('DTM Dataset'!B:B,A14,'DTM Dataset'!AH:AH)</f>
        <v>17753</v>
      </c>
      <c r="I14" s="35">
        <f>SUMIF('DTM Dataset'!B:B,A14,'DTM Dataset'!AI:AI)</f>
        <v>0</v>
      </c>
      <c r="J14" s="34">
        <f>SUMIF('DTM Dataset'!B:B,A14,'DTM Dataset'!AJ:AJ)</f>
        <v>0</v>
      </c>
      <c r="K14" s="34">
        <f>SUMIF('DTM Dataset'!B:B,A14,'DTM Dataset'!AK:AK)</f>
        <v>3784</v>
      </c>
      <c r="L14" s="34">
        <f>SUMIF('DTM Dataset'!B:B,A14,'DTM Dataset'!AL:AL)</f>
        <v>626</v>
      </c>
      <c r="M14" s="34">
        <f>SUMIF('DTM Dataset'!B:B,A14,'DTM Dataset'!AM:AM)</f>
        <v>0</v>
      </c>
      <c r="N14" s="36">
        <f t="shared" si="0"/>
        <v>53287</v>
      </c>
      <c r="O14" s="30"/>
      <c r="P14" s="30"/>
      <c r="Q14" s="30"/>
    </row>
    <row r="15" spans="1:17" s="31" customFormat="1" x14ac:dyDescent="0.2">
      <c r="A15" s="33" t="s">
        <v>17</v>
      </c>
      <c r="B15" s="34">
        <f>SUMIF('DTM Dataset'!B:B,A15,'DTM Dataset'!AB:AB)</f>
        <v>1140</v>
      </c>
      <c r="C15" s="34">
        <f>SUMIF('DTM Dataset'!B:B,A15,'DTM Dataset'!AC:AC)</f>
        <v>1503</v>
      </c>
      <c r="D15" s="34">
        <f>SUMIF('DTM Dataset'!B:B,A15,'DTM Dataset'!AD:AD)</f>
        <v>0</v>
      </c>
      <c r="E15" s="34">
        <f>SUMIF('DTM Dataset'!B:B,A15,'DTM Dataset'!AE:AE)</f>
        <v>0</v>
      </c>
      <c r="F15" s="34">
        <f>SUMIF('DTM Dataset'!B:B,A15,'DTM Dataset'!AF:AF)</f>
        <v>0</v>
      </c>
      <c r="G15" s="34">
        <f>SUMIF('DTM Dataset'!B:B,A15,'DTM Dataset'!AG:AG)</f>
        <v>0</v>
      </c>
      <c r="H15" s="34">
        <f>SUMIF('DTM Dataset'!B:B,A15,'DTM Dataset'!AH:AH)</f>
        <v>6023</v>
      </c>
      <c r="I15" s="35">
        <f>SUMIF('DTM Dataset'!B:B,A15,'DTM Dataset'!AI:AI)</f>
        <v>196</v>
      </c>
      <c r="J15" s="34">
        <f>SUMIF('DTM Dataset'!B:B,A15,'DTM Dataset'!AJ:AJ)</f>
        <v>0</v>
      </c>
      <c r="K15" s="34">
        <f>SUMIF('DTM Dataset'!B:B,A15,'DTM Dataset'!AK:AK)</f>
        <v>120</v>
      </c>
      <c r="L15" s="34">
        <f>SUMIF('DTM Dataset'!B:B,A15,'DTM Dataset'!AL:AL)</f>
        <v>0</v>
      </c>
      <c r="M15" s="34">
        <f>SUMIF('DTM Dataset'!B:B,A15,'DTM Dataset'!AM:AM)</f>
        <v>0</v>
      </c>
      <c r="N15" s="36">
        <f t="shared" si="0"/>
        <v>8982</v>
      </c>
      <c r="O15" s="30"/>
      <c r="P15" s="72"/>
      <c r="Q15" s="30"/>
    </row>
    <row r="16" spans="1:17" s="31" customFormat="1" x14ac:dyDescent="0.2">
      <c r="A16" s="33" t="s">
        <v>18</v>
      </c>
      <c r="B16" s="34">
        <f>SUMIF('DTM Dataset'!B:B,A16,'DTM Dataset'!AB:AB)</f>
        <v>3032</v>
      </c>
      <c r="C16" s="34">
        <f>SUMIF('DTM Dataset'!B:B,A16,'DTM Dataset'!AC:AC)</f>
        <v>63</v>
      </c>
      <c r="D16" s="34">
        <f>SUMIF('DTM Dataset'!B:B,A16,'DTM Dataset'!AD:AD)</f>
        <v>38</v>
      </c>
      <c r="E16" s="34">
        <f>SUMIF('DTM Dataset'!B:B,A16,'DTM Dataset'!AE:AE)</f>
        <v>172</v>
      </c>
      <c r="F16" s="34">
        <f>SUMIF('DTM Dataset'!B:B,A16,'DTM Dataset'!AF:AF)</f>
        <v>0</v>
      </c>
      <c r="G16" s="34">
        <f>SUMIF('DTM Dataset'!B:B,A16,'DTM Dataset'!AG:AG)</f>
        <v>0</v>
      </c>
      <c r="H16" s="34">
        <f>SUMIF('DTM Dataset'!B:B,A16,'DTM Dataset'!AH:AH)</f>
        <v>37240</v>
      </c>
      <c r="I16" s="35">
        <f>SUMIF('DTM Dataset'!B:B,A16,'DTM Dataset'!AI:AI)</f>
        <v>0</v>
      </c>
      <c r="J16" s="34">
        <f>SUMIF('DTM Dataset'!B:B,A16,'DTM Dataset'!AJ:AJ)</f>
        <v>0</v>
      </c>
      <c r="K16" s="34">
        <f>SUMIF('DTM Dataset'!B:B,A16,'DTM Dataset'!AK:AK)</f>
        <v>45</v>
      </c>
      <c r="L16" s="34">
        <f>SUMIF('DTM Dataset'!B:B,A16,'DTM Dataset'!AL:AL)</f>
        <v>150</v>
      </c>
      <c r="M16" s="34">
        <f>SUMIF('DTM Dataset'!B:B,A16,'DTM Dataset'!AM:AM)</f>
        <v>0</v>
      </c>
      <c r="N16" s="36">
        <f t="shared" si="0"/>
        <v>40740</v>
      </c>
      <c r="O16" s="30"/>
      <c r="P16" s="30"/>
      <c r="Q16" s="30"/>
    </row>
    <row r="17" spans="1:17" s="31" customFormat="1" x14ac:dyDescent="0.2">
      <c r="A17" s="33" t="s">
        <v>19</v>
      </c>
      <c r="B17" s="34">
        <f>SUMIF('DTM Dataset'!B:B,A17,'DTM Dataset'!AB:AB)</f>
        <v>179</v>
      </c>
      <c r="C17" s="34">
        <f>SUMIF('DTM Dataset'!B:B,A17,'DTM Dataset'!AC:AC)</f>
        <v>19</v>
      </c>
      <c r="D17" s="34">
        <f>SUMIF('DTM Dataset'!B:B,A17,'DTM Dataset'!AD:AD)</f>
        <v>0</v>
      </c>
      <c r="E17" s="34">
        <f>SUMIF('DTM Dataset'!B:B,A17,'DTM Dataset'!AE:AE)</f>
        <v>2</v>
      </c>
      <c r="F17" s="34">
        <f>SUMIF('DTM Dataset'!B:B,A17,'DTM Dataset'!AF:AF)</f>
        <v>0</v>
      </c>
      <c r="G17" s="34">
        <f>SUMIF('DTM Dataset'!B:B,A17,'DTM Dataset'!AG:AG)</f>
        <v>46</v>
      </c>
      <c r="H17" s="34">
        <f>SUMIF('DTM Dataset'!B:B,A17,'DTM Dataset'!AH:AH)</f>
        <v>2051</v>
      </c>
      <c r="I17" s="35">
        <f>SUMIF('DTM Dataset'!B:B,A17,'DTM Dataset'!AI:AI)</f>
        <v>12</v>
      </c>
      <c r="J17" s="34">
        <f>SUMIF('DTM Dataset'!B:B,A17,'DTM Dataset'!AJ:AJ)</f>
        <v>0</v>
      </c>
      <c r="K17" s="34">
        <f>SUMIF('DTM Dataset'!B:B,A17,'DTM Dataset'!AK:AK)</f>
        <v>0</v>
      </c>
      <c r="L17" s="34">
        <f>SUMIF('DTM Dataset'!B:B,A17,'DTM Dataset'!AL:AL)</f>
        <v>596</v>
      </c>
      <c r="M17" s="34">
        <f>SUMIF('DTM Dataset'!B:B,A17,'DTM Dataset'!AM:AM)</f>
        <v>0</v>
      </c>
      <c r="N17" s="36">
        <f t="shared" si="0"/>
        <v>2905</v>
      </c>
      <c r="O17" s="30"/>
      <c r="P17" s="30"/>
      <c r="Q17" s="30"/>
    </row>
    <row r="18" spans="1:17" s="31" customFormat="1" x14ac:dyDescent="0.2">
      <c r="A18" s="33" t="s">
        <v>20</v>
      </c>
      <c r="B18" s="34">
        <f>SUMIF('DTM Dataset'!B:B,A18,'DTM Dataset'!AB:AB)</f>
        <v>1985</v>
      </c>
      <c r="C18" s="34">
        <f>SUMIF('DTM Dataset'!B:B,A18,'DTM Dataset'!AC:AC)</f>
        <v>570</v>
      </c>
      <c r="D18" s="34">
        <f>SUMIF('DTM Dataset'!B:B,A18,'DTM Dataset'!AD:AD)</f>
        <v>0</v>
      </c>
      <c r="E18" s="34">
        <f>SUMIF('DTM Dataset'!B:B,A18,'DTM Dataset'!AE:AE)</f>
        <v>1177</v>
      </c>
      <c r="F18" s="34">
        <f>SUMIF('DTM Dataset'!B:B,A18,'DTM Dataset'!AF:AF)</f>
        <v>0</v>
      </c>
      <c r="G18" s="34">
        <f>SUMIF('DTM Dataset'!B:B,A18,'DTM Dataset'!AG:AG)</f>
        <v>0</v>
      </c>
      <c r="H18" s="34">
        <f>SUMIF('DTM Dataset'!B:B,A18,'DTM Dataset'!AH:AH)</f>
        <v>12664</v>
      </c>
      <c r="I18" s="35">
        <f>SUMIF('DTM Dataset'!B:B,A18,'DTM Dataset'!AI:AI)</f>
        <v>203</v>
      </c>
      <c r="J18" s="34">
        <f>SUMIF('DTM Dataset'!B:B,A18,'DTM Dataset'!AJ:AJ)</f>
        <v>0</v>
      </c>
      <c r="K18" s="34">
        <f>SUMIF('DTM Dataset'!B:B,A18,'DTM Dataset'!AK:AK)</f>
        <v>51</v>
      </c>
      <c r="L18" s="34">
        <f>SUMIF('DTM Dataset'!B:B,A18,'DTM Dataset'!AL:AL)</f>
        <v>197</v>
      </c>
      <c r="M18" s="34">
        <f>SUMIF('DTM Dataset'!B:B,A18,'DTM Dataset'!AM:AM)</f>
        <v>0</v>
      </c>
      <c r="N18" s="36">
        <f t="shared" si="0"/>
        <v>16847</v>
      </c>
      <c r="O18" s="30"/>
      <c r="P18" s="30"/>
      <c r="Q18" s="30"/>
    </row>
    <row r="19" spans="1:17" s="31" customFormat="1" x14ac:dyDescent="0.2">
      <c r="A19" s="33" t="s">
        <v>21</v>
      </c>
      <c r="B19" s="34">
        <f>SUMIF('DTM Dataset'!B:B,A19,'DTM Dataset'!AB:AB)</f>
        <v>0</v>
      </c>
      <c r="C19" s="34">
        <f>SUMIF('DTM Dataset'!B:B,A19,'DTM Dataset'!AC:AC)</f>
        <v>155</v>
      </c>
      <c r="D19" s="34">
        <f>SUMIF('DTM Dataset'!B:B,A19,'DTM Dataset'!AD:AD)</f>
        <v>0</v>
      </c>
      <c r="E19" s="34">
        <f>SUMIF('DTM Dataset'!B:B,A19,'DTM Dataset'!AE:AE)</f>
        <v>38</v>
      </c>
      <c r="F19" s="34">
        <f>SUMIF('DTM Dataset'!B:B,A19,'DTM Dataset'!AF:AF)</f>
        <v>2</v>
      </c>
      <c r="G19" s="34">
        <f>SUMIF('DTM Dataset'!B:B,A19,'DTM Dataset'!AG:AG)</f>
        <v>2</v>
      </c>
      <c r="H19" s="34">
        <f>SUMIF('DTM Dataset'!B:B,A19,'DTM Dataset'!AH:AH)</f>
        <v>187</v>
      </c>
      <c r="I19" s="35">
        <f>SUMIF('DTM Dataset'!B:B,A19,'DTM Dataset'!AI:AI)</f>
        <v>0</v>
      </c>
      <c r="J19" s="34">
        <f>SUMIF('DTM Dataset'!B:B,A19,'DTM Dataset'!AJ:AJ)</f>
        <v>3</v>
      </c>
      <c r="K19" s="34">
        <f>SUMIF('DTM Dataset'!B:B,A19,'DTM Dataset'!AK:AK)</f>
        <v>0</v>
      </c>
      <c r="L19" s="34">
        <f>SUMIF('DTM Dataset'!B:B,A19,'DTM Dataset'!AL:AL)</f>
        <v>0</v>
      </c>
      <c r="M19" s="34">
        <f>SUMIF('DTM Dataset'!B:B,A19,'DTM Dataset'!AM:AM)</f>
        <v>0</v>
      </c>
      <c r="N19" s="36">
        <f t="shared" si="0"/>
        <v>387</v>
      </c>
      <c r="O19" s="30"/>
      <c r="P19" s="30"/>
      <c r="Q19" s="30"/>
    </row>
    <row r="20" spans="1:17" s="31" customFormat="1" x14ac:dyDescent="0.2">
      <c r="A20" s="33" t="s">
        <v>22</v>
      </c>
      <c r="B20" s="34">
        <f>SUMIF('DTM Dataset'!B:B,A20,'DTM Dataset'!AB:AB)</f>
        <v>0</v>
      </c>
      <c r="C20" s="34">
        <f>SUMIF('DTM Dataset'!B:B,A20,'DTM Dataset'!AC:AC)</f>
        <v>48</v>
      </c>
      <c r="D20" s="34">
        <f>SUMIF('DTM Dataset'!B:B,A20,'DTM Dataset'!AD:AD)</f>
        <v>0</v>
      </c>
      <c r="E20" s="34">
        <f>SUMIF('DTM Dataset'!B:B,A20,'DTM Dataset'!AE:AE)</f>
        <v>0</v>
      </c>
      <c r="F20" s="34">
        <f>SUMIF('DTM Dataset'!B:B,A20,'DTM Dataset'!AF:AF)</f>
        <v>0</v>
      </c>
      <c r="G20" s="34">
        <f>SUMIF('DTM Dataset'!B:B,A20,'DTM Dataset'!AG:AG)</f>
        <v>2</v>
      </c>
      <c r="H20" s="34">
        <f>SUMIF('DTM Dataset'!B:B,A20,'DTM Dataset'!AH:AH)</f>
        <v>124</v>
      </c>
      <c r="I20" s="35">
        <f>SUMIF('DTM Dataset'!B:B,A20,'DTM Dataset'!AI:AI)</f>
        <v>0</v>
      </c>
      <c r="J20" s="34">
        <f>SUMIF('DTM Dataset'!B:B,A20,'DTM Dataset'!AJ:AJ)</f>
        <v>0</v>
      </c>
      <c r="K20" s="34">
        <f>SUMIF('DTM Dataset'!B:B,A20,'DTM Dataset'!AK:AK)</f>
        <v>5</v>
      </c>
      <c r="L20" s="34">
        <f>SUMIF('DTM Dataset'!B:B,A20,'DTM Dataset'!AL:AL)</f>
        <v>0</v>
      </c>
      <c r="M20" s="34">
        <f>SUMIF('DTM Dataset'!B:B,A20,'DTM Dataset'!AM:AM)</f>
        <v>0</v>
      </c>
      <c r="N20" s="36">
        <f t="shared" si="0"/>
        <v>179</v>
      </c>
      <c r="O20" s="30"/>
      <c r="P20" s="30"/>
      <c r="Q20" s="30"/>
    </row>
    <row r="21" spans="1:17" s="31" customFormat="1" x14ac:dyDescent="0.2">
      <c r="A21" s="33" t="s">
        <v>23</v>
      </c>
      <c r="B21" s="34">
        <f>SUMIF('DTM Dataset'!B:B,A21,'DTM Dataset'!AB:AB)</f>
        <v>185</v>
      </c>
      <c r="C21" s="34">
        <f>SUMIF('DTM Dataset'!B:B,A21,'DTM Dataset'!AC:AC)</f>
        <v>0</v>
      </c>
      <c r="D21" s="34">
        <f>SUMIF('DTM Dataset'!B:B,A21,'DTM Dataset'!AD:AD)</f>
        <v>0</v>
      </c>
      <c r="E21" s="34">
        <f>SUMIF('DTM Dataset'!B:B,A21,'DTM Dataset'!AE:AE)</f>
        <v>0</v>
      </c>
      <c r="F21" s="34">
        <f>SUMIF('DTM Dataset'!B:B,A21,'DTM Dataset'!AF:AF)</f>
        <v>0</v>
      </c>
      <c r="G21" s="34">
        <f>SUMIF('DTM Dataset'!B:B,A21,'DTM Dataset'!AG:AG)</f>
        <v>63</v>
      </c>
      <c r="H21" s="34">
        <f>SUMIF('DTM Dataset'!B:B,A21,'DTM Dataset'!AH:AH)</f>
        <v>1673</v>
      </c>
      <c r="I21" s="35">
        <f>SUMIF('DTM Dataset'!B:B,A21,'DTM Dataset'!AI:AI)</f>
        <v>2</v>
      </c>
      <c r="J21" s="34">
        <f>SUMIF('DTM Dataset'!B:B,A21,'DTM Dataset'!AJ:AJ)</f>
        <v>0</v>
      </c>
      <c r="K21" s="34">
        <f>SUMIF('DTM Dataset'!B:B,A21,'DTM Dataset'!AK:AK)</f>
        <v>0</v>
      </c>
      <c r="L21" s="34">
        <f>SUMIF('DTM Dataset'!B:B,A21,'DTM Dataset'!AL:AL)</f>
        <v>0</v>
      </c>
      <c r="M21" s="34">
        <f>SUMIF('DTM Dataset'!B:B,A21,'DTM Dataset'!AM:AM)</f>
        <v>0</v>
      </c>
      <c r="N21" s="36">
        <f t="shared" si="0"/>
        <v>1923</v>
      </c>
      <c r="O21" s="30"/>
      <c r="P21" s="30"/>
      <c r="Q21" s="30"/>
    </row>
    <row r="22" spans="1:17" s="31" customFormat="1" x14ac:dyDescent="0.2">
      <c r="A22" s="33" t="s">
        <v>24</v>
      </c>
      <c r="B22" s="34">
        <f>SUMIF('DTM Dataset'!B:B,A22,'DTM Dataset'!AB:AB)</f>
        <v>22677</v>
      </c>
      <c r="C22" s="34">
        <f>SUMIF('DTM Dataset'!B:B,A22,'DTM Dataset'!AC:AC)</f>
        <v>9435</v>
      </c>
      <c r="D22" s="34">
        <f>SUMIF('DTM Dataset'!B:B,A22,'DTM Dataset'!AD:AD)</f>
        <v>3</v>
      </c>
      <c r="E22" s="34">
        <f>SUMIF('DTM Dataset'!B:B,A22,'DTM Dataset'!AE:AE)</f>
        <v>789</v>
      </c>
      <c r="F22" s="34">
        <f>SUMIF('DTM Dataset'!B:B,A22,'DTM Dataset'!AF:AF)</f>
        <v>0</v>
      </c>
      <c r="G22" s="34">
        <f>SUMIF('DTM Dataset'!B:B,A22,'DTM Dataset'!AG:AG)</f>
        <v>31</v>
      </c>
      <c r="H22" s="34">
        <f>SUMIF('DTM Dataset'!B:B,A22,'DTM Dataset'!AH:AH)</f>
        <v>22160</v>
      </c>
      <c r="I22" s="35">
        <f>SUMIF('DTM Dataset'!B:B,A22,'DTM Dataset'!AI:AI)</f>
        <v>684</v>
      </c>
      <c r="J22" s="34">
        <f>SUMIF('DTM Dataset'!B:B,A22,'DTM Dataset'!AJ:AJ)</f>
        <v>118</v>
      </c>
      <c r="K22" s="34">
        <f>SUMIF('DTM Dataset'!B:B,A22,'DTM Dataset'!AK:AK)</f>
        <v>2145</v>
      </c>
      <c r="L22" s="34">
        <f>SUMIF('DTM Dataset'!B:B,A22,'DTM Dataset'!AL:AL)</f>
        <v>721</v>
      </c>
      <c r="M22" s="34">
        <f>SUMIF('DTM Dataset'!B:B,A22,'DTM Dataset'!AM:AM)</f>
        <v>127</v>
      </c>
      <c r="N22" s="36">
        <f t="shared" si="0"/>
        <v>58890</v>
      </c>
      <c r="O22" s="30"/>
      <c r="P22" s="30"/>
      <c r="Q22" s="30"/>
    </row>
    <row r="23" spans="1:17" s="31" customFormat="1" x14ac:dyDescent="0.2">
      <c r="A23" s="33" t="s">
        <v>25</v>
      </c>
      <c r="B23" s="34">
        <f>SUMIF('DTM Dataset'!B:B,A23,'DTM Dataset'!AB:AB)</f>
        <v>0</v>
      </c>
      <c r="C23" s="34">
        <f>SUMIF('DTM Dataset'!B:B,A23,'DTM Dataset'!AC:AC)</f>
        <v>158</v>
      </c>
      <c r="D23" s="34">
        <f>SUMIF('DTM Dataset'!B:B,A23,'DTM Dataset'!AD:AD)</f>
        <v>0</v>
      </c>
      <c r="E23" s="34">
        <f>SUMIF('DTM Dataset'!B:B,A23,'DTM Dataset'!AE:AE)</f>
        <v>0</v>
      </c>
      <c r="F23" s="34">
        <f>SUMIF('DTM Dataset'!B:B,A23,'DTM Dataset'!AF:AF)</f>
        <v>35</v>
      </c>
      <c r="G23" s="34">
        <f>SUMIF('DTM Dataset'!B:B,A23,'DTM Dataset'!AG:AG)</f>
        <v>97</v>
      </c>
      <c r="H23" s="34">
        <f>SUMIF('DTM Dataset'!B:B,A23,'DTM Dataset'!AH:AH)</f>
        <v>376</v>
      </c>
      <c r="I23" s="35">
        <f>SUMIF('DTM Dataset'!B:B,A23,'DTM Dataset'!AI:AI)</f>
        <v>0</v>
      </c>
      <c r="J23" s="34">
        <f>SUMIF('DTM Dataset'!B:B,A23,'DTM Dataset'!AJ:AJ)</f>
        <v>0</v>
      </c>
      <c r="K23" s="34">
        <f>SUMIF('DTM Dataset'!B:B,A23,'DTM Dataset'!AK:AK)</f>
        <v>3</v>
      </c>
      <c r="L23" s="34">
        <f>SUMIF('DTM Dataset'!B:B,A23,'DTM Dataset'!AL:AL)</f>
        <v>0</v>
      </c>
      <c r="M23" s="34">
        <f>SUMIF('DTM Dataset'!B:B,A23,'DTM Dataset'!AM:AM)</f>
        <v>0</v>
      </c>
      <c r="N23" s="36">
        <f t="shared" si="0"/>
        <v>669</v>
      </c>
      <c r="O23" s="30"/>
      <c r="P23" s="30"/>
      <c r="Q23" s="30"/>
    </row>
    <row r="24" spans="1:17" s="31" customFormat="1" x14ac:dyDescent="0.2">
      <c r="A24" s="33" t="s">
        <v>26</v>
      </c>
      <c r="B24" s="34">
        <f>SUMIF('DTM Dataset'!B:B,A24,'DTM Dataset'!AB:AB)</f>
        <v>235</v>
      </c>
      <c r="C24" s="34">
        <f>SUMIF('DTM Dataset'!B:B,A24,'DTM Dataset'!AC:AC)</f>
        <v>1290</v>
      </c>
      <c r="D24" s="34">
        <f>SUMIF('DTM Dataset'!B:B,A24,'DTM Dataset'!AD:AD)</f>
        <v>0</v>
      </c>
      <c r="E24" s="34">
        <f>SUMIF('DTM Dataset'!B:B,A24,'DTM Dataset'!AE:AE)</f>
        <v>1002</v>
      </c>
      <c r="F24" s="34">
        <f>SUMIF('DTM Dataset'!B:B,A24,'DTM Dataset'!AF:AF)</f>
        <v>0</v>
      </c>
      <c r="G24" s="34">
        <f>SUMIF('DTM Dataset'!B:B,A24,'DTM Dataset'!AG:AG)</f>
        <v>73</v>
      </c>
      <c r="H24" s="34">
        <f>SUMIF('DTM Dataset'!B:B,A24,'DTM Dataset'!AH:AH)</f>
        <v>8749</v>
      </c>
      <c r="I24" s="35">
        <f>SUMIF('DTM Dataset'!B:B,A24,'DTM Dataset'!AI:AI)</f>
        <v>1004</v>
      </c>
      <c r="J24" s="34">
        <f>SUMIF('DTM Dataset'!B:B,A24,'DTM Dataset'!AJ:AJ)</f>
        <v>401</v>
      </c>
      <c r="K24" s="34">
        <f>SUMIF('DTM Dataset'!B:B,A24,'DTM Dataset'!AK:AK)</f>
        <v>1469</v>
      </c>
      <c r="L24" s="34">
        <f>SUMIF('DTM Dataset'!B:B,A24,'DTM Dataset'!AL:AL)</f>
        <v>10</v>
      </c>
      <c r="M24" s="34">
        <f>SUMIF('DTM Dataset'!B:B,A24,'DTM Dataset'!AM:AM)</f>
        <v>0</v>
      </c>
      <c r="N24" s="36">
        <f t="shared" si="0"/>
        <v>14233</v>
      </c>
      <c r="O24" s="30"/>
      <c r="P24" s="30"/>
      <c r="Q24" s="30"/>
    </row>
    <row r="25" spans="1:17" s="31" customFormat="1" x14ac:dyDescent="0.2">
      <c r="A25" s="33" t="s">
        <v>27</v>
      </c>
      <c r="B25" s="34">
        <f>SUMIF('DTM Dataset'!B:B,A25,'DTM Dataset'!AB:AB)</f>
        <v>2794</v>
      </c>
      <c r="C25" s="34">
        <f>SUMIF('DTM Dataset'!B:B,A25,'DTM Dataset'!AC:AC)</f>
        <v>61</v>
      </c>
      <c r="D25" s="34">
        <f>SUMIF('DTM Dataset'!B:B,A25,'DTM Dataset'!AD:AD)</f>
        <v>34</v>
      </c>
      <c r="E25" s="34">
        <f>SUMIF('DTM Dataset'!B:B,A25,'DTM Dataset'!AE:AE)</f>
        <v>8</v>
      </c>
      <c r="F25" s="34">
        <f>SUMIF('DTM Dataset'!B:B,A25,'DTM Dataset'!AF:AF)</f>
        <v>0</v>
      </c>
      <c r="G25" s="34">
        <f>SUMIF('DTM Dataset'!B:B,A25,'DTM Dataset'!AG:AG)</f>
        <v>12</v>
      </c>
      <c r="H25" s="34">
        <f>SUMIF('DTM Dataset'!B:B,A25,'DTM Dataset'!AH:AH)</f>
        <v>20050</v>
      </c>
      <c r="I25" s="35">
        <f>SUMIF('DTM Dataset'!B:B,A25,'DTM Dataset'!AI:AI)</f>
        <v>7</v>
      </c>
      <c r="J25" s="34">
        <f>SUMIF('DTM Dataset'!B:B,A25,'DTM Dataset'!AJ:AJ)</f>
        <v>3</v>
      </c>
      <c r="K25" s="34">
        <f>SUMIF('DTM Dataset'!B:B,A25,'DTM Dataset'!AK:AK)</f>
        <v>53</v>
      </c>
      <c r="L25" s="34">
        <f>SUMIF('DTM Dataset'!B:B,A25,'DTM Dataset'!AL:AL)</f>
        <v>450</v>
      </c>
      <c r="M25" s="34">
        <f>SUMIF('DTM Dataset'!B:B,A25,'DTM Dataset'!AM:AM)</f>
        <v>0</v>
      </c>
      <c r="N25" s="36">
        <f t="shared" si="0"/>
        <v>23472</v>
      </c>
      <c r="O25" s="30"/>
      <c r="P25" s="30"/>
      <c r="Q25" s="30"/>
    </row>
    <row r="26" spans="1:17" s="31" customFormat="1" x14ac:dyDescent="0.2">
      <c r="A26" s="33" t="s">
        <v>28</v>
      </c>
      <c r="B26" s="34">
        <f>SUMIF('DTM Dataset'!B:B,A26,'DTM Dataset'!AB:AB)</f>
        <v>0</v>
      </c>
      <c r="C26" s="34">
        <f>SUMIF('DTM Dataset'!B:B,A26,'DTM Dataset'!AC:AC)</f>
        <v>136</v>
      </c>
      <c r="D26" s="34">
        <f>SUMIF('DTM Dataset'!B:B,A26,'DTM Dataset'!AD:AD)</f>
        <v>0</v>
      </c>
      <c r="E26" s="34">
        <f>SUMIF('DTM Dataset'!B:B,A26,'DTM Dataset'!AE:AE)</f>
        <v>0</v>
      </c>
      <c r="F26" s="34">
        <f>SUMIF('DTM Dataset'!B:B,A26,'DTM Dataset'!AF:AF)</f>
        <v>0</v>
      </c>
      <c r="G26" s="34">
        <f>SUMIF('DTM Dataset'!B:B,A26,'DTM Dataset'!AG:AG)</f>
        <v>3</v>
      </c>
      <c r="H26" s="34">
        <f>SUMIF('DTM Dataset'!B:B,A26,'DTM Dataset'!AH:AH)</f>
        <v>436</v>
      </c>
      <c r="I26" s="35">
        <f>SUMIF('DTM Dataset'!B:B,A26,'DTM Dataset'!AI:AI)</f>
        <v>1</v>
      </c>
      <c r="J26" s="34">
        <f>SUMIF('DTM Dataset'!B:B,A26,'DTM Dataset'!AJ:AJ)</f>
        <v>0</v>
      </c>
      <c r="K26" s="34">
        <f>SUMIF('DTM Dataset'!B:B,A26,'DTM Dataset'!AK:AK)</f>
        <v>0</v>
      </c>
      <c r="L26" s="34">
        <f>SUMIF('DTM Dataset'!B:B,A26,'DTM Dataset'!AL:AL)</f>
        <v>7</v>
      </c>
      <c r="M26" s="34">
        <f>SUMIF('DTM Dataset'!B:B,A26,'DTM Dataset'!AM:AM)</f>
        <v>0</v>
      </c>
      <c r="N26" s="36">
        <f t="shared" si="0"/>
        <v>583</v>
      </c>
      <c r="O26" s="30"/>
      <c r="P26" s="30"/>
      <c r="Q26" s="30"/>
    </row>
    <row r="27" spans="1:17" s="31" customFormat="1" x14ac:dyDescent="0.2">
      <c r="A27" s="33" t="s">
        <v>29</v>
      </c>
      <c r="B27" s="34">
        <f>SUMIF('DTM Dataset'!B:B,A27,'DTM Dataset'!AB:AB)</f>
        <v>0</v>
      </c>
      <c r="C27" s="34">
        <f>SUMIF('DTM Dataset'!B:B,A27,'DTM Dataset'!AC:AC)</f>
        <v>64</v>
      </c>
      <c r="D27" s="34">
        <f>SUMIF('DTM Dataset'!B:B,A27,'DTM Dataset'!AD:AD)</f>
        <v>0</v>
      </c>
      <c r="E27" s="34">
        <f>SUMIF('DTM Dataset'!B:B,A27,'DTM Dataset'!AE:AE)</f>
        <v>0</v>
      </c>
      <c r="F27" s="34">
        <f>SUMIF('DTM Dataset'!B:B,A27,'DTM Dataset'!AF:AF)</f>
        <v>0</v>
      </c>
      <c r="G27" s="34">
        <f>SUMIF('DTM Dataset'!B:B,A27,'DTM Dataset'!AG:AG)</f>
        <v>52</v>
      </c>
      <c r="H27" s="34">
        <f>SUMIF('DTM Dataset'!B:B,A27,'DTM Dataset'!AH:AH)</f>
        <v>986</v>
      </c>
      <c r="I27" s="35">
        <f>SUMIF('DTM Dataset'!B:B,A27,'DTM Dataset'!AI:AI)</f>
        <v>0</v>
      </c>
      <c r="J27" s="34">
        <f>SUMIF('DTM Dataset'!B:B,A27,'DTM Dataset'!AJ:AJ)</f>
        <v>0</v>
      </c>
      <c r="K27" s="34">
        <f>SUMIF('DTM Dataset'!B:B,A27,'DTM Dataset'!AK:AK)</f>
        <v>64</v>
      </c>
      <c r="L27" s="34">
        <f>SUMIF('DTM Dataset'!B:B,A27,'DTM Dataset'!AL:AL)</f>
        <v>27</v>
      </c>
      <c r="M27" s="34">
        <f>SUMIF('DTM Dataset'!B:B,A27,'DTM Dataset'!AM:AM)</f>
        <v>0</v>
      </c>
      <c r="N27" s="36">
        <f t="shared" si="0"/>
        <v>1193</v>
      </c>
      <c r="O27" s="30"/>
      <c r="P27" s="30"/>
      <c r="Q27" s="30"/>
    </row>
    <row r="28" spans="1:17" s="31" customFormat="1" x14ac:dyDescent="0.2">
      <c r="A28" s="37" t="s">
        <v>5768</v>
      </c>
      <c r="B28" s="38">
        <f t="shared" ref="B28:H28" si="1">SUM(B10:B27)</f>
        <v>59838</v>
      </c>
      <c r="C28" s="38">
        <f t="shared" si="1"/>
        <v>20589</v>
      </c>
      <c r="D28" s="38">
        <f t="shared" si="1"/>
        <v>196</v>
      </c>
      <c r="E28" s="38">
        <f t="shared" si="1"/>
        <v>7063</v>
      </c>
      <c r="F28" s="38">
        <f t="shared" si="1"/>
        <v>77</v>
      </c>
      <c r="G28" s="38">
        <f t="shared" si="1"/>
        <v>408</v>
      </c>
      <c r="H28" s="38">
        <f t="shared" si="1"/>
        <v>138716</v>
      </c>
      <c r="I28" s="39">
        <f t="shared" ref="I28:M28" si="2">SUM(I10:I27)</f>
        <v>2361</v>
      </c>
      <c r="J28" s="38">
        <f t="shared" si="2"/>
        <v>541</v>
      </c>
      <c r="K28" s="38">
        <f t="shared" si="2"/>
        <v>7845</v>
      </c>
      <c r="L28" s="38">
        <f t="shared" si="2"/>
        <v>2989</v>
      </c>
      <c r="M28" s="38">
        <f t="shared" si="2"/>
        <v>127</v>
      </c>
      <c r="N28" s="38">
        <f t="shared" si="0"/>
        <v>240750</v>
      </c>
      <c r="O28" s="30"/>
      <c r="P28" s="30"/>
      <c r="Q28" s="30"/>
    </row>
    <row r="29" spans="1:17" s="31" customFormat="1" x14ac:dyDescent="0.2">
      <c r="A29" s="40"/>
      <c r="B29" s="41"/>
      <c r="C29" s="41"/>
      <c r="D29" s="41"/>
      <c r="E29" s="41"/>
      <c r="F29" s="41"/>
      <c r="G29" s="41"/>
      <c r="H29" s="41"/>
      <c r="I29" s="42"/>
      <c r="J29" s="41"/>
      <c r="K29" s="41"/>
      <c r="L29" s="41"/>
      <c r="M29" s="41"/>
      <c r="N29" s="43"/>
      <c r="O29" s="30"/>
      <c r="P29" s="30"/>
      <c r="Q29" s="30"/>
    </row>
    <row r="30" spans="1:17" x14ac:dyDescent="0.25">
      <c r="A30" s="44" t="s">
        <v>5816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7" ht="27" customHeight="1" x14ac:dyDescent="0.2">
      <c r="A31" s="32" t="s">
        <v>5764</v>
      </c>
      <c r="B31" s="106" t="s">
        <v>5781</v>
      </c>
      <c r="C31" s="106"/>
      <c r="D31" s="106"/>
      <c r="E31" s="106"/>
      <c r="F31" s="106"/>
      <c r="G31" s="106"/>
      <c r="H31" s="106"/>
      <c r="I31" s="106"/>
      <c r="J31" s="106"/>
      <c r="K31" s="45"/>
      <c r="L31" s="46"/>
      <c r="M31" s="21"/>
    </row>
    <row r="32" spans="1:17" ht="30" customHeight="1" x14ac:dyDescent="0.2">
      <c r="A32" s="32" t="s">
        <v>5790</v>
      </c>
      <c r="B32" s="32" t="s">
        <v>12</v>
      </c>
      <c r="C32" s="32" t="s">
        <v>13</v>
      </c>
      <c r="D32" s="32" t="s">
        <v>14</v>
      </c>
      <c r="E32" s="32" t="s">
        <v>17</v>
      </c>
      <c r="F32" s="32" t="s">
        <v>18</v>
      </c>
      <c r="G32" s="32" t="s">
        <v>20</v>
      </c>
      <c r="H32" s="32" t="s">
        <v>24</v>
      </c>
      <c r="I32" s="47" t="s">
        <v>26</v>
      </c>
      <c r="J32" s="48" t="s">
        <v>5763</v>
      </c>
      <c r="L32" s="49"/>
      <c r="M32" s="21"/>
    </row>
    <row r="33" spans="1:13" x14ac:dyDescent="0.2">
      <c r="A33" s="23" t="s">
        <v>12</v>
      </c>
      <c r="B33" s="50">
        <f>SUMIF('DTM Dataset'!B:B,A33,'DTM Dataset'!J:J)</f>
        <v>3809</v>
      </c>
      <c r="C33" s="50">
        <f>SUMIF('DTM Dataset'!B:B,A33,'DTM Dataset'!K:K)</f>
        <v>1181</v>
      </c>
      <c r="D33" s="50">
        <f>SUMIF('DTM Dataset'!B:B,A33,'DTM Dataset'!L:L)</f>
        <v>10</v>
      </c>
      <c r="E33" s="50">
        <f>SUMIF('DTM Dataset'!B:B,A33,'DTM Dataset'!O:O)</f>
        <v>0</v>
      </c>
      <c r="F33" s="50">
        <f>SUMIF('DTM Dataset'!B:B,A33,'DTM Dataset'!P:P)</f>
        <v>0</v>
      </c>
      <c r="G33" s="50">
        <f>SUMIF('DTM Dataset'!B:B,A33,'DTM Dataset'!R:R)</f>
        <v>2</v>
      </c>
      <c r="H33" s="50">
        <f>SUMIF('DTM Dataset'!B:B,A33,'DTM Dataset'!V:V)</f>
        <v>10</v>
      </c>
      <c r="I33" s="51">
        <f>SUMIF('DTM Dataset'!B:B,A33,'DTM Dataset'!X:X)</f>
        <v>25</v>
      </c>
      <c r="J33" s="36">
        <f t="shared" ref="J33:J50" si="3">SUM(B33:I33)</f>
        <v>5037</v>
      </c>
      <c r="L33" s="49"/>
      <c r="M33" s="21"/>
    </row>
    <row r="34" spans="1:13" x14ac:dyDescent="0.2">
      <c r="A34" s="23" t="s">
        <v>13</v>
      </c>
      <c r="B34" s="50">
        <f>SUMIF('DTM Dataset'!B:B,A34,'DTM Dataset'!J:J)</f>
        <v>72</v>
      </c>
      <c r="C34" s="50">
        <f>SUMIF('DTM Dataset'!B:B,A34,'DTM Dataset'!K:K)</f>
        <v>2472</v>
      </c>
      <c r="D34" s="50">
        <f>SUMIF('DTM Dataset'!B:B,A34,'DTM Dataset'!L:L)</f>
        <v>31</v>
      </c>
      <c r="E34" s="50">
        <f>SUMIF('DTM Dataset'!B:B,A34,'DTM Dataset'!O:O)</f>
        <v>7</v>
      </c>
      <c r="F34" s="50">
        <f>SUMIF('DTM Dataset'!B:B,A34,'DTM Dataset'!P:P)</f>
        <v>0</v>
      </c>
      <c r="G34" s="50">
        <f>SUMIF('DTM Dataset'!B:B,A34,'DTM Dataset'!R:R)</f>
        <v>2</v>
      </c>
      <c r="H34" s="50">
        <f>SUMIF('DTM Dataset'!B:B,A34,'DTM Dataset'!V:V)</f>
        <v>291</v>
      </c>
      <c r="I34" s="51">
        <f>SUMIF('DTM Dataset'!B:B,A34,'DTM Dataset'!X:X)</f>
        <v>5</v>
      </c>
      <c r="J34" s="36">
        <f t="shared" si="3"/>
        <v>2880</v>
      </c>
      <c r="L34" s="49"/>
      <c r="M34" s="21"/>
    </row>
    <row r="35" spans="1:13" x14ac:dyDescent="0.2">
      <c r="A35" s="23" t="s">
        <v>14</v>
      </c>
      <c r="B35" s="50">
        <f>SUMIF('DTM Dataset'!B:B,A35,'DTM Dataset'!J:J)</f>
        <v>3983</v>
      </c>
      <c r="C35" s="50">
        <f>SUMIF('DTM Dataset'!B:B,A35,'DTM Dataset'!K:K)</f>
        <v>802</v>
      </c>
      <c r="D35" s="50">
        <f>SUMIF('DTM Dataset'!B:B,A35,'DTM Dataset'!L:L)</f>
        <v>52</v>
      </c>
      <c r="E35" s="50">
        <f>SUMIF('DTM Dataset'!B:B,A35,'DTM Dataset'!O:O)</f>
        <v>194</v>
      </c>
      <c r="F35" s="50">
        <f>SUMIF('DTM Dataset'!B:B,A35,'DTM Dataset'!P:P)</f>
        <v>0</v>
      </c>
      <c r="G35" s="50">
        <f>SUMIF('DTM Dataset'!B:B,A35,'DTM Dataset'!R:R)</f>
        <v>36</v>
      </c>
      <c r="H35" s="50">
        <f>SUMIF('DTM Dataset'!B:B,A35,'DTM Dataset'!V:V)</f>
        <v>1769</v>
      </c>
      <c r="I35" s="51">
        <f>SUMIF('DTM Dataset'!B:B,A35,'DTM Dataset'!X:X)</f>
        <v>597</v>
      </c>
      <c r="J35" s="36">
        <f t="shared" si="3"/>
        <v>7433</v>
      </c>
      <c r="L35" s="49"/>
      <c r="M35" s="21"/>
    </row>
    <row r="36" spans="1:13" x14ac:dyDescent="0.2">
      <c r="A36" s="23" t="s">
        <v>15</v>
      </c>
      <c r="B36" s="50">
        <f>SUMIF('DTM Dataset'!B:B,A36,'DTM Dataset'!J:J)</f>
        <v>215</v>
      </c>
      <c r="C36" s="50">
        <f>SUMIF('DTM Dataset'!B:B,A36,'DTM Dataset'!K:K)</f>
        <v>20</v>
      </c>
      <c r="D36" s="50">
        <f>SUMIF('DTM Dataset'!B:B,A36,'DTM Dataset'!L:L)</f>
        <v>29</v>
      </c>
      <c r="E36" s="50">
        <f>SUMIF('DTM Dataset'!B:B,A36,'DTM Dataset'!O:O)</f>
        <v>33</v>
      </c>
      <c r="F36" s="50">
        <f>SUMIF('DTM Dataset'!B:B,A36,'DTM Dataset'!P:P)</f>
        <v>0</v>
      </c>
      <c r="G36" s="50">
        <f>SUMIF('DTM Dataset'!B:B,A36,'DTM Dataset'!R:R)</f>
        <v>108</v>
      </c>
      <c r="H36" s="50">
        <f>SUMIF('DTM Dataset'!B:B,A36,'DTM Dataset'!V:V)</f>
        <v>341</v>
      </c>
      <c r="I36" s="51">
        <f>SUMIF('DTM Dataset'!B:B,A36,'DTM Dataset'!X:X)</f>
        <v>364</v>
      </c>
      <c r="J36" s="36">
        <f t="shared" si="3"/>
        <v>1110</v>
      </c>
      <c r="L36" s="49"/>
      <c r="M36" s="21"/>
    </row>
    <row r="37" spans="1:13" x14ac:dyDescent="0.2">
      <c r="A37" s="23" t="s">
        <v>16</v>
      </c>
      <c r="B37" s="50">
        <f>SUMIF('DTM Dataset'!B:B,A37,'DTM Dataset'!J:J)</f>
        <v>51</v>
      </c>
      <c r="C37" s="50">
        <f>SUMIF('DTM Dataset'!B:B,A37,'DTM Dataset'!K:K)</f>
        <v>0</v>
      </c>
      <c r="D37" s="50">
        <f>SUMIF('DTM Dataset'!B:B,A37,'DTM Dataset'!L:L)</f>
        <v>22</v>
      </c>
      <c r="E37" s="50">
        <f>SUMIF('DTM Dataset'!B:B,A37,'DTM Dataset'!O:O)</f>
        <v>0</v>
      </c>
      <c r="F37" s="50">
        <f>SUMIF('DTM Dataset'!B:B,A37,'DTM Dataset'!P:P)</f>
        <v>0</v>
      </c>
      <c r="G37" s="50">
        <f>SUMIF('DTM Dataset'!B:B,A37,'DTM Dataset'!R:R)</f>
        <v>11</v>
      </c>
      <c r="H37" s="50">
        <f>SUMIF('DTM Dataset'!B:B,A37,'DTM Dataset'!V:V)</f>
        <v>53141</v>
      </c>
      <c r="I37" s="51">
        <f>SUMIF('DTM Dataset'!B:B,A37,'DTM Dataset'!X:X)</f>
        <v>62</v>
      </c>
      <c r="J37" s="36">
        <f t="shared" si="3"/>
        <v>53287</v>
      </c>
      <c r="L37" s="49"/>
      <c r="M37" s="21"/>
    </row>
    <row r="38" spans="1:13" x14ac:dyDescent="0.2">
      <c r="A38" s="23" t="s">
        <v>17</v>
      </c>
      <c r="B38" s="50">
        <f>SUMIF('DTM Dataset'!B:B,A38,'DTM Dataset'!J:J)</f>
        <v>171</v>
      </c>
      <c r="C38" s="50">
        <f>SUMIF('DTM Dataset'!B:B,A38,'DTM Dataset'!K:K)</f>
        <v>93</v>
      </c>
      <c r="D38" s="50">
        <f>SUMIF('DTM Dataset'!B:B,A38,'DTM Dataset'!L:L)</f>
        <v>111</v>
      </c>
      <c r="E38" s="50">
        <f>SUMIF('DTM Dataset'!B:B,A38,'DTM Dataset'!O:O)</f>
        <v>7759</v>
      </c>
      <c r="F38" s="50">
        <f>SUMIF('DTM Dataset'!B:B,A38,'DTM Dataset'!P:P)</f>
        <v>0</v>
      </c>
      <c r="G38" s="50">
        <f>SUMIF('DTM Dataset'!B:B,A38,'DTM Dataset'!R:R)</f>
        <v>13</v>
      </c>
      <c r="H38" s="50">
        <f>SUMIF('DTM Dataset'!B:B,A38,'DTM Dataset'!V:V)</f>
        <v>98</v>
      </c>
      <c r="I38" s="51">
        <f>SUMIF('DTM Dataset'!B:B,A38,'DTM Dataset'!X:X)</f>
        <v>737</v>
      </c>
      <c r="J38" s="36">
        <f t="shared" si="3"/>
        <v>8982</v>
      </c>
      <c r="L38" s="49"/>
      <c r="M38" s="21"/>
    </row>
    <row r="39" spans="1:13" x14ac:dyDescent="0.2">
      <c r="A39" s="23" t="s">
        <v>18</v>
      </c>
      <c r="B39" s="50">
        <f>SUMIF('DTM Dataset'!B:B,A39,'DTM Dataset'!J:J)</f>
        <v>12085</v>
      </c>
      <c r="C39" s="50">
        <f>SUMIF('DTM Dataset'!B:B,A39,'DTM Dataset'!K:K)</f>
        <v>0</v>
      </c>
      <c r="D39" s="50">
        <f>SUMIF('DTM Dataset'!B:B,A39,'DTM Dataset'!L:L)</f>
        <v>1921</v>
      </c>
      <c r="E39" s="50">
        <f>SUMIF('DTM Dataset'!B:B,A39,'DTM Dataset'!O:O)</f>
        <v>165</v>
      </c>
      <c r="F39" s="50">
        <f>SUMIF('DTM Dataset'!B:B,A39,'DTM Dataset'!P:P)</f>
        <v>1720</v>
      </c>
      <c r="G39" s="50">
        <f>SUMIF('DTM Dataset'!B:B,A39,'DTM Dataset'!R:R)</f>
        <v>1719</v>
      </c>
      <c r="H39" s="50">
        <f>SUMIF('DTM Dataset'!B:B,A39,'DTM Dataset'!V:V)</f>
        <v>19254</v>
      </c>
      <c r="I39" s="51">
        <f>SUMIF('DTM Dataset'!B:B,A39,'DTM Dataset'!X:X)</f>
        <v>3876</v>
      </c>
      <c r="J39" s="36">
        <f t="shared" si="3"/>
        <v>40740</v>
      </c>
      <c r="L39" s="49"/>
      <c r="M39" s="21"/>
    </row>
    <row r="40" spans="1:13" x14ac:dyDescent="0.2">
      <c r="A40" s="23" t="s">
        <v>19</v>
      </c>
      <c r="B40" s="50">
        <f>SUMIF('DTM Dataset'!B:B,A40,'DTM Dataset'!J:J)</f>
        <v>92</v>
      </c>
      <c r="C40" s="50">
        <f>SUMIF('DTM Dataset'!B:B,A40,'DTM Dataset'!K:K)</f>
        <v>218</v>
      </c>
      <c r="D40" s="50">
        <f>SUMIF('DTM Dataset'!B:B,A40,'DTM Dataset'!L:L)</f>
        <v>6</v>
      </c>
      <c r="E40" s="50">
        <f>SUMIF('DTM Dataset'!B:B,A40,'DTM Dataset'!O:O)</f>
        <v>27</v>
      </c>
      <c r="F40" s="50">
        <f>SUMIF('DTM Dataset'!B:B,A40,'DTM Dataset'!P:P)</f>
        <v>0</v>
      </c>
      <c r="G40" s="50">
        <f>SUMIF('DTM Dataset'!B:B,A40,'DTM Dataset'!R:R)</f>
        <v>38</v>
      </c>
      <c r="H40" s="50">
        <f>SUMIF('DTM Dataset'!B:B,A40,'DTM Dataset'!V:V)</f>
        <v>2503</v>
      </c>
      <c r="I40" s="51">
        <f>SUMIF('DTM Dataset'!B:B,A40,'DTM Dataset'!X:X)</f>
        <v>21</v>
      </c>
      <c r="J40" s="36">
        <f t="shared" si="3"/>
        <v>2905</v>
      </c>
      <c r="L40" s="49"/>
      <c r="M40" s="21"/>
    </row>
    <row r="41" spans="1:13" x14ac:dyDescent="0.2">
      <c r="A41" s="23" t="s">
        <v>20</v>
      </c>
      <c r="B41" s="50">
        <f>SUMIF('DTM Dataset'!B:B,A41,'DTM Dataset'!J:J)</f>
        <v>461</v>
      </c>
      <c r="C41" s="50">
        <f>SUMIF('DTM Dataset'!B:B,A41,'DTM Dataset'!K:K)</f>
        <v>26</v>
      </c>
      <c r="D41" s="50">
        <f>SUMIF('DTM Dataset'!B:B,A41,'DTM Dataset'!L:L)</f>
        <v>167</v>
      </c>
      <c r="E41" s="50">
        <f>SUMIF('DTM Dataset'!B:B,A41,'DTM Dataset'!O:O)</f>
        <v>823</v>
      </c>
      <c r="F41" s="50">
        <f>SUMIF('DTM Dataset'!B:B,A41,'DTM Dataset'!P:P)</f>
        <v>0</v>
      </c>
      <c r="G41" s="50">
        <f>SUMIF('DTM Dataset'!B:B,A41,'DTM Dataset'!R:R)</f>
        <v>9804</v>
      </c>
      <c r="H41" s="50">
        <f>SUMIF('DTM Dataset'!B:B,A41,'DTM Dataset'!V:V)</f>
        <v>1911</v>
      </c>
      <c r="I41" s="51">
        <f>SUMIF('DTM Dataset'!B:B,A41,'DTM Dataset'!X:X)</f>
        <v>3655</v>
      </c>
      <c r="J41" s="36">
        <f t="shared" si="3"/>
        <v>16847</v>
      </c>
      <c r="L41" s="49"/>
      <c r="M41" s="21"/>
    </row>
    <row r="42" spans="1:13" x14ac:dyDescent="0.2">
      <c r="A42" s="23" t="s">
        <v>21</v>
      </c>
      <c r="B42" s="50">
        <f>SUMIF('DTM Dataset'!B:B,A42,'DTM Dataset'!J:J)</f>
        <v>24</v>
      </c>
      <c r="C42" s="50">
        <f>SUMIF('DTM Dataset'!B:B,A42,'DTM Dataset'!K:K)</f>
        <v>6</v>
      </c>
      <c r="D42" s="50">
        <f>SUMIF('DTM Dataset'!B:B,A42,'DTM Dataset'!L:L)</f>
        <v>25</v>
      </c>
      <c r="E42" s="50">
        <f>SUMIF('DTM Dataset'!B:B,A42,'DTM Dataset'!O:O)</f>
        <v>15</v>
      </c>
      <c r="F42" s="50">
        <f>SUMIF('DTM Dataset'!B:B,A42,'DTM Dataset'!P:P)</f>
        <v>0</v>
      </c>
      <c r="G42" s="50">
        <f>SUMIF('DTM Dataset'!B:B,A42,'DTM Dataset'!R:R)</f>
        <v>74</v>
      </c>
      <c r="H42" s="50">
        <f>SUMIF('DTM Dataset'!B:B,A42,'DTM Dataset'!V:V)</f>
        <v>189</v>
      </c>
      <c r="I42" s="51">
        <f>SUMIF('DTM Dataset'!B:B,A42,'DTM Dataset'!X:X)</f>
        <v>54</v>
      </c>
      <c r="J42" s="36">
        <f t="shared" si="3"/>
        <v>387</v>
      </c>
      <c r="L42" s="49"/>
      <c r="M42" s="21"/>
    </row>
    <row r="43" spans="1:13" x14ac:dyDescent="0.2">
      <c r="A43" s="23" t="s">
        <v>22</v>
      </c>
      <c r="B43" s="50">
        <f>SUMIF('DTM Dataset'!B:B,A43,'DTM Dataset'!J:J)</f>
        <v>18</v>
      </c>
      <c r="C43" s="50">
        <f>SUMIF('DTM Dataset'!B:B,A43,'DTM Dataset'!K:K)</f>
        <v>0</v>
      </c>
      <c r="D43" s="50">
        <f>SUMIF('DTM Dataset'!B:B,A43,'DTM Dataset'!L:L)</f>
        <v>22</v>
      </c>
      <c r="E43" s="50">
        <f>SUMIF('DTM Dataset'!B:B,A43,'DTM Dataset'!O:O)</f>
        <v>5</v>
      </c>
      <c r="F43" s="50">
        <f>SUMIF('DTM Dataset'!B:B,A43,'DTM Dataset'!P:P)</f>
        <v>0</v>
      </c>
      <c r="G43" s="50">
        <f>SUMIF('DTM Dataset'!B:B,A43,'DTM Dataset'!R:R)</f>
        <v>14</v>
      </c>
      <c r="H43" s="50">
        <f>SUMIF('DTM Dataset'!B:B,A43,'DTM Dataset'!V:V)</f>
        <v>106</v>
      </c>
      <c r="I43" s="51">
        <f>SUMIF('DTM Dataset'!B:B,A43,'DTM Dataset'!X:X)</f>
        <v>14</v>
      </c>
      <c r="J43" s="36">
        <f t="shared" si="3"/>
        <v>179</v>
      </c>
      <c r="L43" s="49"/>
      <c r="M43" s="21"/>
    </row>
    <row r="44" spans="1:13" x14ac:dyDescent="0.2">
      <c r="A44" s="23" t="s">
        <v>23</v>
      </c>
      <c r="B44" s="50">
        <f>SUMIF('DTM Dataset'!B:B,A44,'DTM Dataset'!J:J)</f>
        <v>3</v>
      </c>
      <c r="C44" s="50">
        <f>SUMIF('DTM Dataset'!B:B,A44,'DTM Dataset'!K:K)</f>
        <v>0</v>
      </c>
      <c r="D44" s="50">
        <f>SUMIF('DTM Dataset'!B:B,A44,'DTM Dataset'!L:L)</f>
        <v>0</v>
      </c>
      <c r="E44" s="50">
        <f>SUMIF('DTM Dataset'!B:B,A44,'DTM Dataset'!O:O)</f>
        <v>7</v>
      </c>
      <c r="F44" s="50">
        <f>SUMIF('DTM Dataset'!B:B,A44,'DTM Dataset'!P:P)</f>
        <v>0</v>
      </c>
      <c r="G44" s="50">
        <f>SUMIF('DTM Dataset'!B:B,A44,'DTM Dataset'!R:R)</f>
        <v>1</v>
      </c>
      <c r="H44" s="50">
        <f>SUMIF('DTM Dataset'!B:B,A44,'DTM Dataset'!V:V)</f>
        <v>1906</v>
      </c>
      <c r="I44" s="51">
        <f>SUMIF('DTM Dataset'!B:B,A44,'DTM Dataset'!X:X)</f>
        <v>6</v>
      </c>
      <c r="J44" s="36">
        <f t="shared" si="3"/>
        <v>1923</v>
      </c>
      <c r="L44" s="49"/>
      <c r="M44" s="21"/>
    </row>
    <row r="45" spans="1:13" x14ac:dyDescent="0.2">
      <c r="A45" s="23" t="s">
        <v>24</v>
      </c>
      <c r="B45" s="50">
        <f>SUMIF('DTM Dataset'!B:B,A45,'DTM Dataset'!J:J)</f>
        <v>58</v>
      </c>
      <c r="C45" s="50">
        <f>SUMIF('DTM Dataset'!B:B,A45,'DTM Dataset'!K:K)</f>
        <v>0</v>
      </c>
      <c r="D45" s="50">
        <f>SUMIF('DTM Dataset'!B:B,A45,'DTM Dataset'!L:L)</f>
        <v>0</v>
      </c>
      <c r="E45" s="50">
        <f>SUMIF('DTM Dataset'!B:B,A45,'DTM Dataset'!O:O)</f>
        <v>0</v>
      </c>
      <c r="F45" s="50">
        <f>SUMIF('DTM Dataset'!B:B,A45,'DTM Dataset'!P:P)</f>
        <v>678</v>
      </c>
      <c r="G45" s="50">
        <f>SUMIF('DTM Dataset'!B:B,A45,'DTM Dataset'!R:R)</f>
        <v>118</v>
      </c>
      <c r="H45" s="50">
        <f>SUMIF('DTM Dataset'!B:B,A45,'DTM Dataset'!V:V)</f>
        <v>57349</v>
      </c>
      <c r="I45" s="51">
        <f>SUMIF('DTM Dataset'!B:B,A45,'DTM Dataset'!X:X)</f>
        <v>687</v>
      </c>
      <c r="J45" s="36">
        <f t="shared" si="3"/>
        <v>58890</v>
      </c>
      <c r="L45" s="49"/>
      <c r="M45" s="21"/>
    </row>
    <row r="46" spans="1:13" x14ac:dyDescent="0.2">
      <c r="A46" s="23" t="s">
        <v>25</v>
      </c>
      <c r="B46" s="50">
        <f>SUMIF('DTM Dataset'!B:B,A46,'DTM Dataset'!J:J)</f>
        <v>0</v>
      </c>
      <c r="C46" s="50">
        <f>SUMIF('DTM Dataset'!B:B,A46,'DTM Dataset'!K:K)</f>
        <v>0</v>
      </c>
      <c r="D46" s="50">
        <f>SUMIF('DTM Dataset'!B:B,A46,'DTM Dataset'!L:L)</f>
        <v>21</v>
      </c>
      <c r="E46" s="50">
        <f>SUMIF('DTM Dataset'!B:B,A46,'DTM Dataset'!O:O)</f>
        <v>0</v>
      </c>
      <c r="F46" s="50">
        <f>SUMIF('DTM Dataset'!B:B,A46,'DTM Dataset'!P:P)</f>
        <v>0</v>
      </c>
      <c r="G46" s="50">
        <f>SUMIF('DTM Dataset'!B:B,A46,'DTM Dataset'!R:R)</f>
        <v>202</v>
      </c>
      <c r="H46" s="50">
        <f>SUMIF('DTM Dataset'!B:B,A46,'DTM Dataset'!V:V)</f>
        <v>438</v>
      </c>
      <c r="I46" s="51">
        <f>SUMIF('DTM Dataset'!B:B,A46,'DTM Dataset'!X:X)</f>
        <v>8</v>
      </c>
      <c r="J46" s="36">
        <f t="shared" si="3"/>
        <v>669</v>
      </c>
      <c r="L46" s="49"/>
      <c r="M46" s="21"/>
    </row>
    <row r="47" spans="1:13" x14ac:dyDescent="0.2">
      <c r="A47" s="23" t="s">
        <v>26</v>
      </c>
      <c r="B47" s="50">
        <f>SUMIF('DTM Dataset'!B:B,A47,'DTM Dataset'!J:J)</f>
        <v>62</v>
      </c>
      <c r="C47" s="50">
        <f>SUMIF('DTM Dataset'!B:B,A47,'DTM Dataset'!K:K)</f>
        <v>0</v>
      </c>
      <c r="D47" s="50">
        <f>SUMIF('DTM Dataset'!B:B,A47,'DTM Dataset'!L:L)</f>
        <v>0</v>
      </c>
      <c r="E47" s="50">
        <f>SUMIF('DTM Dataset'!B:B,A47,'DTM Dataset'!O:O)</f>
        <v>202</v>
      </c>
      <c r="F47" s="50">
        <f>SUMIF('DTM Dataset'!B:B,A47,'DTM Dataset'!P:P)</f>
        <v>0</v>
      </c>
      <c r="G47" s="50">
        <f>SUMIF('DTM Dataset'!B:B,A47,'DTM Dataset'!R:R)</f>
        <v>1326</v>
      </c>
      <c r="H47" s="50">
        <f>SUMIF('DTM Dataset'!B:B,A47,'DTM Dataset'!V:V)</f>
        <v>103</v>
      </c>
      <c r="I47" s="51">
        <f>SUMIF('DTM Dataset'!B:B,A47,'DTM Dataset'!X:X)</f>
        <v>12540</v>
      </c>
      <c r="J47" s="36">
        <f t="shared" si="3"/>
        <v>14233</v>
      </c>
      <c r="L47" s="49"/>
      <c r="M47" s="21"/>
    </row>
    <row r="48" spans="1:13" x14ac:dyDescent="0.2">
      <c r="A48" s="23" t="s">
        <v>27</v>
      </c>
      <c r="B48" s="50">
        <f>SUMIF('DTM Dataset'!B:B,A48,'DTM Dataset'!J:J)</f>
        <v>3924</v>
      </c>
      <c r="C48" s="50">
        <f>SUMIF('DTM Dataset'!B:B,A48,'DTM Dataset'!K:K)</f>
        <v>1660</v>
      </c>
      <c r="D48" s="50">
        <f>SUMIF('DTM Dataset'!B:B,A48,'DTM Dataset'!L:L)</f>
        <v>3742</v>
      </c>
      <c r="E48" s="50">
        <f>SUMIF('DTM Dataset'!B:B,A48,'DTM Dataset'!O:O)</f>
        <v>4333</v>
      </c>
      <c r="F48" s="50">
        <f>SUMIF('DTM Dataset'!B:B,A48,'DTM Dataset'!P:P)</f>
        <v>0</v>
      </c>
      <c r="G48" s="50">
        <f>SUMIF('DTM Dataset'!B:B,A48,'DTM Dataset'!R:R)</f>
        <v>1148</v>
      </c>
      <c r="H48" s="50">
        <f>SUMIF('DTM Dataset'!B:B,A48,'DTM Dataset'!V:V)</f>
        <v>2415</v>
      </c>
      <c r="I48" s="51">
        <f>SUMIF('DTM Dataset'!B:B,A48,'DTM Dataset'!X:X)</f>
        <v>6250</v>
      </c>
      <c r="J48" s="36">
        <f t="shared" si="3"/>
        <v>23472</v>
      </c>
      <c r="L48" s="49"/>
      <c r="M48" s="21"/>
    </row>
    <row r="49" spans="1:17" x14ac:dyDescent="0.2">
      <c r="A49" s="23" t="s">
        <v>28</v>
      </c>
      <c r="B49" s="50">
        <f>SUMIF('DTM Dataset'!B:B,A49,'DTM Dataset'!J:J)</f>
        <v>101</v>
      </c>
      <c r="C49" s="50">
        <f>SUMIF('DTM Dataset'!B:B,A49,'DTM Dataset'!K:K)</f>
        <v>4</v>
      </c>
      <c r="D49" s="50">
        <f>SUMIF('DTM Dataset'!B:B,A49,'DTM Dataset'!L:L)</f>
        <v>7</v>
      </c>
      <c r="E49" s="50">
        <f>SUMIF('DTM Dataset'!B:B,A49,'DTM Dataset'!O:O)</f>
        <v>9</v>
      </c>
      <c r="F49" s="50">
        <f>SUMIF('DTM Dataset'!B:B,A49,'DTM Dataset'!P:P)</f>
        <v>0</v>
      </c>
      <c r="G49" s="50">
        <f>SUMIF('DTM Dataset'!B:B,A49,'DTM Dataset'!R:R)</f>
        <v>84</v>
      </c>
      <c r="H49" s="50">
        <f>SUMIF('DTM Dataset'!B:B,A49,'DTM Dataset'!V:V)</f>
        <v>347</v>
      </c>
      <c r="I49" s="51">
        <f>SUMIF('DTM Dataset'!B:B,A49,'DTM Dataset'!X:X)</f>
        <v>31</v>
      </c>
      <c r="J49" s="36">
        <f t="shared" si="3"/>
        <v>583</v>
      </c>
      <c r="L49" s="49"/>
      <c r="M49" s="21"/>
    </row>
    <row r="50" spans="1:17" x14ac:dyDescent="0.2">
      <c r="A50" s="23" t="s">
        <v>29</v>
      </c>
      <c r="B50" s="50">
        <f>SUMIF('DTM Dataset'!B:B,A50,'DTM Dataset'!J:J)</f>
        <v>54</v>
      </c>
      <c r="C50" s="50">
        <f>SUMIF('DTM Dataset'!B:B,A50,'DTM Dataset'!K:K)</f>
        <v>0</v>
      </c>
      <c r="D50" s="50">
        <f>SUMIF('DTM Dataset'!B:B,A50,'DTM Dataset'!L:L)</f>
        <v>0</v>
      </c>
      <c r="E50" s="50">
        <f>SUMIF('DTM Dataset'!B:B,A50,'DTM Dataset'!O:O)</f>
        <v>60</v>
      </c>
      <c r="F50" s="50">
        <f>SUMIF('DTM Dataset'!B:B,A50,'DTM Dataset'!P:P)</f>
        <v>0</v>
      </c>
      <c r="G50" s="50">
        <f>SUMIF('DTM Dataset'!B:B,A50,'DTM Dataset'!R:R)</f>
        <v>106</v>
      </c>
      <c r="H50" s="50">
        <f>SUMIF('DTM Dataset'!B:B,A50,'DTM Dataset'!V:V)</f>
        <v>923</v>
      </c>
      <c r="I50" s="51">
        <f>SUMIF('DTM Dataset'!B:B,A50,'DTM Dataset'!X:X)</f>
        <v>50</v>
      </c>
      <c r="J50" s="36">
        <f t="shared" si="3"/>
        <v>1193</v>
      </c>
      <c r="L50" s="49"/>
      <c r="M50" s="21"/>
    </row>
    <row r="51" spans="1:17" x14ac:dyDescent="0.2">
      <c r="A51" s="52" t="s">
        <v>5768</v>
      </c>
      <c r="B51" s="24">
        <f>SUM(B33:B50)</f>
        <v>25183</v>
      </c>
      <c r="C51" s="24">
        <f>SUM(C33:C50)</f>
        <v>6482</v>
      </c>
      <c r="D51" s="24">
        <f t="shared" ref="D51" si="4">SUM(D33:D50)</f>
        <v>6166</v>
      </c>
      <c r="E51" s="24">
        <f t="shared" ref="E51:J51" si="5">SUM(E33:E50)</f>
        <v>13639</v>
      </c>
      <c r="F51" s="24">
        <f t="shared" si="5"/>
        <v>2398</v>
      </c>
      <c r="G51" s="24">
        <f t="shared" si="5"/>
        <v>14806</v>
      </c>
      <c r="H51" s="24">
        <f t="shared" si="5"/>
        <v>143094</v>
      </c>
      <c r="I51" s="53">
        <f t="shared" si="5"/>
        <v>28982</v>
      </c>
      <c r="J51" s="54">
        <f t="shared" si="5"/>
        <v>240750</v>
      </c>
      <c r="L51" s="49"/>
      <c r="M51" s="21"/>
    </row>
    <row r="52" spans="1:17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7" x14ac:dyDescent="0.25">
      <c r="A53" s="44" t="s">
        <v>5817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7" ht="27" customHeight="1" x14ac:dyDescent="0.25">
      <c r="A54" s="32" t="s">
        <v>5764</v>
      </c>
      <c r="B54" s="111" t="s">
        <v>5791</v>
      </c>
      <c r="C54" s="112"/>
      <c r="D54" s="112"/>
      <c r="E54" s="112"/>
      <c r="F54" s="112"/>
      <c r="G54" s="112"/>
      <c r="H54" s="112"/>
      <c r="I54" s="112"/>
      <c r="J54" s="112"/>
      <c r="K54" s="113"/>
      <c r="L54" s="25"/>
      <c r="M54" s="26"/>
      <c r="N54" s="26"/>
      <c r="O54" s="26"/>
      <c r="P54" s="26"/>
    </row>
    <row r="55" spans="1:17" ht="27" customHeight="1" x14ac:dyDescent="0.25">
      <c r="A55" s="32" t="s">
        <v>5790</v>
      </c>
      <c r="B55" s="32" t="s">
        <v>41</v>
      </c>
      <c r="C55" s="32" t="s">
        <v>42</v>
      </c>
      <c r="D55" s="56" t="s">
        <v>43</v>
      </c>
      <c r="E55" s="48" t="s">
        <v>44</v>
      </c>
      <c r="F55" s="48" t="s">
        <v>45</v>
      </c>
      <c r="G55" s="48" t="s">
        <v>5769</v>
      </c>
      <c r="H55" s="48" t="s">
        <v>5770</v>
      </c>
      <c r="I55" s="57" t="s">
        <v>48</v>
      </c>
      <c r="J55" s="57" t="s">
        <v>5787</v>
      </c>
      <c r="K55" s="48" t="s">
        <v>5763</v>
      </c>
      <c r="L55" s="21"/>
      <c r="Q55" s="58" t="s">
        <v>5783</v>
      </c>
    </row>
    <row r="56" spans="1:17" x14ac:dyDescent="0.25">
      <c r="A56" s="23" t="s">
        <v>12</v>
      </c>
      <c r="B56" s="50">
        <f>SUMIF('DTM Dataset'!B:B,A56,'DTM Dataset'!AN:AN)</f>
        <v>154</v>
      </c>
      <c r="C56" s="50">
        <f>SUMIF('DTM Dataset'!B:B,A56,'DTM Dataset'!AO:AO)</f>
        <v>164</v>
      </c>
      <c r="D56" s="50">
        <f>SUMIF('DTM Dataset'!B:B,A56,'DTM Dataset'!AP:AP)</f>
        <v>0</v>
      </c>
      <c r="E56" s="59">
        <f>SUMIF('DTM Dataset'!B:B,A56,'DTM Dataset'!AQ:AQ)</f>
        <v>618</v>
      </c>
      <c r="F56" s="59">
        <f>SUMIF('DTM Dataset'!B:B,A56,'DTM Dataset'!AR:AR)</f>
        <v>1000</v>
      </c>
      <c r="G56" s="59">
        <f>SUMIF('DTM Dataset'!B:B,A56,'DTM Dataset'!AS:AS)</f>
        <v>943</v>
      </c>
      <c r="H56" s="59">
        <f>SUMIF('DTM Dataset'!B:B,A56,'DTM Dataset'!AT:AT)</f>
        <v>243</v>
      </c>
      <c r="I56" s="59">
        <f>SUMIF('DTM Dataset'!B:B,A56,'DTM Dataset'!AU:AU)</f>
        <v>1467</v>
      </c>
      <c r="J56" s="59">
        <f>SUMIF('DTM Dataset'!B:B,A56,'DTM Dataset'!AV:AV)</f>
        <v>448</v>
      </c>
      <c r="K56" s="59">
        <f>SUM(B56:J56)</f>
        <v>5037</v>
      </c>
      <c r="Q56" s="60">
        <v>9</v>
      </c>
    </row>
    <row r="57" spans="1:17" x14ac:dyDescent="0.25">
      <c r="A57" s="23" t="s">
        <v>13</v>
      </c>
      <c r="B57" s="50">
        <f>SUMIF('DTM Dataset'!B:B,A57,'DTM Dataset'!AN:AN)</f>
        <v>39</v>
      </c>
      <c r="C57" s="50">
        <f>SUMIF('DTM Dataset'!B:B,A57,'DTM Dataset'!AO:AO)</f>
        <v>2231</v>
      </c>
      <c r="D57" s="50">
        <f>SUMIF('DTM Dataset'!B:B,A57,'DTM Dataset'!AP:AP)</f>
        <v>523</v>
      </c>
      <c r="E57" s="50">
        <f>SUMIF('DTM Dataset'!B:B,A57,'DTM Dataset'!AQ:AQ)</f>
        <v>75</v>
      </c>
      <c r="F57" s="50">
        <f>SUMIF('DTM Dataset'!B:B,A57,'DTM Dataset'!AR:AR)</f>
        <v>11</v>
      </c>
      <c r="G57" s="50">
        <f>SUMIF('DTM Dataset'!B:B,A57,'DTM Dataset'!AS:AS)</f>
        <v>0</v>
      </c>
      <c r="H57" s="50">
        <f>SUMIF('DTM Dataset'!B:B,A57,'DTM Dataset'!AT:AT)</f>
        <v>1</v>
      </c>
      <c r="I57" s="50">
        <f>SUMIF('DTM Dataset'!B:B,A57,'DTM Dataset'!AU:AU)</f>
        <v>0</v>
      </c>
      <c r="J57" s="50">
        <f>SUMIF('DTM Dataset'!B:B,A57,'DTM Dataset'!AV:AV)</f>
        <v>0</v>
      </c>
      <c r="K57" s="50">
        <f t="shared" ref="K57:K73" si="6">SUM(B57:J57)</f>
        <v>2880</v>
      </c>
      <c r="Q57" s="60">
        <v>8</v>
      </c>
    </row>
    <row r="58" spans="1:17" x14ac:dyDescent="0.25">
      <c r="A58" s="23" t="s">
        <v>14</v>
      </c>
      <c r="B58" s="50">
        <f>SUMIF('DTM Dataset'!B:B,A58,'DTM Dataset'!AN:AN)</f>
        <v>904</v>
      </c>
      <c r="C58" s="50">
        <f>SUMIF('DTM Dataset'!B:B,A58,'DTM Dataset'!AO:AO)</f>
        <v>1489</v>
      </c>
      <c r="D58" s="50">
        <f>SUMIF('DTM Dataset'!B:B,A58,'DTM Dataset'!AP:AP)</f>
        <v>1745</v>
      </c>
      <c r="E58" s="50">
        <f>SUMIF('DTM Dataset'!B:B,A58,'DTM Dataset'!AQ:AQ)</f>
        <v>1563</v>
      </c>
      <c r="F58" s="50">
        <f>SUMIF('DTM Dataset'!B:B,A58,'DTM Dataset'!AR:AR)</f>
        <v>1121</v>
      </c>
      <c r="G58" s="50">
        <f>SUMIF('DTM Dataset'!B:B,A58,'DTM Dataset'!AS:AS)</f>
        <v>305</v>
      </c>
      <c r="H58" s="50">
        <f>SUMIF('DTM Dataset'!B:B,A58,'DTM Dataset'!AT:AT)</f>
        <v>284</v>
      </c>
      <c r="I58" s="50">
        <f>SUMIF('DTM Dataset'!B:B,A58,'DTM Dataset'!AU:AU)</f>
        <v>22</v>
      </c>
      <c r="J58" s="50">
        <f>SUMIF('DTM Dataset'!B:B,A58,'DTM Dataset'!AV:AV)</f>
        <v>0</v>
      </c>
      <c r="K58" s="50">
        <f t="shared" si="6"/>
        <v>7433</v>
      </c>
      <c r="Q58" s="60">
        <v>7</v>
      </c>
    </row>
    <row r="59" spans="1:17" x14ac:dyDescent="0.25">
      <c r="A59" s="23" t="s">
        <v>15</v>
      </c>
      <c r="B59" s="50">
        <f>SUMIF('DTM Dataset'!B:B,A59,'DTM Dataset'!AN:AN)</f>
        <v>93</v>
      </c>
      <c r="C59" s="50">
        <f>SUMIF('DTM Dataset'!B:B,A59,'DTM Dataset'!AO:AO)</f>
        <v>227</v>
      </c>
      <c r="D59" s="50">
        <f>SUMIF('DTM Dataset'!B:B,A59,'DTM Dataset'!AP:AP)</f>
        <v>230</v>
      </c>
      <c r="E59" s="50">
        <f>SUMIF('DTM Dataset'!B:B,A59,'DTM Dataset'!AQ:AQ)</f>
        <v>381</v>
      </c>
      <c r="F59" s="50">
        <f>SUMIF('DTM Dataset'!B:B,A59,'DTM Dataset'!AR:AR)</f>
        <v>83</v>
      </c>
      <c r="G59" s="50">
        <f>SUMIF('DTM Dataset'!B:B,A59,'DTM Dataset'!AS:AS)</f>
        <v>26</v>
      </c>
      <c r="H59" s="50">
        <f>SUMIF('DTM Dataset'!B:B,A59,'DTM Dataset'!AT:AT)</f>
        <v>60</v>
      </c>
      <c r="I59" s="50">
        <f>SUMIF('DTM Dataset'!B:B,A59,'DTM Dataset'!AU:AU)</f>
        <v>10</v>
      </c>
      <c r="J59" s="50">
        <f>SUMIF('DTM Dataset'!B:B,A59,'DTM Dataset'!AV:AV)</f>
        <v>0</v>
      </c>
      <c r="K59" s="50">
        <f t="shared" si="6"/>
        <v>1110</v>
      </c>
      <c r="Q59" s="60">
        <v>6</v>
      </c>
    </row>
    <row r="60" spans="1:17" x14ac:dyDescent="0.25">
      <c r="A60" s="23" t="s">
        <v>16</v>
      </c>
      <c r="B60" s="50">
        <f>SUMIF('DTM Dataset'!B:B,A60,'DTM Dataset'!AN:AN)</f>
        <v>51</v>
      </c>
      <c r="C60" s="50">
        <f>SUMIF('DTM Dataset'!B:B,A60,'DTM Dataset'!AO:AO)</f>
        <v>8476</v>
      </c>
      <c r="D60" s="50">
        <f>SUMIF('DTM Dataset'!B:B,A60,'DTM Dataset'!AP:AP)</f>
        <v>42023</v>
      </c>
      <c r="E60" s="50">
        <f>SUMIF('DTM Dataset'!B:B,A60,'DTM Dataset'!AQ:AQ)</f>
        <v>0</v>
      </c>
      <c r="F60" s="50">
        <f>SUMIF('DTM Dataset'!B:B,A60,'DTM Dataset'!AR:AR)</f>
        <v>39</v>
      </c>
      <c r="G60" s="50">
        <f>SUMIF('DTM Dataset'!B:B,A60,'DTM Dataset'!AS:AS)</f>
        <v>0</v>
      </c>
      <c r="H60" s="50">
        <f>SUMIF('DTM Dataset'!B:B,A60,'DTM Dataset'!AT:AT)</f>
        <v>0</v>
      </c>
      <c r="I60" s="50">
        <f>SUMIF('DTM Dataset'!B:B,A60,'DTM Dataset'!AU:AU)</f>
        <v>2698</v>
      </c>
      <c r="J60" s="50">
        <f>SUMIF('DTM Dataset'!B:B,A60,'DTM Dataset'!AV:AV)</f>
        <v>0</v>
      </c>
      <c r="K60" s="50">
        <f t="shared" si="6"/>
        <v>53287</v>
      </c>
      <c r="Q60" s="60">
        <v>5</v>
      </c>
    </row>
    <row r="61" spans="1:17" x14ac:dyDescent="0.25">
      <c r="A61" s="23" t="s">
        <v>17</v>
      </c>
      <c r="B61" s="50">
        <f>SUMIF('DTM Dataset'!B:B,A61,'DTM Dataset'!AN:AN)</f>
        <v>78</v>
      </c>
      <c r="C61" s="50">
        <f>SUMIF('DTM Dataset'!B:B,A61,'DTM Dataset'!AO:AO)</f>
        <v>3047</v>
      </c>
      <c r="D61" s="50">
        <f>SUMIF('DTM Dataset'!B:B,A61,'DTM Dataset'!AP:AP)</f>
        <v>1219</v>
      </c>
      <c r="E61" s="50">
        <f>SUMIF('DTM Dataset'!B:B,A61,'DTM Dataset'!AQ:AQ)</f>
        <v>3709</v>
      </c>
      <c r="F61" s="50">
        <f>SUMIF('DTM Dataset'!B:B,A61,'DTM Dataset'!AR:AR)</f>
        <v>192</v>
      </c>
      <c r="G61" s="50">
        <f>SUMIF('DTM Dataset'!B:B,A61,'DTM Dataset'!AS:AS)</f>
        <v>84</v>
      </c>
      <c r="H61" s="50">
        <f>SUMIF('DTM Dataset'!B:B,A61,'DTM Dataset'!AT:AT)</f>
        <v>108</v>
      </c>
      <c r="I61" s="50">
        <f>SUMIF('DTM Dataset'!B:B,A61,'DTM Dataset'!AU:AU)</f>
        <v>513</v>
      </c>
      <c r="J61" s="50">
        <f>SUMIF('DTM Dataset'!B:B,A61,'DTM Dataset'!AV:AV)</f>
        <v>32</v>
      </c>
      <c r="K61" s="50">
        <f t="shared" si="6"/>
        <v>8982</v>
      </c>
      <c r="Q61" s="60">
        <v>4</v>
      </c>
    </row>
    <row r="62" spans="1:17" x14ac:dyDescent="0.25">
      <c r="A62" s="23" t="s">
        <v>18</v>
      </c>
      <c r="B62" s="50">
        <f>SUMIF('DTM Dataset'!B:B,A62,'DTM Dataset'!AN:AN)</f>
        <v>5423</v>
      </c>
      <c r="C62" s="50">
        <f>SUMIF('DTM Dataset'!B:B,A62,'DTM Dataset'!AO:AO)</f>
        <v>13146</v>
      </c>
      <c r="D62" s="50">
        <f>SUMIF('DTM Dataset'!B:B,A62,'DTM Dataset'!AP:AP)</f>
        <v>2247</v>
      </c>
      <c r="E62" s="50">
        <f>SUMIF('DTM Dataset'!B:B,A62,'DTM Dataset'!AQ:AQ)</f>
        <v>2218</v>
      </c>
      <c r="F62" s="50">
        <f>SUMIF('DTM Dataset'!B:B,A62,'DTM Dataset'!AR:AR)</f>
        <v>6245</v>
      </c>
      <c r="G62" s="50">
        <f>SUMIF('DTM Dataset'!B:B,A62,'DTM Dataset'!AS:AS)</f>
        <v>1307</v>
      </c>
      <c r="H62" s="50">
        <f>SUMIF('DTM Dataset'!B:B,A62,'DTM Dataset'!AT:AT)</f>
        <v>7643</v>
      </c>
      <c r="I62" s="50">
        <f>SUMIF('DTM Dataset'!B:B,A62,'DTM Dataset'!AU:AU)</f>
        <v>2482</v>
      </c>
      <c r="J62" s="50">
        <f>SUMIF('DTM Dataset'!B:B,A62,'DTM Dataset'!AV:AV)</f>
        <v>29</v>
      </c>
      <c r="K62" s="50">
        <f t="shared" si="6"/>
        <v>40740</v>
      </c>
      <c r="Q62" s="60">
        <v>3</v>
      </c>
    </row>
    <row r="63" spans="1:17" x14ac:dyDescent="0.25">
      <c r="A63" s="23" t="s">
        <v>19</v>
      </c>
      <c r="B63" s="50">
        <f>SUMIF('DTM Dataset'!B:B,A63,'DTM Dataset'!AN:AN)</f>
        <v>317</v>
      </c>
      <c r="C63" s="50">
        <f>SUMIF('DTM Dataset'!B:B,A63,'DTM Dataset'!AO:AO)</f>
        <v>2557</v>
      </c>
      <c r="D63" s="50">
        <f>SUMIF('DTM Dataset'!B:B,A63,'DTM Dataset'!AP:AP)</f>
        <v>31</v>
      </c>
      <c r="E63" s="50">
        <f>SUMIF('DTM Dataset'!B:B,A63,'DTM Dataset'!AQ:AQ)</f>
        <v>0</v>
      </c>
      <c r="F63" s="50">
        <f>SUMIF('DTM Dataset'!B:B,A63,'DTM Dataset'!AR:AR)</f>
        <v>0</v>
      </c>
      <c r="G63" s="50">
        <f>SUMIF('DTM Dataset'!B:B,A63,'DTM Dataset'!AS:AS)</f>
        <v>0</v>
      </c>
      <c r="H63" s="50">
        <f>SUMIF('DTM Dataset'!B:B,A63,'DTM Dataset'!AT:AT)</f>
        <v>0</v>
      </c>
      <c r="I63" s="50">
        <f>SUMIF('DTM Dataset'!B:B,A63,'DTM Dataset'!AU:AU)</f>
        <v>0</v>
      </c>
      <c r="J63" s="50">
        <f>SUMIF('DTM Dataset'!B:B,A63,'DTM Dataset'!AV:AV)</f>
        <v>0</v>
      </c>
      <c r="K63" s="50">
        <f t="shared" si="6"/>
        <v>2905</v>
      </c>
      <c r="Q63" s="60">
        <v>2</v>
      </c>
    </row>
    <row r="64" spans="1:17" x14ac:dyDescent="0.25">
      <c r="A64" s="23" t="s">
        <v>20</v>
      </c>
      <c r="B64" s="50">
        <f>SUMIF('DTM Dataset'!B:B,A64,'DTM Dataset'!AN:AN)</f>
        <v>177</v>
      </c>
      <c r="C64" s="50">
        <f>SUMIF('DTM Dataset'!B:B,A64,'DTM Dataset'!AO:AO)</f>
        <v>1893</v>
      </c>
      <c r="D64" s="50">
        <f>SUMIF('DTM Dataset'!B:B,A64,'DTM Dataset'!AP:AP)</f>
        <v>1578</v>
      </c>
      <c r="E64" s="50">
        <f>SUMIF('DTM Dataset'!B:B,A64,'DTM Dataset'!AQ:AQ)</f>
        <v>3327</v>
      </c>
      <c r="F64" s="50">
        <f>SUMIF('DTM Dataset'!B:B,A64,'DTM Dataset'!AR:AR)</f>
        <v>2696</v>
      </c>
      <c r="G64" s="50">
        <f>SUMIF('DTM Dataset'!B:B,A64,'DTM Dataset'!AS:AS)</f>
        <v>2282</v>
      </c>
      <c r="H64" s="50">
        <f>SUMIF('DTM Dataset'!B:B,A64,'DTM Dataset'!AT:AT)</f>
        <v>2954</v>
      </c>
      <c r="I64" s="50">
        <f>SUMIF('DTM Dataset'!B:B,A64,'DTM Dataset'!AU:AU)</f>
        <v>1928</v>
      </c>
      <c r="J64" s="50">
        <f>SUMIF('DTM Dataset'!B:B,A64,'DTM Dataset'!AV:AV)</f>
        <v>12</v>
      </c>
      <c r="K64" s="50">
        <f t="shared" si="6"/>
        <v>16847</v>
      </c>
      <c r="Q64" s="60">
        <v>1</v>
      </c>
    </row>
    <row r="65" spans="1:13" x14ac:dyDescent="0.25">
      <c r="A65" s="23" t="s">
        <v>21</v>
      </c>
      <c r="B65" s="50">
        <f>SUMIF('DTM Dataset'!B:B,A65,'DTM Dataset'!AN:AN)</f>
        <v>16</v>
      </c>
      <c r="C65" s="50">
        <f>SUMIF('DTM Dataset'!B:B,A65,'DTM Dataset'!AO:AO)</f>
        <v>129</v>
      </c>
      <c r="D65" s="50">
        <f>SUMIF('DTM Dataset'!B:B,A65,'DTM Dataset'!AP:AP)</f>
        <v>130</v>
      </c>
      <c r="E65" s="50">
        <f>SUMIF('DTM Dataset'!B:B,A65,'DTM Dataset'!AQ:AQ)</f>
        <v>76</v>
      </c>
      <c r="F65" s="50">
        <f>SUMIF('DTM Dataset'!B:B,A65,'DTM Dataset'!AR:AR)</f>
        <v>9</v>
      </c>
      <c r="G65" s="50">
        <f>SUMIF('DTM Dataset'!B:B,A65,'DTM Dataset'!AS:AS)</f>
        <v>1</v>
      </c>
      <c r="H65" s="50">
        <f>SUMIF('DTM Dataset'!B:B,A65,'DTM Dataset'!AT:AT)</f>
        <v>26</v>
      </c>
      <c r="I65" s="50">
        <f>SUMIF('DTM Dataset'!B:B,A65,'DTM Dataset'!AU:AU)</f>
        <v>0</v>
      </c>
      <c r="J65" s="50">
        <f>SUMIF('DTM Dataset'!B:B,A65,'DTM Dataset'!AV:AV)</f>
        <v>0</v>
      </c>
      <c r="K65" s="50">
        <f t="shared" si="6"/>
        <v>387</v>
      </c>
      <c r="L65" s="61"/>
    </row>
    <row r="66" spans="1:13" x14ac:dyDescent="0.25">
      <c r="A66" s="23" t="s">
        <v>22</v>
      </c>
      <c r="B66" s="50">
        <f>SUMIF('DTM Dataset'!B:B,A66,'DTM Dataset'!AN:AN)</f>
        <v>5</v>
      </c>
      <c r="C66" s="50">
        <f>SUMIF('DTM Dataset'!B:B,A66,'DTM Dataset'!AO:AO)</f>
        <v>74</v>
      </c>
      <c r="D66" s="50">
        <f>SUMIF('DTM Dataset'!B:B,A66,'DTM Dataset'!AP:AP)</f>
        <v>52</v>
      </c>
      <c r="E66" s="50">
        <f>SUMIF('DTM Dataset'!B:B,A66,'DTM Dataset'!AQ:AQ)</f>
        <v>31</v>
      </c>
      <c r="F66" s="50">
        <f>SUMIF('DTM Dataset'!B:B,A66,'DTM Dataset'!AR:AR)</f>
        <v>10</v>
      </c>
      <c r="G66" s="50">
        <f>SUMIF('DTM Dataset'!B:B,A66,'DTM Dataset'!AS:AS)</f>
        <v>0</v>
      </c>
      <c r="H66" s="50">
        <f>SUMIF('DTM Dataset'!B:B,A66,'DTM Dataset'!AT:AT)</f>
        <v>7</v>
      </c>
      <c r="I66" s="50">
        <f>SUMIF('DTM Dataset'!B:B,A66,'DTM Dataset'!AU:AU)</f>
        <v>0</v>
      </c>
      <c r="J66" s="50">
        <f>SUMIF('DTM Dataset'!B:B,A66,'DTM Dataset'!AV:AV)</f>
        <v>0</v>
      </c>
      <c r="K66" s="50">
        <f t="shared" si="6"/>
        <v>179</v>
      </c>
      <c r="L66" s="21"/>
      <c r="M66" s="55"/>
    </row>
    <row r="67" spans="1:13" x14ac:dyDescent="0.25">
      <c r="A67" s="23" t="s">
        <v>23</v>
      </c>
      <c r="B67" s="50">
        <f>SUMIF('DTM Dataset'!B:B,A67,'DTM Dataset'!AN:AN)</f>
        <v>5</v>
      </c>
      <c r="C67" s="50">
        <f>SUMIF('DTM Dataset'!B:B,A67,'DTM Dataset'!AO:AO)</f>
        <v>1232</v>
      </c>
      <c r="D67" s="50">
        <f>SUMIF('DTM Dataset'!B:B,A67,'DTM Dataset'!AP:AP)</f>
        <v>510</v>
      </c>
      <c r="E67" s="50">
        <f>SUMIF('DTM Dataset'!B:B,A67,'DTM Dataset'!AQ:AQ)</f>
        <v>173</v>
      </c>
      <c r="F67" s="50">
        <f>SUMIF('DTM Dataset'!B:B,A67,'DTM Dataset'!AR:AR)</f>
        <v>3</v>
      </c>
      <c r="G67" s="50">
        <f>SUMIF('DTM Dataset'!B:B,A67,'DTM Dataset'!AS:AS)</f>
        <v>0</v>
      </c>
      <c r="H67" s="50">
        <f>SUMIF('DTM Dataset'!B:B,A67,'DTM Dataset'!AT:AT)</f>
        <v>0</v>
      </c>
      <c r="I67" s="50">
        <f>SUMIF('DTM Dataset'!B:B,A67,'DTM Dataset'!AU:AU)</f>
        <v>0</v>
      </c>
      <c r="J67" s="50">
        <f>SUMIF('DTM Dataset'!B:B,A67,'DTM Dataset'!AV:AV)</f>
        <v>0</v>
      </c>
      <c r="K67" s="50">
        <f t="shared" si="6"/>
        <v>1923</v>
      </c>
      <c r="L67" s="21"/>
    </row>
    <row r="68" spans="1:13" x14ac:dyDescent="0.25">
      <c r="A68" s="23" t="s">
        <v>24</v>
      </c>
      <c r="B68" s="50">
        <f>SUMIF('DTM Dataset'!B:B,A68,'DTM Dataset'!AN:AN)</f>
        <v>11</v>
      </c>
      <c r="C68" s="50">
        <f>SUMIF('DTM Dataset'!B:B,A68,'DTM Dataset'!AO:AO)</f>
        <v>3717</v>
      </c>
      <c r="D68" s="50">
        <f>SUMIF('DTM Dataset'!B:B,A68,'DTM Dataset'!AP:AP)</f>
        <v>18739</v>
      </c>
      <c r="E68" s="50">
        <f>SUMIF('DTM Dataset'!B:B,A68,'DTM Dataset'!AQ:AQ)</f>
        <v>918</v>
      </c>
      <c r="F68" s="50">
        <f>SUMIF('DTM Dataset'!B:B,A68,'DTM Dataset'!AR:AR)</f>
        <v>1734</v>
      </c>
      <c r="G68" s="50">
        <f>SUMIF('DTM Dataset'!B:B,A68,'DTM Dataset'!AS:AS)</f>
        <v>619</v>
      </c>
      <c r="H68" s="50">
        <f>SUMIF('DTM Dataset'!B:B,A68,'DTM Dataset'!AT:AT)</f>
        <v>26684</v>
      </c>
      <c r="I68" s="50">
        <f>SUMIF('DTM Dataset'!B:B,A68,'DTM Dataset'!AU:AU)</f>
        <v>5503</v>
      </c>
      <c r="J68" s="50">
        <f>SUMIF('DTM Dataset'!B:B,A68,'DTM Dataset'!AV:AV)</f>
        <v>965</v>
      </c>
      <c r="K68" s="50">
        <f t="shared" si="6"/>
        <v>58890</v>
      </c>
      <c r="L68" s="21"/>
    </row>
    <row r="69" spans="1:13" x14ac:dyDescent="0.25">
      <c r="A69" s="23" t="s">
        <v>25</v>
      </c>
      <c r="B69" s="50">
        <f>SUMIF('DTM Dataset'!B:B,A69,'DTM Dataset'!AN:AN)</f>
        <v>0</v>
      </c>
      <c r="C69" s="50">
        <f>SUMIF('DTM Dataset'!B:B,A69,'DTM Dataset'!AO:AO)</f>
        <v>379</v>
      </c>
      <c r="D69" s="50">
        <f>SUMIF('DTM Dataset'!B:B,A69,'DTM Dataset'!AP:AP)</f>
        <v>280</v>
      </c>
      <c r="E69" s="50">
        <f>SUMIF('DTM Dataset'!B:B,A69,'DTM Dataset'!AQ:AQ)</f>
        <v>10</v>
      </c>
      <c r="F69" s="50">
        <f>SUMIF('DTM Dataset'!B:B,A69,'DTM Dataset'!AR:AR)</f>
        <v>0</v>
      </c>
      <c r="G69" s="50">
        <f>SUMIF('DTM Dataset'!B:B,A69,'DTM Dataset'!AS:AS)</f>
        <v>0</v>
      </c>
      <c r="H69" s="50">
        <f>SUMIF('DTM Dataset'!B:B,A69,'DTM Dataset'!AT:AT)</f>
        <v>0</v>
      </c>
      <c r="I69" s="50">
        <f>SUMIF('DTM Dataset'!B:B,A69,'DTM Dataset'!AU:AU)</f>
        <v>0</v>
      </c>
      <c r="J69" s="50">
        <f>SUMIF('DTM Dataset'!B:B,A69,'DTM Dataset'!AV:AV)</f>
        <v>0</v>
      </c>
      <c r="K69" s="50">
        <f t="shared" si="6"/>
        <v>669</v>
      </c>
      <c r="L69" s="21"/>
    </row>
    <row r="70" spans="1:13" x14ac:dyDescent="0.25">
      <c r="A70" s="23" t="s">
        <v>26</v>
      </c>
      <c r="B70" s="50">
        <f>SUMIF('DTM Dataset'!B:B,A70,'DTM Dataset'!AN:AN)</f>
        <v>126</v>
      </c>
      <c r="C70" s="50">
        <f>SUMIF('DTM Dataset'!B:B,A70,'DTM Dataset'!AO:AO)</f>
        <v>2360</v>
      </c>
      <c r="D70" s="50">
        <f>SUMIF('DTM Dataset'!B:B,A70,'DTM Dataset'!AP:AP)</f>
        <v>4490</v>
      </c>
      <c r="E70" s="50">
        <f>SUMIF('DTM Dataset'!B:B,A70,'DTM Dataset'!AQ:AQ)</f>
        <v>2383</v>
      </c>
      <c r="F70" s="50">
        <f>SUMIF('DTM Dataset'!B:B,A70,'DTM Dataset'!AR:AR)</f>
        <v>2541</v>
      </c>
      <c r="G70" s="50">
        <f>SUMIF('DTM Dataset'!B:B,A70,'DTM Dataset'!AS:AS)</f>
        <v>884</v>
      </c>
      <c r="H70" s="50">
        <f>SUMIF('DTM Dataset'!B:B,A70,'DTM Dataset'!AT:AT)</f>
        <v>1290</v>
      </c>
      <c r="I70" s="50">
        <f>SUMIF('DTM Dataset'!B:B,A70,'DTM Dataset'!AU:AU)</f>
        <v>159</v>
      </c>
      <c r="J70" s="50">
        <f>SUMIF('DTM Dataset'!B:B,A70,'DTM Dataset'!AV:AV)</f>
        <v>0</v>
      </c>
      <c r="K70" s="50">
        <f t="shared" si="6"/>
        <v>14233</v>
      </c>
      <c r="L70" s="21"/>
    </row>
    <row r="71" spans="1:13" x14ac:dyDescent="0.25">
      <c r="A71" s="23" t="s">
        <v>27</v>
      </c>
      <c r="B71" s="50">
        <f>SUMIF('DTM Dataset'!B:B,A71,'DTM Dataset'!AN:AN)</f>
        <v>1628</v>
      </c>
      <c r="C71" s="50">
        <f>SUMIF('DTM Dataset'!B:B,A71,'DTM Dataset'!AO:AO)</f>
        <v>4282</v>
      </c>
      <c r="D71" s="50">
        <f>SUMIF('DTM Dataset'!B:B,A71,'DTM Dataset'!AP:AP)</f>
        <v>2777</v>
      </c>
      <c r="E71" s="50">
        <f>SUMIF('DTM Dataset'!B:B,A71,'DTM Dataset'!AQ:AQ)</f>
        <v>5885</v>
      </c>
      <c r="F71" s="50">
        <f>SUMIF('DTM Dataset'!B:B,A71,'DTM Dataset'!AR:AR)</f>
        <v>2036</v>
      </c>
      <c r="G71" s="50">
        <f>SUMIF('DTM Dataset'!B:B,A71,'DTM Dataset'!AS:AS)</f>
        <v>1813</v>
      </c>
      <c r="H71" s="50">
        <f>SUMIF('DTM Dataset'!B:B,A71,'DTM Dataset'!AT:AT)</f>
        <v>1430</v>
      </c>
      <c r="I71" s="50">
        <f>SUMIF('DTM Dataset'!B:B,A71,'DTM Dataset'!AU:AU)</f>
        <v>3180</v>
      </c>
      <c r="J71" s="50">
        <f>SUMIF('DTM Dataset'!B:B,A71,'DTM Dataset'!AV:AV)</f>
        <v>441</v>
      </c>
      <c r="K71" s="50">
        <f t="shared" si="6"/>
        <v>23472</v>
      </c>
      <c r="L71" s="21"/>
    </row>
    <row r="72" spans="1:13" x14ac:dyDescent="0.25">
      <c r="A72" s="23" t="s">
        <v>28</v>
      </c>
      <c r="B72" s="50">
        <f>SUMIF('DTM Dataset'!B:B,A72,'DTM Dataset'!AN:AN)</f>
        <v>46</v>
      </c>
      <c r="C72" s="50">
        <f>SUMIF('DTM Dataset'!B:B,A72,'DTM Dataset'!AO:AO)</f>
        <v>227</v>
      </c>
      <c r="D72" s="50">
        <f>SUMIF('DTM Dataset'!B:B,A72,'DTM Dataset'!AP:AP)</f>
        <v>189</v>
      </c>
      <c r="E72" s="50">
        <f>SUMIF('DTM Dataset'!B:B,A72,'DTM Dataset'!AQ:AQ)</f>
        <v>90</v>
      </c>
      <c r="F72" s="50">
        <f>SUMIF('DTM Dataset'!B:B,A72,'DTM Dataset'!AR:AR)</f>
        <v>15</v>
      </c>
      <c r="G72" s="50">
        <f>SUMIF('DTM Dataset'!B:B,A72,'DTM Dataset'!AS:AS)</f>
        <v>0</v>
      </c>
      <c r="H72" s="50">
        <f>SUMIF('DTM Dataset'!B:B,A72,'DTM Dataset'!AT:AT)</f>
        <v>16</v>
      </c>
      <c r="I72" s="50">
        <f>SUMIF('DTM Dataset'!B:B,A72,'DTM Dataset'!AU:AU)</f>
        <v>0</v>
      </c>
      <c r="J72" s="50">
        <f>SUMIF('DTM Dataset'!B:B,A72,'DTM Dataset'!AV:AV)</f>
        <v>0</v>
      </c>
      <c r="K72" s="50">
        <f t="shared" si="6"/>
        <v>583</v>
      </c>
      <c r="L72" s="21"/>
    </row>
    <row r="73" spans="1:13" x14ac:dyDescent="0.25">
      <c r="A73" s="23" t="s">
        <v>29</v>
      </c>
      <c r="B73" s="50">
        <f>SUMIF('DTM Dataset'!B:B,A73,'DTM Dataset'!AN:AN)</f>
        <v>61</v>
      </c>
      <c r="C73" s="50">
        <f>SUMIF('DTM Dataset'!B:B,A73,'DTM Dataset'!AO:AO)</f>
        <v>900</v>
      </c>
      <c r="D73" s="50">
        <f>SUMIF('DTM Dataset'!B:B,A73,'DTM Dataset'!AP:AP)</f>
        <v>166</v>
      </c>
      <c r="E73" s="50">
        <f>SUMIF('DTM Dataset'!B:B,A73,'DTM Dataset'!AQ:AQ)</f>
        <v>30</v>
      </c>
      <c r="F73" s="50">
        <f>SUMIF('DTM Dataset'!B:B,A73,'DTM Dataset'!AR:AR)</f>
        <v>36</v>
      </c>
      <c r="G73" s="50">
        <f>SUMIF('DTM Dataset'!B:B,A73,'DTM Dataset'!AS:AS)</f>
        <v>0</v>
      </c>
      <c r="H73" s="50">
        <f>SUMIF('DTM Dataset'!B:B,A73,'DTM Dataset'!AT:AT)</f>
        <v>0</v>
      </c>
      <c r="I73" s="50">
        <f>SUMIF('DTM Dataset'!B:B,A73,'DTM Dataset'!AU:AU)</f>
        <v>0</v>
      </c>
      <c r="J73" s="50">
        <f>SUMIF('DTM Dataset'!B:B,A73,'DTM Dataset'!AV:AV)</f>
        <v>0</v>
      </c>
      <c r="K73" s="50">
        <f t="shared" si="6"/>
        <v>1193</v>
      </c>
      <c r="L73" s="21"/>
    </row>
    <row r="74" spans="1:13" x14ac:dyDescent="0.25">
      <c r="A74" s="52" t="s">
        <v>5763</v>
      </c>
      <c r="B74" s="24">
        <f t="shared" ref="B74:J74" si="7">SUM(B56:B73)</f>
        <v>9134</v>
      </c>
      <c r="C74" s="24">
        <f t="shared" si="7"/>
        <v>46530</v>
      </c>
      <c r="D74" s="24">
        <f t="shared" si="7"/>
        <v>76929</v>
      </c>
      <c r="E74" s="24">
        <f t="shared" si="7"/>
        <v>21487</v>
      </c>
      <c r="F74" s="24">
        <f t="shared" si="7"/>
        <v>17771</v>
      </c>
      <c r="G74" s="24">
        <f t="shared" si="7"/>
        <v>8264</v>
      </c>
      <c r="H74" s="24">
        <f t="shared" si="7"/>
        <v>40746</v>
      </c>
      <c r="I74" s="24">
        <f t="shared" si="7"/>
        <v>17962</v>
      </c>
      <c r="J74" s="24">
        <f t="shared" si="7"/>
        <v>1927</v>
      </c>
      <c r="K74" s="24">
        <f>SUM(K56:K73)</f>
        <v>240750</v>
      </c>
      <c r="L74" s="21"/>
    </row>
    <row r="75" spans="1:13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3" x14ac:dyDescent="0.25">
      <c r="A76" s="27" t="s">
        <v>5818</v>
      </c>
      <c r="E76" s="21"/>
      <c r="F76" s="21"/>
      <c r="G76" s="21"/>
      <c r="H76" s="21"/>
      <c r="I76" s="21"/>
      <c r="J76" s="21"/>
      <c r="K76" s="21"/>
      <c r="L76" s="21"/>
    </row>
    <row r="77" spans="1:13" ht="25.5" x14ac:dyDescent="0.25">
      <c r="A77" s="32" t="s">
        <v>5791</v>
      </c>
      <c r="B77" s="32" t="s">
        <v>5862</v>
      </c>
      <c r="C77" s="32" t="s">
        <v>5771</v>
      </c>
      <c r="D77" s="32" t="s">
        <v>5772</v>
      </c>
      <c r="E77" s="62" t="s">
        <v>5783</v>
      </c>
      <c r="F77" s="21"/>
      <c r="G77" s="21"/>
      <c r="H77" s="21"/>
      <c r="I77" s="21"/>
      <c r="J77" s="21"/>
      <c r="K77" s="21"/>
      <c r="L77" s="21"/>
    </row>
    <row r="78" spans="1:13" x14ac:dyDescent="0.25">
      <c r="A78" s="23" t="s">
        <v>41</v>
      </c>
      <c r="B78" s="50">
        <f>SUM('DTM Dataset'!AN:AN)</f>
        <v>9134</v>
      </c>
      <c r="C78" s="50">
        <f t="shared" ref="C78:C86" si="8">B78*6</f>
        <v>54804</v>
      </c>
      <c r="D78" s="63">
        <f t="shared" ref="D78:D87" si="9">C78/$C$87</f>
        <v>3.7939771547248181E-2</v>
      </c>
      <c r="E78" s="62">
        <v>9</v>
      </c>
      <c r="F78" s="21"/>
      <c r="G78" s="21"/>
      <c r="H78" s="21"/>
      <c r="I78" s="21"/>
      <c r="J78" s="21"/>
      <c r="K78" s="21"/>
      <c r="L78" s="21"/>
    </row>
    <row r="79" spans="1:13" x14ac:dyDescent="0.25">
      <c r="A79" s="23" t="s">
        <v>42</v>
      </c>
      <c r="B79" s="50">
        <f>SUM('DTM Dataset'!AO:AO)</f>
        <v>46530</v>
      </c>
      <c r="C79" s="50">
        <f t="shared" si="8"/>
        <v>279180</v>
      </c>
      <c r="D79" s="63">
        <f t="shared" si="9"/>
        <v>0.19327102803738319</v>
      </c>
      <c r="E79" s="62">
        <v>8</v>
      </c>
      <c r="F79" s="21"/>
      <c r="G79" s="21"/>
      <c r="H79" s="21"/>
      <c r="I79" s="21"/>
      <c r="J79" s="21"/>
      <c r="K79" s="21"/>
      <c r="L79" s="21"/>
    </row>
    <row r="80" spans="1:13" x14ac:dyDescent="0.25">
      <c r="A80" s="23" t="s">
        <v>43</v>
      </c>
      <c r="B80" s="50">
        <f>SUM('DTM Dataset'!AP:AP)</f>
        <v>76929</v>
      </c>
      <c r="C80" s="50">
        <f t="shared" si="8"/>
        <v>461574</v>
      </c>
      <c r="D80" s="63">
        <f t="shared" si="9"/>
        <v>0.31953894080996886</v>
      </c>
      <c r="E80" s="62">
        <v>7</v>
      </c>
      <c r="F80" s="21"/>
      <c r="G80" s="21"/>
      <c r="H80" s="21"/>
      <c r="I80" s="21"/>
      <c r="J80" s="21"/>
      <c r="K80" s="21"/>
      <c r="L80" s="21"/>
    </row>
    <row r="81" spans="1:13" x14ac:dyDescent="0.25">
      <c r="A81" s="23" t="s">
        <v>44</v>
      </c>
      <c r="B81" s="50">
        <f>SUM('DTM Dataset'!AQ:AQ)</f>
        <v>21487</v>
      </c>
      <c r="C81" s="50">
        <f t="shared" si="8"/>
        <v>128922</v>
      </c>
      <c r="D81" s="63">
        <f t="shared" si="9"/>
        <v>8.9250259605399798E-2</v>
      </c>
      <c r="E81" s="62">
        <v>6</v>
      </c>
      <c r="F81" s="21"/>
      <c r="G81" s="21"/>
      <c r="H81" s="21"/>
      <c r="I81" s="21"/>
      <c r="J81" s="21"/>
      <c r="K81" s="21"/>
      <c r="L81" s="21"/>
    </row>
    <row r="82" spans="1:13" x14ac:dyDescent="0.25">
      <c r="A82" s="23" t="s">
        <v>45</v>
      </c>
      <c r="B82" s="50">
        <f>SUM('DTM Dataset'!AR:AR)</f>
        <v>17771</v>
      </c>
      <c r="C82" s="50">
        <f t="shared" si="8"/>
        <v>106626</v>
      </c>
      <c r="D82" s="63">
        <f t="shared" si="9"/>
        <v>7.3815160955347875E-2</v>
      </c>
      <c r="E82" s="62">
        <v>5</v>
      </c>
      <c r="F82" s="21"/>
      <c r="G82" s="21"/>
      <c r="H82" s="21"/>
      <c r="I82" s="21"/>
      <c r="J82" s="21"/>
      <c r="K82" s="21"/>
      <c r="L82" s="21"/>
    </row>
    <row r="83" spans="1:13" x14ac:dyDescent="0.25">
      <c r="A83" s="23" t="s">
        <v>5774</v>
      </c>
      <c r="B83" s="50">
        <f>SUM('DTM Dataset'!AS:AS)</f>
        <v>8264</v>
      </c>
      <c r="C83" s="50">
        <f t="shared" si="8"/>
        <v>49584</v>
      </c>
      <c r="D83" s="63">
        <f t="shared" si="9"/>
        <v>3.432606438213915E-2</v>
      </c>
      <c r="E83" s="62">
        <v>4</v>
      </c>
      <c r="F83" s="21"/>
      <c r="G83" s="21"/>
      <c r="H83" s="21"/>
      <c r="I83" s="21"/>
      <c r="J83" s="21"/>
      <c r="K83" s="21"/>
      <c r="L83" s="21"/>
    </row>
    <row r="84" spans="1:13" x14ac:dyDescent="0.25">
      <c r="A84" s="23" t="s">
        <v>5773</v>
      </c>
      <c r="B84" s="50">
        <f>SUM('DTM Dataset'!AT:AT)</f>
        <v>40746</v>
      </c>
      <c r="C84" s="50">
        <f t="shared" si="8"/>
        <v>244476</v>
      </c>
      <c r="D84" s="63">
        <f t="shared" si="9"/>
        <v>0.1692461059190031</v>
      </c>
      <c r="E84" s="62">
        <v>3</v>
      </c>
      <c r="F84" s="21"/>
      <c r="G84" s="21"/>
      <c r="H84" s="21"/>
      <c r="I84" s="21"/>
      <c r="J84" s="21"/>
      <c r="K84" s="21"/>
      <c r="L84" s="21"/>
    </row>
    <row r="85" spans="1:13" x14ac:dyDescent="0.25">
      <c r="A85" s="64" t="s">
        <v>48</v>
      </c>
      <c r="B85" s="50">
        <f>SUM('DTM Dataset'!AU:AU)</f>
        <v>17962</v>
      </c>
      <c r="C85" s="50">
        <f t="shared" si="8"/>
        <v>107772</v>
      </c>
      <c r="D85" s="63">
        <f t="shared" si="9"/>
        <v>7.4608515057113189E-2</v>
      </c>
      <c r="E85" s="62">
        <v>2</v>
      </c>
      <c r="F85" s="21"/>
      <c r="G85" s="21"/>
      <c r="H85" s="21"/>
      <c r="I85" s="21"/>
      <c r="J85" s="21"/>
      <c r="K85" s="21"/>
      <c r="L85" s="21"/>
    </row>
    <row r="86" spans="1:13" x14ac:dyDescent="0.25">
      <c r="A86" s="65" t="s">
        <v>5789</v>
      </c>
      <c r="B86" s="50">
        <f>SUM('DTM Dataset'!AV:AV)</f>
        <v>1927</v>
      </c>
      <c r="C86" s="50">
        <f t="shared" si="8"/>
        <v>11562</v>
      </c>
      <c r="D86" s="63">
        <f t="shared" si="9"/>
        <v>8.0041536863966773E-3</v>
      </c>
      <c r="E86" s="62">
        <v>1</v>
      </c>
      <c r="F86" s="21"/>
      <c r="G86" s="21"/>
      <c r="H86" s="21"/>
      <c r="I86" s="21"/>
      <c r="J86" s="21"/>
      <c r="K86" s="21"/>
      <c r="L86" s="21"/>
    </row>
    <row r="87" spans="1:13" x14ac:dyDescent="0.25">
      <c r="A87" s="66" t="s">
        <v>5763</v>
      </c>
      <c r="B87" s="67">
        <f>SUM(B78:B86)</f>
        <v>240750</v>
      </c>
      <c r="C87" s="24">
        <f>SUM(C78:C86)</f>
        <v>1444500</v>
      </c>
      <c r="D87" s="68">
        <f t="shared" si="9"/>
        <v>1</v>
      </c>
      <c r="E87" s="62"/>
      <c r="F87" s="21"/>
      <c r="G87" s="21"/>
      <c r="H87" s="21"/>
      <c r="I87" s="21"/>
      <c r="J87" s="21"/>
      <c r="K87" s="21"/>
      <c r="L87" s="21"/>
    </row>
    <row r="88" spans="1:13" x14ac:dyDescent="0.25">
      <c r="A88" s="55"/>
      <c r="B88" s="55"/>
      <c r="C88" s="55"/>
      <c r="D88" s="55"/>
      <c r="E88" s="21"/>
      <c r="F88" s="21"/>
      <c r="G88" s="21"/>
      <c r="H88" s="21"/>
      <c r="I88" s="21"/>
      <c r="J88" s="21"/>
      <c r="K88" s="21"/>
    </row>
    <row r="89" spans="1:13" x14ac:dyDescent="0.25">
      <c r="A89" s="27" t="s">
        <v>5792</v>
      </c>
    </row>
    <row r="90" spans="1:13" ht="42" customHeight="1" x14ac:dyDescent="0.2">
      <c r="A90" s="32" t="s">
        <v>5790</v>
      </c>
      <c r="B90" s="32" t="s">
        <v>5762</v>
      </c>
      <c r="C90" s="32" t="s">
        <v>5860</v>
      </c>
      <c r="D90" s="32" t="s">
        <v>11</v>
      </c>
      <c r="E90" s="69"/>
      <c r="F90" s="31"/>
      <c r="G90" s="31"/>
      <c r="H90" s="31"/>
      <c r="I90" s="31"/>
      <c r="J90" s="31"/>
      <c r="K90" s="31"/>
      <c r="L90" s="31"/>
      <c r="M90" s="31"/>
    </row>
    <row r="91" spans="1:13" x14ac:dyDescent="0.2">
      <c r="A91" s="114" t="s">
        <v>12</v>
      </c>
      <c r="B91" s="50" t="s">
        <v>52</v>
      </c>
      <c r="C91" s="50">
        <f>SUMIF('DTM Dataset'!$C:$C,$B91,'DTM Dataset'!H:H)</f>
        <v>0</v>
      </c>
      <c r="D91" s="50">
        <f>SUMIF('DTM Dataset'!$C:$C,$B91,'DTM Dataset'!I:I)</f>
        <v>0</v>
      </c>
      <c r="E91" s="69"/>
      <c r="F91" s="31"/>
      <c r="G91" s="31"/>
      <c r="H91" s="31"/>
      <c r="I91" s="31"/>
      <c r="J91" s="31"/>
      <c r="K91" s="31"/>
      <c r="L91" s="31"/>
      <c r="M91" s="31"/>
    </row>
    <row r="92" spans="1:13" x14ac:dyDescent="0.2">
      <c r="A92" s="115"/>
      <c r="B92" s="50" t="s">
        <v>53</v>
      </c>
      <c r="C92" s="50">
        <f>SUMIF('DTM Dataset'!$C:$C,$B92,'DTM Dataset'!H:H)</f>
        <v>516</v>
      </c>
      <c r="D92" s="50">
        <f>SUMIF('DTM Dataset'!$C:$C,$B92,'DTM Dataset'!I:I)</f>
        <v>3096</v>
      </c>
      <c r="E92" s="69"/>
      <c r="F92" s="31"/>
      <c r="G92" s="31"/>
      <c r="H92" s="31"/>
      <c r="I92" s="31"/>
      <c r="J92" s="31"/>
      <c r="K92" s="31"/>
      <c r="L92" s="31"/>
      <c r="M92" s="31"/>
    </row>
    <row r="93" spans="1:13" x14ac:dyDescent="0.2">
      <c r="A93" s="115"/>
      <c r="B93" s="50" t="s">
        <v>66</v>
      </c>
      <c r="C93" s="50">
        <f>SUMIF('DTM Dataset'!$C:$C,$B93,'DTM Dataset'!H:H)</f>
        <v>92</v>
      </c>
      <c r="D93" s="50">
        <f>SUMIF('DTM Dataset'!$C:$C,$B93,'DTM Dataset'!I:I)</f>
        <v>552</v>
      </c>
      <c r="E93" s="69"/>
      <c r="F93" s="31"/>
      <c r="G93" s="31"/>
      <c r="H93" s="31"/>
      <c r="I93" s="31"/>
      <c r="J93" s="31"/>
      <c r="K93" s="31"/>
      <c r="L93" s="31"/>
      <c r="M93" s="31"/>
    </row>
    <row r="94" spans="1:13" x14ac:dyDescent="0.2">
      <c r="A94" s="115"/>
      <c r="B94" s="50" t="s">
        <v>77</v>
      </c>
      <c r="C94" s="50">
        <f>SUMIF('DTM Dataset'!$C:$C,$B94,'DTM Dataset'!H:H)</f>
        <v>3235</v>
      </c>
      <c r="D94" s="50">
        <f>SUMIF('DTM Dataset'!$C:$C,$B94,'DTM Dataset'!I:I)</f>
        <v>19410</v>
      </c>
      <c r="E94" s="69"/>
      <c r="F94" s="31"/>
      <c r="G94" s="31"/>
      <c r="H94" s="31"/>
      <c r="I94" s="31"/>
      <c r="J94" s="31"/>
      <c r="K94" s="31"/>
      <c r="L94" s="31"/>
      <c r="M94" s="31"/>
    </row>
    <row r="95" spans="1:13" x14ac:dyDescent="0.2">
      <c r="A95" s="115"/>
      <c r="B95" s="50" t="s">
        <v>110</v>
      </c>
      <c r="C95" s="50">
        <f>SUMIF('DTM Dataset'!$C:$C,$B95,'DTM Dataset'!H:H)</f>
        <v>205</v>
      </c>
      <c r="D95" s="50">
        <f>SUMIF('DTM Dataset'!$C:$C,$B95,'DTM Dataset'!I:I)</f>
        <v>1230</v>
      </c>
      <c r="E95" s="69"/>
      <c r="F95" s="31"/>
      <c r="G95" s="31"/>
      <c r="H95" s="31"/>
      <c r="I95" s="31"/>
      <c r="J95" s="31"/>
      <c r="K95" s="31"/>
      <c r="L95" s="31"/>
      <c r="M95" s="31"/>
    </row>
    <row r="96" spans="1:13" x14ac:dyDescent="0.2">
      <c r="A96" s="115"/>
      <c r="B96" s="50" t="s">
        <v>127</v>
      </c>
      <c r="C96" s="50">
        <f>SUMIF('DTM Dataset'!$C:$C,$B96,'DTM Dataset'!H:H)</f>
        <v>142</v>
      </c>
      <c r="D96" s="50">
        <f>SUMIF('DTM Dataset'!$C:$C,$B96,'DTM Dataset'!I:I)</f>
        <v>852</v>
      </c>
      <c r="E96" s="69"/>
      <c r="F96" s="31"/>
      <c r="G96" s="31"/>
      <c r="H96" s="31"/>
      <c r="I96" s="31"/>
      <c r="J96" s="31"/>
      <c r="K96" s="31"/>
      <c r="L96" s="31"/>
      <c r="M96" s="31"/>
    </row>
    <row r="97" spans="1:13" x14ac:dyDescent="0.2">
      <c r="A97" s="115"/>
      <c r="B97" s="50" t="s">
        <v>149</v>
      </c>
      <c r="C97" s="50">
        <f>SUMIF('DTM Dataset'!$C:$C,$B97,'DTM Dataset'!H:H)</f>
        <v>847</v>
      </c>
      <c r="D97" s="50">
        <f>SUMIF('DTM Dataset'!$C:$C,$B97,'DTM Dataset'!I:I)</f>
        <v>5082</v>
      </c>
      <c r="E97" s="69"/>
      <c r="F97" s="31"/>
      <c r="G97" s="31"/>
      <c r="H97" s="31"/>
      <c r="I97" s="31"/>
      <c r="J97" s="31"/>
      <c r="K97" s="31"/>
      <c r="L97" s="31"/>
      <c r="M97" s="31"/>
    </row>
    <row r="98" spans="1:13" x14ac:dyDescent="0.2">
      <c r="A98" s="116"/>
      <c r="B98" s="50" t="s">
        <v>148</v>
      </c>
      <c r="C98" s="50">
        <f>SUMIF('DTM Dataset'!$C:$C,$B98,'DTM Dataset'!H:H)</f>
        <v>0</v>
      </c>
      <c r="D98" s="50">
        <f>SUMIF('DTM Dataset'!$C:$C,$B98,'DTM Dataset'!I:I)</f>
        <v>0</v>
      </c>
      <c r="E98" s="69"/>
      <c r="F98" s="31"/>
      <c r="G98" s="31"/>
      <c r="H98" s="31"/>
      <c r="I98" s="31"/>
      <c r="J98" s="31"/>
      <c r="K98" s="31"/>
      <c r="L98" s="31"/>
      <c r="M98" s="31"/>
    </row>
    <row r="99" spans="1:13" x14ac:dyDescent="0.2">
      <c r="A99" s="114" t="s">
        <v>13</v>
      </c>
      <c r="B99" s="50" t="s">
        <v>177</v>
      </c>
      <c r="C99" s="50">
        <f>SUMIF('DTM Dataset'!$C:$C,$B99,'DTM Dataset'!H:H)</f>
        <v>74</v>
      </c>
      <c r="D99" s="50">
        <f>SUMIF('DTM Dataset'!$C:$C,$B99,'DTM Dataset'!I:I)</f>
        <v>444</v>
      </c>
      <c r="E99" s="69"/>
      <c r="F99" s="31"/>
      <c r="G99" s="31"/>
      <c r="H99" s="31"/>
      <c r="I99" s="31"/>
      <c r="J99" s="31"/>
      <c r="K99" s="31"/>
      <c r="L99" s="31"/>
      <c r="M99" s="31"/>
    </row>
    <row r="100" spans="1:13" x14ac:dyDescent="0.2">
      <c r="A100" s="115"/>
      <c r="B100" s="50" t="s">
        <v>226</v>
      </c>
      <c r="C100" s="50">
        <f>SUMIF('DTM Dataset'!$C:$C,$B100,'DTM Dataset'!H:H)</f>
        <v>2479</v>
      </c>
      <c r="D100" s="50">
        <f>SUMIF('DTM Dataset'!$C:$C,$B100,'DTM Dataset'!I:I)</f>
        <v>14874</v>
      </c>
      <c r="E100" s="69"/>
      <c r="F100" s="31"/>
      <c r="G100" s="31"/>
      <c r="H100" s="31"/>
      <c r="I100" s="31"/>
      <c r="J100" s="31"/>
      <c r="K100" s="31"/>
      <c r="L100" s="31"/>
      <c r="M100" s="31"/>
    </row>
    <row r="101" spans="1:13" x14ac:dyDescent="0.2">
      <c r="A101" s="115"/>
      <c r="B101" s="50" t="s">
        <v>326</v>
      </c>
      <c r="C101" s="50">
        <f>SUMIF('DTM Dataset'!$C:$C,$B101,'DTM Dataset'!H:H)</f>
        <v>58</v>
      </c>
      <c r="D101" s="50">
        <f>SUMIF('DTM Dataset'!$C:$C,$B101,'DTM Dataset'!I:I)</f>
        <v>348</v>
      </c>
      <c r="E101" s="69"/>
      <c r="F101" s="31"/>
      <c r="G101" s="31"/>
      <c r="H101" s="31"/>
      <c r="I101" s="31"/>
      <c r="J101" s="31"/>
      <c r="K101" s="31"/>
      <c r="L101" s="31"/>
      <c r="M101" s="31"/>
    </row>
    <row r="102" spans="1:13" x14ac:dyDescent="0.2">
      <c r="A102" s="116"/>
      <c r="B102" s="50" t="s">
        <v>361</v>
      </c>
      <c r="C102" s="50">
        <f>SUMIF('DTM Dataset'!$C:$C,$B102,'DTM Dataset'!H:H)</f>
        <v>269</v>
      </c>
      <c r="D102" s="50">
        <f>SUMIF('DTM Dataset'!$C:$C,$B102,'DTM Dataset'!I:I)</f>
        <v>1614</v>
      </c>
      <c r="E102" s="69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">
      <c r="A103" s="114" t="s">
        <v>14</v>
      </c>
      <c r="B103" s="50" t="s">
        <v>460</v>
      </c>
      <c r="C103" s="50">
        <f>SUMIF('DTM Dataset'!$C:$C,$B103,'DTM Dataset'!H:H)</f>
        <v>1246</v>
      </c>
      <c r="D103" s="50">
        <f>SUMIF('DTM Dataset'!$C:$C,$B103,'DTM Dataset'!I:I)</f>
        <v>7476</v>
      </c>
      <c r="E103" s="69"/>
      <c r="F103" s="31"/>
      <c r="G103" s="31"/>
      <c r="H103" s="31"/>
      <c r="I103" s="31"/>
      <c r="J103" s="31"/>
      <c r="K103" s="31"/>
      <c r="L103" s="31"/>
      <c r="M103" s="31"/>
    </row>
    <row r="104" spans="1:13" x14ac:dyDescent="0.2">
      <c r="A104" s="115"/>
      <c r="B104" s="50" t="s">
        <v>543</v>
      </c>
      <c r="C104" s="50">
        <f>SUMIF('DTM Dataset'!$C:$C,$B104,'DTM Dataset'!H:H)</f>
        <v>836</v>
      </c>
      <c r="D104" s="50">
        <f>SUMIF('DTM Dataset'!$C:$C,$B104,'DTM Dataset'!I:I)</f>
        <v>5016</v>
      </c>
      <c r="E104" s="69"/>
      <c r="F104" s="31"/>
      <c r="G104" s="31"/>
      <c r="H104" s="31"/>
      <c r="I104" s="31"/>
      <c r="J104" s="31"/>
      <c r="K104" s="31"/>
      <c r="L104" s="31"/>
      <c r="M104" s="31"/>
    </row>
    <row r="105" spans="1:13" x14ac:dyDescent="0.2">
      <c r="A105" s="115"/>
      <c r="B105" s="50" t="s">
        <v>686</v>
      </c>
      <c r="C105" s="50">
        <f>SUMIF('DTM Dataset'!$C:$C,$B105,'DTM Dataset'!H:H)</f>
        <v>644</v>
      </c>
      <c r="D105" s="50">
        <f>SUMIF('DTM Dataset'!$C:$C,$B105,'DTM Dataset'!I:I)</f>
        <v>3864</v>
      </c>
      <c r="E105" s="69"/>
      <c r="F105" s="31"/>
      <c r="G105" s="31"/>
      <c r="H105" s="31"/>
      <c r="I105" s="31"/>
      <c r="J105" s="31"/>
      <c r="K105" s="31"/>
      <c r="L105" s="31"/>
      <c r="M105" s="31"/>
    </row>
    <row r="106" spans="1:13" x14ac:dyDescent="0.2">
      <c r="A106" s="115"/>
      <c r="B106" s="50" t="s">
        <v>887</v>
      </c>
      <c r="C106" s="50">
        <f>SUMIF('DTM Dataset'!$C:$C,$B106,'DTM Dataset'!H:H)</f>
        <v>531</v>
      </c>
      <c r="D106" s="50">
        <f>SUMIF('DTM Dataset'!$C:$C,$B106,'DTM Dataset'!I:I)</f>
        <v>3186</v>
      </c>
      <c r="E106" s="69"/>
      <c r="F106" s="31"/>
      <c r="G106" s="31"/>
      <c r="H106" s="31"/>
      <c r="I106" s="31"/>
      <c r="J106" s="31"/>
      <c r="K106" s="31"/>
      <c r="L106" s="31"/>
      <c r="M106" s="31"/>
    </row>
    <row r="107" spans="1:13" x14ac:dyDescent="0.2">
      <c r="A107" s="115"/>
      <c r="B107" s="50" t="s">
        <v>1039</v>
      </c>
      <c r="C107" s="50">
        <f>SUMIF('DTM Dataset'!$C:$C,$B107,'DTM Dataset'!H:H)</f>
        <v>2465</v>
      </c>
      <c r="D107" s="50">
        <f>SUMIF('DTM Dataset'!$C:$C,$B107,'DTM Dataset'!I:I)</f>
        <v>14790</v>
      </c>
      <c r="E107" s="69"/>
      <c r="F107" s="31"/>
      <c r="G107" s="31"/>
      <c r="H107" s="31"/>
      <c r="I107" s="31"/>
      <c r="J107" s="31"/>
      <c r="K107" s="31"/>
      <c r="L107" s="31"/>
      <c r="M107" s="31"/>
    </row>
    <row r="108" spans="1:13" x14ac:dyDescent="0.2">
      <c r="A108" s="115"/>
      <c r="B108" s="50" t="s">
        <v>1270</v>
      </c>
      <c r="C108" s="50">
        <f>SUMIF('DTM Dataset'!$C:$C,$B108,'DTM Dataset'!H:H)</f>
        <v>176</v>
      </c>
      <c r="D108" s="50">
        <f>SUMIF('DTM Dataset'!$C:$C,$B108,'DTM Dataset'!I:I)</f>
        <v>1056</v>
      </c>
      <c r="E108" s="69"/>
      <c r="F108" s="31"/>
      <c r="G108" s="31"/>
      <c r="H108" s="31"/>
      <c r="I108" s="31"/>
      <c r="J108" s="31"/>
      <c r="K108" s="31"/>
      <c r="L108" s="31"/>
      <c r="M108" s="31"/>
    </row>
    <row r="109" spans="1:13" x14ac:dyDescent="0.2">
      <c r="A109" s="115"/>
      <c r="B109" s="50" t="s">
        <v>1316</v>
      </c>
      <c r="C109" s="50">
        <f>SUMIF('DTM Dataset'!$C:$C,$B109,'DTM Dataset'!H:H)</f>
        <v>827</v>
      </c>
      <c r="D109" s="50">
        <f>SUMIF('DTM Dataset'!$C:$C,$B109,'DTM Dataset'!I:I)</f>
        <v>4962</v>
      </c>
      <c r="E109" s="69"/>
      <c r="F109" s="31"/>
      <c r="G109" s="31"/>
      <c r="H109" s="31"/>
      <c r="I109" s="31"/>
      <c r="J109" s="31"/>
      <c r="K109" s="31"/>
      <c r="L109" s="31"/>
      <c r="M109" s="31"/>
    </row>
    <row r="110" spans="1:13" x14ac:dyDescent="0.2">
      <c r="A110" s="115"/>
      <c r="B110" s="50" t="s">
        <v>1370</v>
      </c>
      <c r="C110" s="50">
        <f>SUMIF('DTM Dataset'!$C:$C,$B110,'DTM Dataset'!H:H)</f>
        <v>633</v>
      </c>
      <c r="D110" s="50">
        <f>SUMIF('DTM Dataset'!$C:$C,$B110,'DTM Dataset'!I:I)</f>
        <v>3798</v>
      </c>
      <c r="E110" s="69"/>
      <c r="F110" s="31"/>
      <c r="G110" s="31"/>
      <c r="H110" s="31"/>
      <c r="I110" s="31"/>
      <c r="J110" s="31"/>
      <c r="K110" s="31"/>
      <c r="L110" s="31"/>
      <c r="M110" s="31"/>
    </row>
    <row r="111" spans="1:13" x14ac:dyDescent="0.2">
      <c r="A111" s="115"/>
      <c r="B111" s="50" t="s">
        <v>1406</v>
      </c>
      <c r="C111" s="50">
        <f>SUMIF('DTM Dataset'!$C:$C,$B111,'DTM Dataset'!H:H)</f>
        <v>4</v>
      </c>
      <c r="D111" s="50">
        <f>SUMIF('DTM Dataset'!$C:$C,$B111,'DTM Dataset'!I:I)</f>
        <v>24</v>
      </c>
      <c r="E111" s="69"/>
      <c r="F111" s="31"/>
      <c r="G111" s="31"/>
      <c r="H111" s="31"/>
      <c r="I111" s="31"/>
      <c r="J111" s="31"/>
      <c r="K111" s="31"/>
      <c r="L111" s="31"/>
      <c r="M111" s="31"/>
    </row>
    <row r="112" spans="1:13" x14ac:dyDescent="0.2">
      <c r="A112" s="116"/>
      <c r="B112" s="50" t="s">
        <v>1409</v>
      </c>
      <c r="C112" s="50">
        <f>SUMIF('DTM Dataset'!$C:$C,$B112,'DTM Dataset'!H:H)</f>
        <v>71</v>
      </c>
      <c r="D112" s="50">
        <f>SUMIF('DTM Dataset'!$C:$C,$B112,'DTM Dataset'!I:I)</f>
        <v>426</v>
      </c>
      <c r="E112" s="69"/>
      <c r="F112" s="31"/>
      <c r="G112" s="31"/>
      <c r="H112" s="31"/>
      <c r="I112" s="31"/>
      <c r="J112" s="31"/>
      <c r="K112" s="31"/>
      <c r="L112" s="31"/>
      <c r="M112" s="31"/>
    </row>
    <row r="113" spans="1:13" x14ac:dyDescent="0.2">
      <c r="A113" s="114" t="s">
        <v>15</v>
      </c>
      <c r="B113" s="50" t="s">
        <v>1456</v>
      </c>
      <c r="C113" s="50">
        <f>SUMIF('DTM Dataset'!$C:$C,$B113,'DTM Dataset'!H:H)</f>
        <v>204</v>
      </c>
      <c r="D113" s="50">
        <f>SUMIF('DTM Dataset'!$C:$C,$B113,'DTM Dataset'!I:I)</f>
        <v>1224</v>
      </c>
      <c r="E113" s="69"/>
      <c r="F113" s="31"/>
      <c r="G113" s="31"/>
      <c r="H113" s="31"/>
      <c r="I113" s="31"/>
      <c r="J113" s="31"/>
      <c r="K113" s="31"/>
      <c r="L113" s="31"/>
      <c r="M113" s="31"/>
    </row>
    <row r="114" spans="1:13" x14ac:dyDescent="0.2">
      <c r="A114" s="115"/>
      <c r="B114" s="50" t="s">
        <v>1523</v>
      </c>
      <c r="C114" s="50">
        <f>SUMIF('DTM Dataset'!$C:$C,$B114,'DTM Dataset'!H:H)</f>
        <v>38</v>
      </c>
      <c r="D114" s="50">
        <f>SUMIF('DTM Dataset'!$C:$C,$B114,'DTM Dataset'!I:I)</f>
        <v>228</v>
      </c>
      <c r="E114" s="69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">
      <c r="A115" s="115"/>
      <c r="B115" s="50" t="s">
        <v>1540</v>
      </c>
      <c r="C115" s="50">
        <f>SUMIF('DTM Dataset'!$C:$C,$B115,'DTM Dataset'!H:H)</f>
        <v>48</v>
      </c>
      <c r="D115" s="50">
        <f>SUMIF('DTM Dataset'!$C:$C,$B115,'DTM Dataset'!I:I)</f>
        <v>288</v>
      </c>
      <c r="E115" s="69"/>
      <c r="F115" s="31"/>
      <c r="G115" s="31"/>
      <c r="H115" s="31"/>
      <c r="I115" s="31"/>
      <c r="J115" s="31"/>
      <c r="K115" s="31"/>
      <c r="L115" s="31"/>
      <c r="M115" s="31"/>
    </row>
    <row r="116" spans="1:13" x14ac:dyDescent="0.2">
      <c r="A116" s="115"/>
      <c r="B116" s="50" t="s">
        <v>1569</v>
      </c>
      <c r="C116" s="50">
        <f>SUMIF('DTM Dataset'!$C:$C,$B116,'DTM Dataset'!H:H)</f>
        <v>233</v>
      </c>
      <c r="D116" s="50">
        <f>SUMIF('DTM Dataset'!$C:$C,$B116,'DTM Dataset'!I:I)</f>
        <v>1398</v>
      </c>
      <c r="E116" s="69"/>
      <c r="F116" s="31"/>
      <c r="G116" s="31"/>
      <c r="H116" s="31"/>
      <c r="I116" s="31"/>
      <c r="J116" s="31"/>
      <c r="K116" s="31"/>
      <c r="L116" s="31"/>
      <c r="M116" s="31"/>
    </row>
    <row r="117" spans="1:13" x14ac:dyDescent="0.2">
      <c r="A117" s="115"/>
      <c r="B117" s="50" t="s">
        <v>15</v>
      </c>
      <c r="C117" s="50">
        <f>SUMIF('DTM Dataset'!$C:$C,$B117,'DTM Dataset'!H:H)</f>
        <v>495</v>
      </c>
      <c r="D117" s="50">
        <f>SUMIF('DTM Dataset'!$C:$C,$B117,'DTM Dataset'!I:I)</f>
        <v>2970</v>
      </c>
      <c r="E117" s="69"/>
      <c r="F117" s="31"/>
      <c r="G117" s="31"/>
      <c r="H117" s="31"/>
      <c r="I117" s="31"/>
      <c r="J117" s="31"/>
      <c r="K117" s="31"/>
      <c r="L117" s="31"/>
      <c r="M117" s="31"/>
    </row>
    <row r="118" spans="1:13" x14ac:dyDescent="0.2">
      <c r="A118" s="115"/>
      <c r="B118" s="50" t="s">
        <v>1859</v>
      </c>
      <c r="C118" s="50">
        <f>SUMIF('DTM Dataset'!$C:$C,$B118,'DTM Dataset'!H:H)</f>
        <v>10</v>
      </c>
      <c r="D118" s="50">
        <f>SUMIF('DTM Dataset'!$C:$C,$B118,'DTM Dataset'!I:I)</f>
        <v>60</v>
      </c>
      <c r="E118" s="69"/>
      <c r="F118" s="31"/>
      <c r="G118" s="31"/>
      <c r="H118" s="31"/>
      <c r="I118" s="31"/>
      <c r="J118" s="31"/>
      <c r="K118" s="31"/>
      <c r="L118" s="31"/>
      <c r="M118" s="31"/>
    </row>
    <row r="119" spans="1:13" x14ac:dyDescent="0.2">
      <c r="A119" s="116"/>
      <c r="B119" s="50" t="s">
        <v>1869</v>
      </c>
      <c r="C119" s="50">
        <f>SUMIF('DTM Dataset'!$C:$C,$B119,'DTM Dataset'!H:H)</f>
        <v>82</v>
      </c>
      <c r="D119" s="50">
        <f>SUMIF('DTM Dataset'!$C:$C,$B119,'DTM Dataset'!I:I)</f>
        <v>492</v>
      </c>
      <c r="E119" s="69"/>
      <c r="F119" s="31"/>
      <c r="G119" s="31"/>
      <c r="H119" s="31"/>
      <c r="I119" s="31"/>
      <c r="J119" s="31"/>
      <c r="K119" s="31"/>
      <c r="L119" s="31"/>
      <c r="M119" s="31"/>
    </row>
    <row r="120" spans="1:13" x14ac:dyDescent="0.2">
      <c r="A120" s="114" t="s">
        <v>16</v>
      </c>
      <c r="B120" s="50" t="s">
        <v>1898</v>
      </c>
      <c r="C120" s="50">
        <f>SUMIF('DTM Dataset'!$C:$C,$B120,'DTM Dataset'!H:H)</f>
        <v>1122</v>
      </c>
      <c r="D120" s="50">
        <f>SUMIF('DTM Dataset'!$C:$C,$B120,'DTM Dataset'!I:I)</f>
        <v>6732</v>
      </c>
      <c r="E120" s="69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">
      <c r="A121" s="115"/>
      <c r="B121" s="50" t="s">
        <v>16</v>
      </c>
      <c r="C121" s="50">
        <f>SUMIF('DTM Dataset'!$C:$C,$B121,'DTM Dataset'!H:H)</f>
        <v>5319</v>
      </c>
      <c r="D121" s="50">
        <f>SUMIF('DTM Dataset'!$C:$C,$B121,'DTM Dataset'!I:I)</f>
        <v>31914</v>
      </c>
      <c r="E121" s="69"/>
      <c r="F121" s="31"/>
      <c r="G121" s="31"/>
      <c r="H121" s="31"/>
      <c r="I121" s="31"/>
      <c r="J121" s="31"/>
      <c r="K121" s="31"/>
      <c r="L121" s="31"/>
      <c r="M121" s="31"/>
    </row>
    <row r="122" spans="1:13" x14ac:dyDescent="0.2">
      <c r="A122" s="115"/>
      <c r="B122" s="50" t="s">
        <v>2074</v>
      </c>
      <c r="C122" s="50">
        <f>SUMIF('DTM Dataset'!$C:$C,$B122,'DTM Dataset'!H:H)</f>
        <v>29422</v>
      </c>
      <c r="D122" s="50">
        <f>SUMIF('DTM Dataset'!$C:$C,$B122,'DTM Dataset'!I:I)</f>
        <v>176532</v>
      </c>
      <c r="E122" s="69"/>
      <c r="F122" s="31"/>
      <c r="G122" s="31"/>
      <c r="H122" s="31"/>
      <c r="I122" s="31"/>
      <c r="J122" s="31"/>
      <c r="K122" s="31"/>
      <c r="L122" s="31"/>
      <c r="M122" s="31"/>
    </row>
    <row r="123" spans="1:13" x14ac:dyDescent="0.2">
      <c r="A123" s="116"/>
      <c r="B123" s="50" t="s">
        <v>2167</v>
      </c>
      <c r="C123" s="50">
        <f>SUMIF('DTM Dataset'!$C:$C,$B123,'DTM Dataset'!H:H)</f>
        <v>17424</v>
      </c>
      <c r="D123" s="50">
        <f>SUMIF('DTM Dataset'!$C:$C,$B123,'DTM Dataset'!I:I)</f>
        <v>104544</v>
      </c>
      <c r="E123" s="69"/>
      <c r="F123" s="31"/>
      <c r="G123" s="31"/>
      <c r="H123" s="31"/>
      <c r="I123" s="31"/>
      <c r="J123" s="31"/>
      <c r="K123" s="31"/>
      <c r="L123" s="31"/>
      <c r="M123" s="31"/>
    </row>
    <row r="124" spans="1:13" x14ac:dyDescent="0.2">
      <c r="A124" s="114" t="s">
        <v>17</v>
      </c>
      <c r="B124" s="50" t="s">
        <v>2236</v>
      </c>
      <c r="C124" s="50">
        <f>SUMIF('DTM Dataset'!$C:$C,$B124,'DTM Dataset'!H:H)</f>
        <v>958</v>
      </c>
      <c r="D124" s="50">
        <f>SUMIF('DTM Dataset'!$C:$C,$B124,'DTM Dataset'!I:I)</f>
        <v>5748</v>
      </c>
      <c r="E124" s="69"/>
      <c r="F124" s="31"/>
      <c r="G124" s="31"/>
      <c r="H124" s="31"/>
      <c r="I124" s="31"/>
      <c r="J124" s="31"/>
      <c r="K124" s="31"/>
      <c r="L124" s="31"/>
      <c r="M124" s="31"/>
    </row>
    <row r="125" spans="1:13" x14ac:dyDescent="0.2">
      <c r="A125" s="115"/>
      <c r="B125" s="50" t="s">
        <v>2313</v>
      </c>
      <c r="C125" s="50">
        <f>SUMIF('DTM Dataset'!$C:$C,$B125,'DTM Dataset'!H:H)</f>
        <v>30</v>
      </c>
      <c r="D125" s="50">
        <f>SUMIF('DTM Dataset'!$C:$C,$B125,'DTM Dataset'!I:I)</f>
        <v>180</v>
      </c>
      <c r="E125" s="69"/>
      <c r="F125" s="31"/>
      <c r="G125" s="31"/>
      <c r="H125" s="31"/>
      <c r="I125" s="31"/>
      <c r="J125" s="31"/>
      <c r="K125" s="31"/>
      <c r="L125" s="31"/>
      <c r="M125" s="31"/>
    </row>
    <row r="126" spans="1:13" x14ac:dyDescent="0.2">
      <c r="A126" s="115"/>
      <c r="B126" s="50" t="s">
        <v>2427</v>
      </c>
      <c r="C126" s="50">
        <f>SUMIF('DTM Dataset'!$C:$C,$B126,'DTM Dataset'!H:H)</f>
        <v>149</v>
      </c>
      <c r="D126" s="50">
        <f>SUMIF('DTM Dataset'!$C:$C,$B126,'DTM Dataset'!I:I)</f>
        <v>894</v>
      </c>
      <c r="E126" s="69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">
      <c r="A127" s="115"/>
      <c r="B127" s="50" t="s">
        <v>2316</v>
      </c>
      <c r="C127" s="50">
        <f>SUMIF('DTM Dataset'!$C:$C,$B127,'DTM Dataset'!H:H)</f>
        <v>3733</v>
      </c>
      <c r="D127" s="50">
        <f>SUMIF('DTM Dataset'!$C:$C,$B127,'DTM Dataset'!I:I)</f>
        <v>22398</v>
      </c>
      <c r="E127" s="69"/>
      <c r="F127" s="31"/>
      <c r="G127" s="31"/>
      <c r="H127" s="31"/>
      <c r="I127" s="31"/>
      <c r="J127" s="31"/>
      <c r="K127" s="31"/>
      <c r="L127" s="31"/>
      <c r="M127" s="31"/>
    </row>
    <row r="128" spans="1:13" x14ac:dyDescent="0.2">
      <c r="A128" s="115"/>
      <c r="B128" s="50" t="s">
        <v>2440</v>
      </c>
      <c r="C128" s="50">
        <f>SUMIF('DTM Dataset'!$C:$C,$B128,'DTM Dataset'!H:H)</f>
        <v>2768</v>
      </c>
      <c r="D128" s="50">
        <f>SUMIF('DTM Dataset'!$C:$C,$B128,'DTM Dataset'!I:I)</f>
        <v>16608</v>
      </c>
      <c r="E128" s="69"/>
      <c r="F128" s="31"/>
      <c r="G128" s="31"/>
      <c r="H128" s="31"/>
      <c r="I128" s="31"/>
      <c r="J128" s="31"/>
      <c r="K128" s="31"/>
      <c r="L128" s="31"/>
      <c r="M128" s="31"/>
    </row>
    <row r="129" spans="1:13" x14ac:dyDescent="0.2">
      <c r="A129" s="116"/>
      <c r="B129" s="50" t="s">
        <v>2564</v>
      </c>
      <c r="C129" s="50">
        <f>SUMIF('DTM Dataset'!$C:$C,$B129,'DTM Dataset'!H:H)</f>
        <v>1344</v>
      </c>
      <c r="D129" s="50">
        <f>SUMIF('DTM Dataset'!$C:$C,$B129,'DTM Dataset'!I:I)</f>
        <v>8064</v>
      </c>
      <c r="E129" s="69"/>
      <c r="F129" s="31"/>
      <c r="G129" s="31"/>
      <c r="H129" s="31"/>
      <c r="I129" s="31"/>
      <c r="J129" s="31"/>
      <c r="K129" s="31"/>
      <c r="L129" s="31"/>
      <c r="M129" s="31"/>
    </row>
    <row r="130" spans="1:13" x14ac:dyDescent="0.2">
      <c r="A130" s="114" t="s">
        <v>18</v>
      </c>
      <c r="B130" s="50" t="s">
        <v>18</v>
      </c>
      <c r="C130" s="50">
        <f>SUMIF('DTM Dataset'!$C:$C,$B130,'DTM Dataset'!H:H)</f>
        <v>37027</v>
      </c>
      <c r="D130" s="50">
        <f>SUMIF('DTM Dataset'!$C:$C,$B130,'DTM Dataset'!I:I)</f>
        <v>222162</v>
      </c>
      <c r="E130" s="69"/>
      <c r="F130" s="31"/>
      <c r="G130" s="31"/>
      <c r="H130" s="31"/>
      <c r="I130" s="31"/>
      <c r="J130" s="31"/>
      <c r="K130" s="31"/>
      <c r="L130" s="31"/>
      <c r="M130" s="31"/>
    </row>
    <row r="131" spans="1:13" x14ac:dyDescent="0.2">
      <c r="A131" s="115"/>
      <c r="B131" s="50" t="s">
        <v>2813</v>
      </c>
      <c r="C131" s="50">
        <f>SUMIF('DTM Dataset'!$C:$C,$B131,'DTM Dataset'!H:H)</f>
        <v>588</v>
      </c>
      <c r="D131" s="50">
        <f>SUMIF('DTM Dataset'!$C:$C,$B131,'DTM Dataset'!I:I)</f>
        <v>3528</v>
      </c>
      <c r="E131" s="69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">
      <c r="A132" s="115"/>
      <c r="B132" s="50" t="s">
        <v>2836</v>
      </c>
      <c r="C132" s="50">
        <f>SUMIF('DTM Dataset'!$C:$C,$B132,'DTM Dataset'!H:H)</f>
        <v>1800</v>
      </c>
      <c r="D132" s="50">
        <f>SUMIF('DTM Dataset'!$C:$C,$B132,'DTM Dataset'!I:I)</f>
        <v>10800</v>
      </c>
      <c r="E132" s="69"/>
      <c r="F132" s="31"/>
      <c r="G132" s="31"/>
      <c r="H132" s="31"/>
      <c r="I132" s="31"/>
      <c r="J132" s="31"/>
      <c r="K132" s="31"/>
      <c r="L132" s="31"/>
      <c r="M132" s="31"/>
    </row>
    <row r="133" spans="1:13" x14ac:dyDescent="0.2">
      <c r="A133" s="115"/>
      <c r="B133" s="50" t="s">
        <v>2839</v>
      </c>
      <c r="C133" s="50">
        <f>SUMIF('DTM Dataset'!$C:$C,$B133,'DTM Dataset'!H:H)</f>
        <v>33</v>
      </c>
      <c r="D133" s="50">
        <f>SUMIF('DTM Dataset'!$C:$C,$B133,'DTM Dataset'!I:I)</f>
        <v>198</v>
      </c>
      <c r="E133" s="69"/>
      <c r="F133" s="31"/>
      <c r="G133" s="31"/>
      <c r="H133" s="31"/>
      <c r="I133" s="31"/>
      <c r="J133" s="31"/>
      <c r="K133" s="31"/>
      <c r="L133" s="31"/>
      <c r="M133" s="31"/>
    </row>
    <row r="134" spans="1:13" x14ac:dyDescent="0.2">
      <c r="A134" s="115"/>
      <c r="B134" s="50" t="s">
        <v>2842</v>
      </c>
      <c r="C134" s="50">
        <f>SUMIF('DTM Dataset'!$C:$C,$B134,'DTM Dataset'!H:H)</f>
        <v>880</v>
      </c>
      <c r="D134" s="50">
        <f>SUMIF('DTM Dataset'!$C:$C,$B134,'DTM Dataset'!I:I)</f>
        <v>5280</v>
      </c>
      <c r="E134" s="69"/>
      <c r="F134" s="31"/>
      <c r="G134" s="31"/>
      <c r="H134" s="31"/>
      <c r="I134" s="31"/>
      <c r="J134" s="31"/>
      <c r="K134" s="31"/>
      <c r="L134" s="31"/>
      <c r="M134" s="31"/>
    </row>
    <row r="135" spans="1:13" x14ac:dyDescent="0.2">
      <c r="A135" s="116"/>
      <c r="B135" s="50" t="s">
        <v>2869</v>
      </c>
      <c r="C135" s="50">
        <f>SUMIF('DTM Dataset'!$C:$C,$B135,'DTM Dataset'!H:H)</f>
        <v>412</v>
      </c>
      <c r="D135" s="50">
        <f>SUMIF('DTM Dataset'!$C:$C,$B135,'DTM Dataset'!I:I)</f>
        <v>2472</v>
      </c>
      <c r="E135" s="69"/>
      <c r="F135" s="31"/>
      <c r="G135" s="31"/>
      <c r="H135" s="31"/>
      <c r="I135" s="31"/>
      <c r="J135" s="31"/>
      <c r="K135" s="31"/>
      <c r="L135" s="31"/>
      <c r="M135" s="31"/>
    </row>
    <row r="136" spans="1:13" x14ac:dyDescent="0.2">
      <c r="A136" s="114" t="s">
        <v>19</v>
      </c>
      <c r="B136" s="50" t="s">
        <v>2892</v>
      </c>
      <c r="C136" s="50">
        <f>SUMIF('DTM Dataset'!$C:$C,$B136,'DTM Dataset'!H:H)</f>
        <v>37</v>
      </c>
      <c r="D136" s="50">
        <f>SUMIF('DTM Dataset'!$C:$C,$B136,'DTM Dataset'!I:I)</f>
        <v>222</v>
      </c>
      <c r="E136" s="69"/>
      <c r="F136" s="31"/>
      <c r="G136" s="31"/>
      <c r="H136" s="31"/>
      <c r="I136" s="31"/>
      <c r="J136" s="31"/>
      <c r="K136" s="31"/>
      <c r="L136" s="31"/>
      <c r="M136" s="31"/>
    </row>
    <row r="137" spans="1:13" x14ac:dyDescent="0.2">
      <c r="A137" s="115"/>
      <c r="B137" s="50" t="s">
        <v>2900</v>
      </c>
      <c r="C137" s="50">
        <f>SUMIF('DTM Dataset'!$C:$C,$B137,'DTM Dataset'!H:H)</f>
        <v>366</v>
      </c>
      <c r="D137" s="50">
        <f>SUMIF('DTM Dataset'!$C:$C,$B137,'DTM Dataset'!I:I)</f>
        <v>2196</v>
      </c>
      <c r="E137" s="69"/>
      <c r="F137" s="31"/>
      <c r="G137" s="31"/>
      <c r="H137" s="31"/>
      <c r="I137" s="31"/>
      <c r="J137" s="31"/>
      <c r="K137" s="31"/>
      <c r="L137" s="31"/>
      <c r="M137" s="31"/>
    </row>
    <row r="138" spans="1:13" x14ac:dyDescent="0.2">
      <c r="A138" s="116"/>
      <c r="B138" s="50" t="s">
        <v>19</v>
      </c>
      <c r="C138" s="50">
        <f>SUMIF('DTM Dataset'!$C:$C,$B138,'DTM Dataset'!H:H)</f>
        <v>2502</v>
      </c>
      <c r="D138" s="50">
        <f>SUMIF('DTM Dataset'!$C:$C,$B138,'DTM Dataset'!I:I)</f>
        <v>15012</v>
      </c>
      <c r="E138" s="69"/>
      <c r="F138" s="31"/>
      <c r="G138" s="31"/>
      <c r="H138" s="31"/>
      <c r="I138" s="31"/>
      <c r="J138" s="31"/>
      <c r="K138" s="31"/>
      <c r="L138" s="31"/>
      <c r="M138" s="31"/>
    </row>
    <row r="139" spans="1:13" x14ac:dyDescent="0.2">
      <c r="A139" s="114" t="s">
        <v>20</v>
      </c>
      <c r="B139" s="50" t="s">
        <v>3147</v>
      </c>
      <c r="C139" s="50">
        <f>SUMIF('DTM Dataset'!$C:$C,$B139,'DTM Dataset'!H:H)</f>
        <v>71</v>
      </c>
      <c r="D139" s="50">
        <f>SUMIF('DTM Dataset'!$C:$C,$B139,'DTM Dataset'!I:I)</f>
        <v>426</v>
      </c>
      <c r="E139" s="69"/>
      <c r="F139" s="31"/>
      <c r="G139" s="31"/>
      <c r="H139" s="31"/>
      <c r="I139" s="31"/>
      <c r="J139" s="31"/>
      <c r="K139" s="31"/>
      <c r="L139" s="31"/>
      <c r="M139" s="31"/>
    </row>
    <row r="140" spans="1:13" x14ac:dyDescent="0.2">
      <c r="A140" s="115"/>
      <c r="B140" s="50" t="s">
        <v>3154</v>
      </c>
      <c r="C140" s="50">
        <f>SUMIF('DTM Dataset'!$C:$C,$B140,'DTM Dataset'!H:H)</f>
        <v>243</v>
      </c>
      <c r="D140" s="50">
        <f>SUMIF('DTM Dataset'!$C:$C,$B140,'DTM Dataset'!I:I)</f>
        <v>1458</v>
      </c>
      <c r="E140" s="69"/>
      <c r="F140" s="31"/>
      <c r="G140" s="31"/>
      <c r="H140" s="31"/>
      <c r="I140" s="31"/>
      <c r="J140" s="31"/>
      <c r="K140" s="31"/>
      <c r="L140" s="31"/>
      <c r="M140" s="31"/>
    </row>
    <row r="141" spans="1:13" x14ac:dyDescent="0.2">
      <c r="A141" s="115"/>
      <c r="B141" s="50" t="s">
        <v>3161</v>
      </c>
      <c r="C141" s="50">
        <f>SUMIF('DTM Dataset'!$C:$C,$B141,'DTM Dataset'!H:H)</f>
        <v>3062</v>
      </c>
      <c r="D141" s="50">
        <f>SUMIF('DTM Dataset'!$C:$C,$B141,'DTM Dataset'!I:I)</f>
        <v>18372</v>
      </c>
      <c r="E141" s="69"/>
      <c r="F141" s="31"/>
      <c r="G141" s="31"/>
      <c r="H141" s="31"/>
      <c r="I141" s="31"/>
      <c r="J141" s="31"/>
      <c r="K141" s="31"/>
      <c r="L141" s="31"/>
      <c r="M141" s="31"/>
    </row>
    <row r="142" spans="1:13" x14ac:dyDescent="0.2">
      <c r="A142" s="116"/>
      <c r="B142" s="50" t="s">
        <v>20</v>
      </c>
      <c r="C142" s="50">
        <f>SUMIF('DTM Dataset'!$C:$C,$B142,'DTM Dataset'!H:H)</f>
        <v>13471</v>
      </c>
      <c r="D142" s="50">
        <f>SUMIF('DTM Dataset'!$C:$C,$B142,'DTM Dataset'!I:I)</f>
        <v>80826</v>
      </c>
      <c r="E142" s="69"/>
      <c r="F142" s="31"/>
      <c r="G142" s="31"/>
      <c r="H142" s="31"/>
      <c r="I142" s="31"/>
      <c r="J142" s="31"/>
      <c r="K142" s="31"/>
      <c r="L142" s="31"/>
      <c r="M142" s="31"/>
    </row>
    <row r="143" spans="1:13" x14ac:dyDescent="0.2">
      <c r="A143" s="114" t="s">
        <v>21</v>
      </c>
      <c r="B143" s="50" t="s">
        <v>3319</v>
      </c>
      <c r="C143" s="50">
        <f>SUMIF('DTM Dataset'!$C:$C,$B143,'DTM Dataset'!H:H)</f>
        <v>12</v>
      </c>
      <c r="D143" s="50">
        <f>SUMIF('DTM Dataset'!$C:$C,$B143,'DTM Dataset'!I:I)</f>
        <v>72</v>
      </c>
      <c r="E143" s="69"/>
      <c r="F143" s="31"/>
      <c r="G143" s="31"/>
      <c r="H143" s="31"/>
      <c r="I143" s="31"/>
      <c r="J143" s="31"/>
      <c r="K143" s="31"/>
      <c r="L143" s="31"/>
      <c r="M143" s="31"/>
    </row>
    <row r="144" spans="1:13" x14ac:dyDescent="0.2">
      <c r="A144" s="115"/>
      <c r="B144" s="50" t="s">
        <v>3291</v>
      </c>
      <c r="C144" s="50">
        <f>SUMIF('DTM Dataset'!$C:$C,$B144,'DTM Dataset'!H:H)</f>
        <v>6</v>
      </c>
      <c r="D144" s="50">
        <f>SUMIF('DTM Dataset'!$C:$C,$B144,'DTM Dataset'!I:I)</f>
        <v>36</v>
      </c>
      <c r="E144" s="69"/>
      <c r="F144" s="31"/>
      <c r="G144" s="31"/>
      <c r="H144" s="31"/>
      <c r="I144" s="31"/>
      <c r="J144" s="31"/>
      <c r="K144" s="31"/>
      <c r="L144" s="31"/>
      <c r="M144" s="31"/>
    </row>
    <row r="145" spans="1:13" x14ac:dyDescent="0.2">
      <c r="A145" s="115"/>
      <c r="B145" s="50" t="s">
        <v>3299</v>
      </c>
      <c r="C145" s="50">
        <f>SUMIF('DTM Dataset'!$C:$C,$B145,'DTM Dataset'!H:H)</f>
        <v>3</v>
      </c>
      <c r="D145" s="50">
        <f>SUMIF('DTM Dataset'!$C:$C,$B145,'DTM Dataset'!I:I)</f>
        <v>18</v>
      </c>
      <c r="E145" s="69"/>
      <c r="F145" s="31"/>
      <c r="G145" s="31"/>
      <c r="H145" s="31"/>
      <c r="I145" s="31"/>
      <c r="J145" s="31"/>
      <c r="K145" s="31"/>
      <c r="L145" s="31"/>
      <c r="M145" s="31"/>
    </row>
    <row r="146" spans="1:13" x14ac:dyDescent="0.2">
      <c r="A146" s="115"/>
      <c r="B146" s="50" t="s">
        <v>3304</v>
      </c>
      <c r="C146" s="50">
        <f>SUMIF('DTM Dataset'!$C:$C,$B146,'DTM Dataset'!H:H)</f>
        <v>30</v>
      </c>
      <c r="D146" s="50">
        <f>SUMIF('DTM Dataset'!$C:$C,$B146,'DTM Dataset'!I:I)</f>
        <v>180</v>
      </c>
      <c r="E146" s="69"/>
      <c r="F146" s="31"/>
      <c r="G146" s="31"/>
      <c r="H146" s="31"/>
      <c r="I146" s="31"/>
      <c r="J146" s="31"/>
      <c r="K146" s="31"/>
      <c r="L146" s="31"/>
      <c r="M146" s="31"/>
    </row>
    <row r="147" spans="1:13" x14ac:dyDescent="0.2">
      <c r="A147" s="115"/>
      <c r="B147" s="50" t="s">
        <v>3330</v>
      </c>
      <c r="C147" s="50">
        <f>SUMIF('DTM Dataset'!$C:$C,$B147,'DTM Dataset'!H:H)</f>
        <v>316</v>
      </c>
      <c r="D147" s="50">
        <f>SUMIF('DTM Dataset'!$C:$C,$B147,'DTM Dataset'!I:I)</f>
        <v>1896</v>
      </c>
      <c r="E147" s="69"/>
      <c r="F147" s="31"/>
      <c r="G147" s="31"/>
      <c r="H147" s="31"/>
      <c r="I147" s="31"/>
      <c r="J147" s="31"/>
      <c r="K147" s="31"/>
      <c r="L147" s="31"/>
      <c r="M147" s="31"/>
    </row>
    <row r="148" spans="1:13" x14ac:dyDescent="0.2">
      <c r="A148" s="116"/>
      <c r="B148" s="50" t="s">
        <v>3411</v>
      </c>
      <c r="C148" s="50">
        <f>SUMIF('DTM Dataset'!$C:$C,$B148,'DTM Dataset'!H:H)</f>
        <v>20</v>
      </c>
      <c r="D148" s="50">
        <f>SUMIF('DTM Dataset'!$C:$C,$B148,'DTM Dataset'!I:I)</f>
        <v>120</v>
      </c>
      <c r="E148" s="69"/>
      <c r="F148" s="31"/>
      <c r="G148" s="31"/>
      <c r="H148" s="31"/>
      <c r="I148" s="31"/>
      <c r="J148" s="31"/>
      <c r="K148" s="31"/>
      <c r="L148" s="31"/>
      <c r="M148" s="31"/>
    </row>
    <row r="149" spans="1:13" x14ac:dyDescent="0.2">
      <c r="A149" s="114" t="s">
        <v>22</v>
      </c>
      <c r="B149" s="50" t="s">
        <v>3419</v>
      </c>
      <c r="C149" s="50">
        <f>SUMIF('DTM Dataset'!$C:$C,$B149,'DTM Dataset'!H:H)</f>
        <v>6</v>
      </c>
      <c r="D149" s="50">
        <f>SUMIF('DTM Dataset'!$C:$C,$B149,'DTM Dataset'!I:I)</f>
        <v>36</v>
      </c>
      <c r="E149" s="69"/>
      <c r="F149" s="31"/>
      <c r="G149" s="31"/>
      <c r="H149" s="31"/>
      <c r="I149" s="31"/>
      <c r="J149" s="31"/>
      <c r="K149" s="31"/>
      <c r="L149" s="31"/>
      <c r="M149" s="31"/>
    </row>
    <row r="150" spans="1:13" x14ac:dyDescent="0.2">
      <c r="A150" s="115"/>
      <c r="B150" s="50" t="s">
        <v>3426</v>
      </c>
      <c r="C150" s="50">
        <f>SUMIF('DTM Dataset'!$C:$C,$B150,'DTM Dataset'!H:H)</f>
        <v>53</v>
      </c>
      <c r="D150" s="50">
        <f>SUMIF('DTM Dataset'!$C:$C,$B150,'DTM Dataset'!I:I)</f>
        <v>318</v>
      </c>
      <c r="E150" s="69"/>
      <c r="F150" s="31"/>
      <c r="G150" s="31"/>
      <c r="H150" s="31"/>
      <c r="I150" s="31"/>
      <c r="J150" s="31"/>
      <c r="K150" s="31"/>
      <c r="L150" s="31"/>
      <c r="M150" s="31"/>
    </row>
    <row r="151" spans="1:13" x14ac:dyDescent="0.2">
      <c r="A151" s="116"/>
      <c r="B151" s="50" t="s">
        <v>3443</v>
      </c>
      <c r="C151" s="50">
        <f>SUMIF('DTM Dataset'!$C:$C,$B151,'DTM Dataset'!H:H)</f>
        <v>120</v>
      </c>
      <c r="D151" s="50">
        <f>SUMIF('DTM Dataset'!$C:$C,$B151,'DTM Dataset'!I:I)</f>
        <v>720</v>
      </c>
      <c r="E151" s="69"/>
      <c r="F151" s="31"/>
      <c r="G151" s="31"/>
      <c r="H151" s="31"/>
      <c r="I151" s="31"/>
      <c r="J151" s="31"/>
      <c r="K151" s="31"/>
      <c r="L151" s="31"/>
      <c r="M151" s="31"/>
    </row>
    <row r="152" spans="1:13" x14ac:dyDescent="0.2">
      <c r="A152" s="114" t="s">
        <v>23</v>
      </c>
      <c r="B152" s="50" t="s">
        <v>3494</v>
      </c>
      <c r="C152" s="50">
        <f>SUMIF('DTM Dataset'!$C:$C,$B152,'DTM Dataset'!H:H)</f>
        <v>66</v>
      </c>
      <c r="D152" s="50">
        <f>SUMIF('DTM Dataset'!$C:$C,$B152,'DTM Dataset'!I:I)</f>
        <v>396</v>
      </c>
      <c r="E152" s="69"/>
      <c r="F152" s="31"/>
      <c r="G152" s="31"/>
      <c r="H152" s="31"/>
      <c r="I152" s="31"/>
      <c r="J152" s="31"/>
      <c r="K152" s="31"/>
      <c r="L152" s="31"/>
      <c r="M152" s="31"/>
    </row>
    <row r="153" spans="1:13" x14ac:dyDescent="0.2">
      <c r="A153" s="115"/>
      <c r="B153" s="50" t="s">
        <v>3503</v>
      </c>
      <c r="C153" s="50">
        <f>SUMIF('DTM Dataset'!$C:$C,$B153,'DTM Dataset'!H:H)</f>
        <v>334</v>
      </c>
      <c r="D153" s="50">
        <f>SUMIF('DTM Dataset'!$C:$C,$B153,'DTM Dataset'!I:I)</f>
        <v>2004</v>
      </c>
      <c r="E153" s="69"/>
      <c r="F153" s="31"/>
      <c r="G153" s="31"/>
      <c r="H153" s="31"/>
      <c r="I153" s="31"/>
      <c r="J153" s="31"/>
      <c r="K153" s="31"/>
      <c r="L153" s="31"/>
      <c r="M153" s="31"/>
    </row>
    <row r="154" spans="1:13" x14ac:dyDescent="0.2">
      <c r="A154" s="116"/>
      <c r="B154" s="50" t="s">
        <v>23</v>
      </c>
      <c r="C154" s="50">
        <f>SUMIF('DTM Dataset'!$C:$C,$B154,'DTM Dataset'!H:H)</f>
        <v>1523</v>
      </c>
      <c r="D154" s="50">
        <f>SUMIF('DTM Dataset'!$C:$C,$B154,'DTM Dataset'!I:I)</f>
        <v>9138</v>
      </c>
      <c r="E154" s="69"/>
      <c r="F154" s="31"/>
      <c r="G154" s="31"/>
      <c r="H154" s="31"/>
      <c r="I154" s="31"/>
      <c r="J154" s="31"/>
      <c r="K154" s="31"/>
      <c r="L154" s="31"/>
      <c r="M154" s="31"/>
    </row>
    <row r="155" spans="1:13" x14ac:dyDescent="0.2">
      <c r="A155" s="114" t="s">
        <v>24</v>
      </c>
      <c r="B155" s="50" t="s">
        <v>3641</v>
      </c>
      <c r="C155" s="50">
        <f>SUMIF('DTM Dataset'!$C:$C,$B155,'DTM Dataset'!H:H)</f>
        <v>5107</v>
      </c>
      <c r="D155" s="50">
        <f>SUMIF('DTM Dataset'!$C:$C,$B155,'DTM Dataset'!I:I)</f>
        <v>30642</v>
      </c>
      <c r="E155" s="69"/>
      <c r="F155" s="31"/>
      <c r="G155" s="31"/>
      <c r="H155" s="31"/>
      <c r="I155" s="31"/>
      <c r="J155" s="31"/>
      <c r="K155" s="31"/>
      <c r="L155" s="31"/>
      <c r="M155" s="31"/>
    </row>
    <row r="156" spans="1:13" x14ac:dyDescent="0.2">
      <c r="A156" s="115"/>
      <c r="B156" s="50" t="s">
        <v>3697</v>
      </c>
      <c r="C156" s="50">
        <f>SUMIF('DTM Dataset'!$C:$C,$B156,'DTM Dataset'!H:H)</f>
        <v>1098</v>
      </c>
      <c r="D156" s="50">
        <f>SUMIF('DTM Dataset'!$C:$C,$B156,'DTM Dataset'!I:I)</f>
        <v>6588</v>
      </c>
      <c r="E156" s="69"/>
      <c r="F156" s="31"/>
      <c r="G156" s="31"/>
      <c r="H156" s="31"/>
      <c r="I156" s="31"/>
      <c r="J156" s="31"/>
      <c r="K156" s="31"/>
      <c r="L156" s="31"/>
      <c r="M156" s="31"/>
    </row>
    <row r="157" spans="1:13" x14ac:dyDescent="0.2">
      <c r="A157" s="115"/>
      <c r="B157" s="50" t="s">
        <v>3700</v>
      </c>
      <c r="C157" s="50">
        <f>SUMIF('DTM Dataset'!$C:$C,$B157,'DTM Dataset'!H:H)</f>
        <v>6819</v>
      </c>
      <c r="D157" s="50">
        <f>SUMIF('DTM Dataset'!$C:$C,$B157,'DTM Dataset'!I:I)</f>
        <v>40914</v>
      </c>
      <c r="E157" s="69"/>
      <c r="F157" s="31"/>
      <c r="G157" s="31"/>
      <c r="H157" s="31"/>
      <c r="I157" s="31"/>
      <c r="J157" s="31"/>
      <c r="K157" s="31"/>
      <c r="L157" s="31"/>
      <c r="M157" s="31"/>
    </row>
    <row r="158" spans="1:13" x14ac:dyDescent="0.2">
      <c r="A158" s="115"/>
      <c r="B158" s="50" t="s">
        <v>3717</v>
      </c>
      <c r="C158" s="50">
        <f>SUMIF('DTM Dataset'!$C:$C,$B158,'DTM Dataset'!H:H)</f>
        <v>9082</v>
      </c>
      <c r="D158" s="50">
        <f>SUMIF('DTM Dataset'!$C:$C,$B158,'DTM Dataset'!I:I)</f>
        <v>54492</v>
      </c>
      <c r="E158" s="69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">
      <c r="A159" s="115"/>
      <c r="B159" s="50" t="s">
        <v>3762</v>
      </c>
      <c r="C159" s="50">
        <f>SUMIF('DTM Dataset'!$C:$C,$B159,'DTM Dataset'!H:H)</f>
        <v>215</v>
      </c>
      <c r="D159" s="50">
        <f>SUMIF('DTM Dataset'!$C:$C,$B159,'DTM Dataset'!I:I)</f>
        <v>1290</v>
      </c>
      <c r="E159" s="69"/>
      <c r="F159" s="31"/>
      <c r="G159" s="31"/>
      <c r="H159" s="31"/>
      <c r="I159" s="31"/>
      <c r="J159" s="31"/>
      <c r="K159" s="31"/>
      <c r="L159" s="31"/>
      <c r="M159" s="31"/>
    </row>
    <row r="160" spans="1:13" x14ac:dyDescent="0.2">
      <c r="A160" s="115"/>
      <c r="B160" s="50" t="s">
        <v>3781</v>
      </c>
      <c r="C160" s="50">
        <f>SUMIF('DTM Dataset'!$C:$C,$B160,'DTM Dataset'!H:H)</f>
        <v>28653</v>
      </c>
      <c r="D160" s="50">
        <f>SUMIF('DTM Dataset'!$C:$C,$B160,'DTM Dataset'!I:I)</f>
        <v>171918</v>
      </c>
      <c r="E160" s="69"/>
      <c r="F160" s="31"/>
      <c r="G160" s="31"/>
      <c r="H160" s="31"/>
      <c r="I160" s="31"/>
      <c r="J160" s="31"/>
      <c r="K160" s="31"/>
      <c r="L160" s="31"/>
      <c r="M160" s="31"/>
    </row>
    <row r="161" spans="1:13" x14ac:dyDescent="0.2">
      <c r="A161" s="115"/>
      <c r="B161" s="50" t="s">
        <v>3994</v>
      </c>
      <c r="C161" s="50">
        <f>SUMIF('DTM Dataset'!$C:$C,$B161,'DTM Dataset'!H:H)</f>
        <v>4234</v>
      </c>
      <c r="D161" s="50">
        <f>SUMIF('DTM Dataset'!$C:$C,$B161,'DTM Dataset'!I:I)</f>
        <v>25404</v>
      </c>
      <c r="E161" s="69"/>
      <c r="F161" s="31"/>
      <c r="G161" s="31"/>
      <c r="H161" s="31"/>
      <c r="I161" s="31"/>
      <c r="J161" s="31"/>
      <c r="K161" s="31"/>
      <c r="L161" s="31"/>
      <c r="M161" s="31"/>
    </row>
    <row r="162" spans="1:13" x14ac:dyDescent="0.2">
      <c r="A162" s="115"/>
      <c r="B162" s="50" t="s">
        <v>4056</v>
      </c>
      <c r="C162" s="50">
        <f>SUMIF('DTM Dataset'!$C:$C,$B162,'DTM Dataset'!H:H)</f>
        <v>1650</v>
      </c>
      <c r="D162" s="50">
        <f>SUMIF('DTM Dataset'!$C:$C,$B162,'DTM Dataset'!I:I)</f>
        <v>9900</v>
      </c>
      <c r="E162" s="69"/>
      <c r="F162" s="31"/>
      <c r="G162" s="31"/>
      <c r="H162" s="31"/>
      <c r="I162" s="31"/>
      <c r="J162" s="31"/>
      <c r="K162" s="31"/>
      <c r="L162" s="31"/>
      <c r="M162" s="31"/>
    </row>
    <row r="163" spans="1:13" x14ac:dyDescent="0.2">
      <c r="A163" s="116"/>
      <c r="B163" s="50" t="s">
        <v>4131</v>
      </c>
      <c r="C163" s="50">
        <f>SUMIF('DTM Dataset'!$C:$C,$B163,'DTM Dataset'!H:H)</f>
        <v>2032</v>
      </c>
      <c r="D163" s="50">
        <f>SUMIF('DTM Dataset'!$C:$C,$B163,'DTM Dataset'!I:I)</f>
        <v>12192</v>
      </c>
      <c r="E163" s="69"/>
      <c r="F163" s="31"/>
      <c r="G163" s="31"/>
      <c r="H163" s="31"/>
      <c r="I163" s="31"/>
      <c r="J163" s="31"/>
      <c r="K163" s="31"/>
      <c r="L163" s="31"/>
      <c r="M163" s="31"/>
    </row>
    <row r="164" spans="1:13" x14ac:dyDescent="0.2">
      <c r="A164" s="114" t="s">
        <v>25</v>
      </c>
      <c r="B164" s="50" t="s">
        <v>4197</v>
      </c>
      <c r="C164" s="50">
        <f>SUMIF('DTM Dataset'!$C:$C,$B164,'DTM Dataset'!H:H)</f>
        <v>143</v>
      </c>
      <c r="D164" s="50">
        <f>SUMIF('DTM Dataset'!$C:$C,$B164,'DTM Dataset'!I:I)</f>
        <v>858</v>
      </c>
      <c r="E164" s="69"/>
      <c r="F164" s="31"/>
      <c r="G164" s="31"/>
      <c r="H164" s="31"/>
      <c r="I164" s="31"/>
      <c r="J164" s="31"/>
      <c r="K164" s="31"/>
      <c r="L164" s="31"/>
      <c r="M164" s="31"/>
    </row>
    <row r="165" spans="1:13" x14ac:dyDescent="0.2">
      <c r="A165" s="115"/>
      <c r="B165" s="50" t="s">
        <v>4218</v>
      </c>
      <c r="C165" s="50">
        <f>SUMIF('DTM Dataset'!$C:$C,$B165,'DTM Dataset'!H:H)</f>
        <v>69</v>
      </c>
      <c r="D165" s="50">
        <f>SUMIF('DTM Dataset'!$C:$C,$B165,'DTM Dataset'!I:I)</f>
        <v>414</v>
      </c>
      <c r="E165" s="69"/>
      <c r="F165" s="31"/>
      <c r="G165" s="31"/>
      <c r="H165" s="31"/>
      <c r="I165" s="31"/>
      <c r="J165" s="31"/>
      <c r="K165" s="31"/>
      <c r="L165" s="31"/>
      <c r="M165" s="31"/>
    </row>
    <row r="166" spans="1:13" x14ac:dyDescent="0.2">
      <c r="A166" s="115"/>
      <c r="B166" s="50" t="s">
        <v>4234</v>
      </c>
      <c r="C166" s="50">
        <f>SUMIF('DTM Dataset'!$C:$C,$B166,'DTM Dataset'!H:H)</f>
        <v>428</v>
      </c>
      <c r="D166" s="50">
        <f>SUMIF('DTM Dataset'!$C:$C,$B166,'DTM Dataset'!I:I)</f>
        <v>2568</v>
      </c>
      <c r="E166" s="69"/>
      <c r="F166" s="31"/>
      <c r="G166" s="31"/>
      <c r="H166" s="31"/>
      <c r="I166" s="31"/>
      <c r="J166" s="31"/>
      <c r="K166" s="31"/>
      <c r="L166" s="31"/>
      <c r="M166" s="31"/>
    </row>
    <row r="167" spans="1:13" x14ac:dyDescent="0.2">
      <c r="A167" s="116"/>
      <c r="B167" s="50" t="s">
        <v>1930</v>
      </c>
      <c r="C167" s="50">
        <f>SUMIF('DTM Dataset'!$C:$C,$B167,'DTM Dataset'!H:H)</f>
        <v>29</v>
      </c>
      <c r="D167" s="50">
        <f>SUMIF('DTM Dataset'!$C:$C,$B167,'DTM Dataset'!I:I)</f>
        <v>174</v>
      </c>
      <c r="E167" s="69"/>
      <c r="F167" s="31"/>
      <c r="G167" s="31"/>
      <c r="H167" s="31"/>
      <c r="I167" s="31"/>
      <c r="J167" s="31"/>
      <c r="K167" s="31"/>
      <c r="L167" s="31"/>
      <c r="M167" s="31"/>
    </row>
    <row r="168" spans="1:13" x14ac:dyDescent="0.2">
      <c r="A168" s="114" t="s">
        <v>26</v>
      </c>
      <c r="B168" s="50" t="s">
        <v>4335</v>
      </c>
      <c r="C168" s="50">
        <f>SUMIF('DTM Dataset'!$C:$C,$B168,'DTM Dataset'!H:H)</f>
        <v>51</v>
      </c>
      <c r="D168" s="50">
        <f>SUMIF('DTM Dataset'!$C:$C,$B168,'DTM Dataset'!I:I)</f>
        <v>306</v>
      </c>
      <c r="E168" s="69"/>
      <c r="F168" s="31"/>
      <c r="G168" s="31"/>
      <c r="H168" s="31"/>
      <c r="I168" s="31"/>
      <c r="J168" s="31"/>
      <c r="K168" s="31"/>
      <c r="L168" s="31"/>
      <c r="M168" s="31"/>
    </row>
    <row r="169" spans="1:13" x14ac:dyDescent="0.2">
      <c r="A169" s="115"/>
      <c r="B169" s="50" t="s">
        <v>4337</v>
      </c>
      <c r="C169" s="50">
        <f>SUMIF('DTM Dataset'!$C:$C,$B169,'DTM Dataset'!H:H)</f>
        <v>863</v>
      </c>
      <c r="D169" s="50">
        <f>SUMIF('DTM Dataset'!$C:$C,$B169,'DTM Dataset'!I:I)</f>
        <v>5178</v>
      </c>
      <c r="E169" s="69"/>
      <c r="F169" s="31"/>
      <c r="G169" s="31"/>
      <c r="H169" s="31"/>
      <c r="I169" s="31"/>
      <c r="J169" s="31"/>
      <c r="K169" s="31"/>
      <c r="L169" s="31"/>
      <c r="M169" s="31"/>
    </row>
    <row r="170" spans="1:13" x14ac:dyDescent="0.2">
      <c r="A170" s="115"/>
      <c r="B170" s="50" t="s">
        <v>4353</v>
      </c>
      <c r="C170" s="50">
        <f>SUMIF('DTM Dataset'!$C:$C,$B170,'DTM Dataset'!H:H)</f>
        <v>231</v>
      </c>
      <c r="D170" s="50">
        <f>SUMIF('DTM Dataset'!$C:$C,$B170,'DTM Dataset'!I:I)</f>
        <v>1386</v>
      </c>
      <c r="E170" s="69"/>
      <c r="F170" s="31"/>
      <c r="G170" s="31"/>
      <c r="H170" s="31"/>
      <c r="I170" s="31"/>
      <c r="J170" s="31"/>
      <c r="K170" s="31"/>
      <c r="L170" s="31"/>
      <c r="M170" s="31"/>
    </row>
    <row r="171" spans="1:13" x14ac:dyDescent="0.2">
      <c r="A171" s="115"/>
      <c r="B171" s="50" t="s">
        <v>4390</v>
      </c>
      <c r="C171" s="50">
        <f>SUMIF('DTM Dataset'!$C:$C,$B171,'DTM Dataset'!H:H)</f>
        <v>247</v>
      </c>
      <c r="D171" s="50">
        <f>SUMIF('DTM Dataset'!$C:$C,$B171,'DTM Dataset'!I:I)</f>
        <v>1482</v>
      </c>
      <c r="E171" s="69"/>
      <c r="F171" s="31"/>
      <c r="G171" s="31"/>
      <c r="H171" s="31"/>
      <c r="I171" s="31"/>
      <c r="J171" s="31"/>
      <c r="K171" s="31"/>
      <c r="L171" s="31"/>
      <c r="M171" s="31"/>
    </row>
    <row r="172" spans="1:13" x14ac:dyDescent="0.2">
      <c r="A172" s="115"/>
      <c r="B172" s="50" t="s">
        <v>4397</v>
      </c>
      <c r="C172" s="50">
        <f>SUMIF('DTM Dataset'!$C:$C,$B172,'DTM Dataset'!H:H)</f>
        <v>1113</v>
      </c>
      <c r="D172" s="50">
        <f>SUMIF('DTM Dataset'!$C:$C,$B172,'DTM Dataset'!I:I)</f>
        <v>6678</v>
      </c>
      <c r="E172" s="69"/>
      <c r="F172" s="31"/>
      <c r="G172" s="31"/>
      <c r="H172" s="31"/>
      <c r="I172" s="31"/>
      <c r="J172" s="31"/>
      <c r="K172" s="31"/>
      <c r="L172" s="31"/>
      <c r="M172" s="31"/>
    </row>
    <row r="173" spans="1:13" x14ac:dyDescent="0.2">
      <c r="A173" s="115"/>
      <c r="B173" s="50" t="s">
        <v>4422</v>
      </c>
      <c r="C173" s="50">
        <f>SUMIF('DTM Dataset'!$C:$C,$B173,'DTM Dataset'!H:H)</f>
        <v>3430</v>
      </c>
      <c r="D173" s="50">
        <f>SUMIF('DTM Dataset'!$C:$C,$B173,'DTM Dataset'!I:I)</f>
        <v>20580</v>
      </c>
      <c r="E173" s="69"/>
      <c r="F173" s="31"/>
      <c r="G173" s="31"/>
      <c r="H173" s="31"/>
      <c r="I173" s="31"/>
      <c r="J173" s="31"/>
      <c r="K173" s="31"/>
      <c r="L173" s="31"/>
      <c r="M173" s="31"/>
    </row>
    <row r="174" spans="1:13" x14ac:dyDescent="0.2">
      <c r="A174" s="115"/>
      <c r="B174" s="50" t="s">
        <v>4481</v>
      </c>
      <c r="C174" s="50">
        <f>SUMIF('DTM Dataset'!$C:$C,$B174,'DTM Dataset'!H:H)</f>
        <v>3975</v>
      </c>
      <c r="D174" s="50">
        <f>SUMIF('DTM Dataset'!$C:$C,$B174,'DTM Dataset'!I:I)</f>
        <v>23850</v>
      </c>
      <c r="E174" s="69"/>
      <c r="F174" s="31"/>
      <c r="G174" s="31"/>
      <c r="H174" s="31"/>
      <c r="I174" s="31"/>
      <c r="J174" s="31"/>
      <c r="K174" s="31"/>
      <c r="L174" s="31"/>
      <c r="M174" s="31"/>
    </row>
    <row r="175" spans="1:13" x14ac:dyDescent="0.2">
      <c r="A175" s="116"/>
      <c r="B175" s="50" t="s">
        <v>4579</v>
      </c>
      <c r="C175" s="50">
        <f>SUMIF('DTM Dataset'!$C:$C,$B175,'DTM Dataset'!H:H)</f>
        <v>4323</v>
      </c>
      <c r="D175" s="50">
        <f>SUMIF('DTM Dataset'!$C:$C,$B175,'DTM Dataset'!I:I)</f>
        <v>25938</v>
      </c>
      <c r="E175" s="69"/>
      <c r="F175" s="31"/>
      <c r="G175" s="31"/>
      <c r="H175" s="31"/>
      <c r="I175" s="31"/>
      <c r="J175" s="31"/>
      <c r="K175" s="31"/>
      <c r="L175" s="31"/>
      <c r="M175" s="31"/>
    </row>
    <row r="176" spans="1:13" x14ac:dyDescent="0.2">
      <c r="A176" s="114" t="s">
        <v>27</v>
      </c>
      <c r="B176" s="50" t="s">
        <v>4641</v>
      </c>
      <c r="C176" s="50">
        <f>SUMIF('DTM Dataset'!$C:$C,$B176,'DTM Dataset'!H:H)</f>
        <v>1592</v>
      </c>
      <c r="D176" s="50">
        <f>SUMIF('DTM Dataset'!$C:$C,$B176,'DTM Dataset'!I:I)</f>
        <v>9552</v>
      </c>
      <c r="E176" s="69"/>
      <c r="F176" s="31"/>
      <c r="G176" s="31"/>
      <c r="H176" s="31"/>
      <c r="I176" s="31"/>
      <c r="J176" s="31"/>
      <c r="K176" s="31"/>
      <c r="L176" s="31"/>
      <c r="M176" s="31"/>
    </row>
    <row r="177" spans="1:13" x14ac:dyDescent="0.2">
      <c r="A177" s="115"/>
      <c r="B177" s="50" t="s">
        <v>4725</v>
      </c>
      <c r="C177" s="50">
        <f>SUMIF('DTM Dataset'!$C:$C,$B177,'DTM Dataset'!H:H)</f>
        <v>783</v>
      </c>
      <c r="D177" s="50">
        <f>SUMIF('DTM Dataset'!$C:$C,$B177,'DTM Dataset'!I:I)</f>
        <v>4698</v>
      </c>
      <c r="E177" s="69"/>
      <c r="F177" s="31"/>
      <c r="G177" s="31"/>
      <c r="H177" s="31"/>
      <c r="I177" s="31"/>
      <c r="J177" s="31"/>
      <c r="K177" s="31"/>
      <c r="L177" s="31"/>
      <c r="M177" s="31"/>
    </row>
    <row r="178" spans="1:13" x14ac:dyDescent="0.2">
      <c r="A178" s="115"/>
      <c r="B178" s="50" t="s">
        <v>4754</v>
      </c>
      <c r="C178" s="50">
        <f>SUMIF('DTM Dataset'!$C:$C,$B178,'DTM Dataset'!H:H)</f>
        <v>872</v>
      </c>
      <c r="D178" s="50">
        <f>SUMIF('DTM Dataset'!$C:$C,$B178,'DTM Dataset'!I:I)</f>
        <v>5232</v>
      </c>
      <c r="E178" s="69"/>
      <c r="F178" s="31"/>
      <c r="G178" s="31"/>
      <c r="H178" s="31"/>
      <c r="I178" s="31"/>
      <c r="J178" s="31"/>
      <c r="K178" s="31"/>
      <c r="L178" s="31"/>
      <c r="M178" s="31"/>
    </row>
    <row r="179" spans="1:13" x14ac:dyDescent="0.2">
      <c r="A179" s="115"/>
      <c r="B179" s="50" t="s">
        <v>4816</v>
      </c>
      <c r="C179" s="50">
        <f>SUMIF('DTM Dataset'!$C:$C,$B179,'DTM Dataset'!H:H)</f>
        <v>1038</v>
      </c>
      <c r="D179" s="50">
        <f>SUMIF('DTM Dataset'!$C:$C,$B179,'DTM Dataset'!I:I)</f>
        <v>6228</v>
      </c>
      <c r="E179" s="69"/>
      <c r="F179" s="31"/>
      <c r="G179" s="31"/>
      <c r="H179" s="31"/>
      <c r="I179" s="31"/>
      <c r="J179" s="31"/>
      <c r="K179" s="31"/>
      <c r="L179" s="31"/>
      <c r="M179" s="31"/>
    </row>
    <row r="180" spans="1:13" x14ac:dyDescent="0.2">
      <c r="A180" s="115"/>
      <c r="B180" s="50" t="s">
        <v>4878</v>
      </c>
      <c r="C180" s="50">
        <f>SUMIF('DTM Dataset'!$C:$C,$B180,'DTM Dataset'!H:H)</f>
        <v>3763</v>
      </c>
      <c r="D180" s="50">
        <f>SUMIF('DTM Dataset'!$C:$C,$B180,'DTM Dataset'!I:I)</f>
        <v>22578</v>
      </c>
      <c r="E180" s="69"/>
      <c r="F180" s="31"/>
      <c r="G180" s="31"/>
      <c r="H180" s="31"/>
      <c r="I180" s="31"/>
      <c r="J180" s="31"/>
      <c r="K180" s="31"/>
      <c r="L180" s="31"/>
      <c r="M180" s="31"/>
    </row>
    <row r="181" spans="1:13" x14ac:dyDescent="0.2">
      <c r="A181" s="115"/>
      <c r="B181" s="50" t="s">
        <v>4946</v>
      </c>
      <c r="C181" s="50">
        <f>SUMIF('DTM Dataset'!$C:$C,$B181,'DTM Dataset'!H:H)</f>
        <v>5</v>
      </c>
      <c r="D181" s="50">
        <f>SUMIF('DTM Dataset'!$C:$C,$B181,'DTM Dataset'!I:I)</f>
        <v>30</v>
      </c>
      <c r="E181" s="69"/>
      <c r="F181" s="31"/>
      <c r="G181" s="31"/>
      <c r="H181" s="31"/>
      <c r="I181" s="31"/>
      <c r="J181" s="31"/>
      <c r="K181" s="31"/>
      <c r="L181" s="31"/>
      <c r="M181" s="31"/>
    </row>
    <row r="182" spans="1:13" x14ac:dyDescent="0.2">
      <c r="A182" s="115"/>
      <c r="B182" s="50" t="s">
        <v>4947</v>
      </c>
      <c r="C182" s="50">
        <f>SUMIF('DTM Dataset'!$C:$C,$B182,'DTM Dataset'!H:H)</f>
        <v>46</v>
      </c>
      <c r="D182" s="50">
        <f>SUMIF('DTM Dataset'!$C:$C,$B182,'DTM Dataset'!I:I)</f>
        <v>276</v>
      </c>
      <c r="E182" s="69"/>
      <c r="F182" s="31"/>
      <c r="G182" s="31"/>
      <c r="H182" s="31"/>
      <c r="I182" s="31"/>
      <c r="J182" s="31"/>
      <c r="K182" s="31"/>
      <c r="L182" s="31"/>
      <c r="M182" s="31"/>
    </row>
    <row r="183" spans="1:13" x14ac:dyDescent="0.2">
      <c r="A183" s="115"/>
      <c r="B183" s="50" t="s">
        <v>4971</v>
      </c>
      <c r="C183" s="50">
        <f>SUMIF('DTM Dataset'!$C:$C,$B183,'DTM Dataset'!H:H)</f>
        <v>439</v>
      </c>
      <c r="D183" s="50">
        <f>SUMIF('DTM Dataset'!$C:$C,$B183,'DTM Dataset'!I:I)</f>
        <v>2634</v>
      </c>
      <c r="E183" s="69"/>
      <c r="F183" s="31"/>
      <c r="G183" s="31"/>
      <c r="H183" s="31"/>
      <c r="I183" s="31"/>
      <c r="J183" s="31"/>
      <c r="K183" s="31"/>
      <c r="L183" s="31"/>
      <c r="M183" s="31"/>
    </row>
    <row r="184" spans="1:13" x14ac:dyDescent="0.2">
      <c r="A184" s="115"/>
      <c r="B184" s="50" t="s">
        <v>5021</v>
      </c>
      <c r="C184" s="50">
        <f>SUMIF('DTM Dataset'!$C:$C,$B184,'DTM Dataset'!H:H)</f>
        <v>99</v>
      </c>
      <c r="D184" s="50">
        <f>SUMIF('DTM Dataset'!$C:$C,$B184,'DTM Dataset'!I:I)</f>
        <v>594</v>
      </c>
      <c r="E184" s="69"/>
      <c r="F184" s="31"/>
      <c r="G184" s="31"/>
      <c r="H184" s="31"/>
      <c r="I184" s="31"/>
      <c r="J184" s="31"/>
      <c r="K184" s="31"/>
      <c r="L184" s="31"/>
      <c r="M184" s="31"/>
    </row>
    <row r="185" spans="1:13" x14ac:dyDescent="0.2">
      <c r="A185" s="116"/>
      <c r="B185" s="50" t="s">
        <v>5030</v>
      </c>
      <c r="C185" s="50">
        <f>SUMIF('DTM Dataset'!$C:$C,$B185,'DTM Dataset'!H:H)</f>
        <v>14835</v>
      </c>
      <c r="D185" s="50">
        <f>SUMIF('DTM Dataset'!$C:$C,$B185,'DTM Dataset'!I:I)</f>
        <v>89010</v>
      </c>
      <c r="E185" s="69"/>
      <c r="F185" s="31"/>
      <c r="G185" s="31"/>
      <c r="H185" s="31"/>
      <c r="I185" s="31"/>
      <c r="J185" s="31"/>
      <c r="K185" s="31"/>
      <c r="L185" s="31"/>
      <c r="M185" s="31"/>
    </row>
    <row r="186" spans="1:13" x14ac:dyDescent="0.2">
      <c r="A186" s="114" t="s">
        <v>28</v>
      </c>
      <c r="B186" s="50" t="s">
        <v>5466</v>
      </c>
      <c r="C186" s="50">
        <f>SUMIF('DTM Dataset'!$C:$C,$B186,'DTM Dataset'!H:H)</f>
        <v>4</v>
      </c>
      <c r="D186" s="50">
        <f>SUMIF('DTM Dataset'!$C:$C,$B186,'DTM Dataset'!I:I)</f>
        <v>24</v>
      </c>
      <c r="E186" s="69"/>
      <c r="F186" s="31"/>
      <c r="G186" s="31"/>
      <c r="H186" s="31"/>
      <c r="I186" s="31"/>
      <c r="J186" s="31"/>
      <c r="K186" s="31"/>
      <c r="L186" s="31"/>
      <c r="M186" s="31"/>
    </row>
    <row r="187" spans="1:13" x14ac:dyDescent="0.2">
      <c r="A187" s="115"/>
      <c r="B187" s="50" t="s">
        <v>5467</v>
      </c>
      <c r="C187" s="50">
        <f>SUMIF('DTM Dataset'!$C:$C,$B187,'DTM Dataset'!H:H)</f>
        <v>126</v>
      </c>
      <c r="D187" s="50">
        <f>SUMIF('DTM Dataset'!$C:$C,$B187,'DTM Dataset'!I:I)</f>
        <v>756</v>
      </c>
      <c r="E187" s="69"/>
      <c r="F187" s="31"/>
      <c r="G187" s="31"/>
      <c r="H187" s="31"/>
      <c r="I187" s="31"/>
      <c r="J187" s="31"/>
      <c r="K187" s="31"/>
      <c r="L187" s="31"/>
      <c r="M187" s="31"/>
    </row>
    <row r="188" spans="1:13" x14ac:dyDescent="0.2">
      <c r="A188" s="115"/>
      <c r="B188" s="50" t="s">
        <v>5470</v>
      </c>
      <c r="C188" s="50">
        <f>SUMIF('DTM Dataset'!$C:$C,$B188,'DTM Dataset'!H:H)</f>
        <v>25</v>
      </c>
      <c r="D188" s="50">
        <f>SUMIF('DTM Dataset'!$C:$C,$B188,'DTM Dataset'!I:I)</f>
        <v>150</v>
      </c>
      <c r="E188" s="69"/>
      <c r="F188" s="31"/>
      <c r="G188" s="31"/>
      <c r="H188" s="31"/>
      <c r="I188" s="31"/>
      <c r="J188" s="31"/>
      <c r="K188" s="31"/>
      <c r="L188" s="31"/>
      <c r="M188" s="31"/>
    </row>
    <row r="189" spans="1:13" x14ac:dyDescent="0.2">
      <c r="A189" s="115"/>
      <c r="B189" s="50" t="s">
        <v>5486</v>
      </c>
      <c r="C189" s="50">
        <f>SUMIF('DTM Dataset'!$C:$C,$B189,'DTM Dataset'!H:H)</f>
        <v>334</v>
      </c>
      <c r="D189" s="50">
        <f>SUMIF('DTM Dataset'!$C:$C,$B189,'DTM Dataset'!I:I)</f>
        <v>2004</v>
      </c>
      <c r="E189" s="69"/>
      <c r="F189" s="31"/>
      <c r="G189" s="31"/>
      <c r="H189" s="31"/>
      <c r="I189" s="31"/>
      <c r="J189" s="31"/>
      <c r="K189" s="31"/>
      <c r="L189" s="31"/>
      <c r="M189" s="31"/>
    </row>
    <row r="190" spans="1:13" x14ac:dyDescent="0.2">
      <c r="A190" s="116"/>
      <c r="B190" s="50" t="s">
        <v>5567</v>
      </c>
      <c r="C190" s="50">
        <f>SUMIF('DTM Dataset'!$C:$C,$B190,'DTM Dataset'!H:H)</f>
        <v>94</v>
      </c>
      <c r="D190" s="50">
        <f>SUMIF('DTM Dataset'!$C:$C,$B190,'DTM Dataset'!I:I)</f>
        <v>564</v>
      </c>
      <c r="E190" s="69"/>
      <c r="F190" s="31"/>
      <c r="G190" s="31"/>
      <c r="H190" s="31"/>
      <c r="I190" s="31"/>
      <c r="J190" s="31"/>
      <c r="K190" s="31"/>
      <c r="L190" s="31"/>
      <c r="M190" s="31"/>
    </row>
    <row r="191" spans="1:13" x14ac:dyDescent="0.2">
      <c r="A191" s="114" t="s">
        <v>29</v>
      </c>
      <c r="B191" s="50" t="s">
        <v>5581</v>
      </c>
      <c r="C191" s="50">
        <f>SUMIF('DTM Dataset'!$C:$C,$B191,'DTM Dataset'!H:H)</f>
        <v>130</v>
      </c>
      <c r="D191" s="50">
        <f>SUMIF('DTM Dataset'!$C:$C,$B191,'DTM Dataset'!I:I)</f>
        <v>780</v>
      </c>
      <c r="E191" s="69"/>
      <c r="F191" s="31"/>
      <c r="G191" s="31"/>
      <c r="H191" s="31"/>
      <c r="I191" s="31"/>
      <c r="J191" s="31"/>
      <c r="K191" s="31"/>
      <c r="L191" s="31"/>
      <c r="M191" s="31"/>
    </row>
    <row r="192" spans="1:13" x14ac:dyDescent="0.2">
      <c r="A192" s="115"/>
      <c r="B192" s="50" t="s">
        <v>5606</v>
      </c>
      <c r="C192" s="50">
        <f>SUMIF('DTM Dataset'!$C:$C,$B192,'DTM Dataset'!H:H)</f>
        <v>80</v>
      </c>
      <c r="D192" s="50">
        <f>SUMIF('DTM Dataset'!$C:$C,$B192,'DTM Dataset'!I:I)</f>
        <v>480</v>
      </c>
      <c r="E192" s="69"/>
      <c r="F192" s="31"/>
      <c r="G192" s="31"/>
      <c r="H192" s="31"/>
      <c r="I192" s="31"/>
      <c r="J192" s="31"/>
      <c r="K192" s="31"/>
      <c r="L192" s="31"/>
      <c r="M192" s="31"/>
    </row>
    <row r="193" spans="1:13" x14ac:dyDescent="0.2">
      <c r="A193" s="115"/>
      <c r="B193" s="50" t="s">
        <v>5627</v>
      </c>
      <c r="C193" s="50">
        <f>SUMIF('DTM Dataset'!$C:$C,$B193,'DTM Dataset'!H:H)</f>
        <v>93</v>
      </c>
      <c r="D193" s="50">
        <f>SUMIF('DTM Dataset'!$C:$C,$B193,'DTM Dataset'!I:I)</f>
        <v>558</v>
      </c>
      <c r="E193" s="69"/>
      <c r="F193" s="31"/>
      <c r="G193" s="31"/>
      <c r="H193" s="31"/>
      <c r="I193" s="31"/>
      <c r="J193" s="31"/>
      <c r="K193" s="31"/>
      <c r="L193" s="31"/>
      <c r="M193" s="31"/>
    </row>
    <row r="194" spans="1:13" x14ac:dyDescent="0.2">
      <c r="A194" s="115"/>
      <c r="B194" s="50" t="s">
        <v>5642</v>
      </c>
      <c r="C194" s="50">
        <f>SUMIF('DTM Dataset'!$C:$C,$B194,'DTM Dataset'!H:H)</f>
        <v>89</v>
      </c>
      <c r="D194" s="50">
        <f>SUMIF('DTM Dataset'!$C:$C,$B194,'DTM Dataset'!I:I)</f>
        <v>534</v>
      </c>
      <c r="E194" s="69"/>
      <c r="F194" s="31"/>
      <c r="G194" s="31"/>
      <c r="H194" s="31"/>
      <c r="I194" s="31"/>
      <c r="J194" s="31"/>
      <c r="K194" s="31"/>
      <c r="L194" s="31"/>
      <c r="M194" s="31"/>
    </row>
    <row r="195" spans="1:13" x14ac:dyDescent="0.2">
      <c r="A195" s="115"/>
      <c r="B195" s="50" t="s">
        <v>5655</v>
      </c>
      <c r="C195" s="50">
        <f>SUMIF('DTM Dataset'!$C:$C,$B195,'DTM Dataset'!H:H)</f>
        <v>38</v>
      </c>
      <c r="D195" s="50">
        <f>SUMIF('DTM Dataset'!$C:$C,$B195,'DTM Dataset'!I:I)</f>
        <v>228</v>
      </c>
      <c r="E195" s="69"/>
      <c r="F195" s="31"/>
      <c r="G195" s="31"/>
      <c r="H195" s="31"/>
      <c r="I195" s="31"/>
      <c r="J195" s="31"/>
      <c r="K195" s="31"/>
      <c r="L195" s="31"/>
      <c r="M195" s="31"/>
    </row>
    <row r="196" spans="1:13" x14ac:dyDescent="0.2">
      <c r="A196" s="116"/>
      <c r="B196" s="50" t="s">
        <v>5664</v>
      </c>
      <c r="C196" s="50">
        <f>SUMIF('DTM Dataset'!$C:$C,$B196,'DTM Dataset'!H:H)</f>
        <v>763</v>
      </c>
      <c r="D196" s="50">
        <f>SUMIF('DTM Dataset'!$C:$C,$B196,'DTM Dataset'!I:I)</f>
        <v>4578</v>
      </c>
      <c r="E196" s="69"/>
      <c r="F196" s="31"/>
      <c r="G196" s="31"/>
      <c r="H196" s="31"/>
      <c r="I196" s="31"/>
      <c r="J196" s="31"/>
      <c r="K196" s="31"/>
      <c r="L196" s="31"/>
      <c r="M196" s="31"/>
    </row>
    <row r="197" spans="1:13" x14ac:dyDescent="0.2">
      <c r="A197" s="107" t="s">
        <v>5763</v>
      </c>
      <c r="B197" s="107"/>
      <c r="C197" s="24">
        <f>SUM(C91:C196)</f>
        <v>240750</v>
      </c>
      <c r="D197" s="24">
        <f>SUM(D91:D196)</f>
        <v>1444500</v>
      </c>
      <c r="E197" s="69"/>
      <c r="F197" s="31"/>
      <c r="G197" s="31"/>
      <c r="H197" s="31"/>
      <c r="I197" s="31"/>
      <c r="J197" s="31"/>
      <c r="K197" s="31"/>
      <c r="L197" s="31"/>
      <c r="M197" s="31"/>
    </row>
  </sheetData>
  <sortState xmlns:xlrd2="http://schemas.microsoft.com/office/spreadsheetml/2017/richdata2" ref="M56:R63">
    <sortCondition descending="1" ref="R56"/>
  </sortState>
  <mergeCells count="23">
    <mergeCell ref="A186:A190"/>
    <mergeCell ref="A191:A196"/>
    <mergeCell ref="A152:A154"/>
    <mergeCell ref="A155:A163"/>
    <mergeCell ref="A164:A167"/>
    <mergeCell ref="A168:A175"/>
    <mergeCell ref="A176:A185"/>
    <mergeCell ref="A1:B1"/>
    <mergeCell ref="A197:B197"/>
    <mergeCell ref="B8:M8"/>
    <mergeCell ref="B31:J31"/>
    <mergeCell ref="B54:K54"/>
    <mergeCell ref="A91:A98"/>
    <mergeCell ref="A99:A102"/>
    <mergeCell ref="A103:A112"/>
    <mergeCell ref="A113:A119"/>
    <mergeCell ref="A120:A123"/>
    <mergeCell ref="A124:A129"/>
    <mergeCell ref="A130:A135"/>
    <mergeCell ref="A136:A138"/>
    <mergeCell ref="A139:A142"/>
    <mergeCell ref="A143:A148"/>
    <mergeCell ref="A149:A151"/>
  </mergeCells>
  <conditionalFormatting sqref="J33:J5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{808A8B1B-60BC-4B49-9ACA-8C907A7FD69A}</x14:id>
        </ext>
      </extLst>
    </cfRule>
  </conditionalFormatting>
  <conditionalFormatting sqref="K56:K7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{3FA38AFF-1BD6-4E70-B674-C058C48C9E79}</x14:id>
        </ext>
      </extLst>
    </cfRule>
  </conditionalFormatting>
  <conditionalFormatting sqref="C91:C19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{BE9D155D-0AEE-4A37-81E6-B8958F600B4A}</x14:id>
        </ext>
      </extLst>
    </cfRule>
  </conditionalFormatting>
  <conditionalFormatting sqref="D91:D19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{41EBF79F-AA7B-42BD-B54F-ABD1ECD2B269}</x14:id>
        </ext>
      </extLst>
    </cfRule>
  </conditionalFormatting>
  <conditionalFormatting sqref="N10:N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{3A77863B-449A-495D-9A54-0B27CBC6FD9A}</x14:id>
        </ext>
      </extLst>
    </cfRule>
  </conditionalFormatting>
  <conditionalFormatting sqref="D78:D8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{0A26F61A-126D-4E07-B2FA-2299C61E6057}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8A8B1B-60BC-4B49-9ACA-8C907A7FD6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J33:J50</xm:sqref>
        </x14:conditionalFormatting>
        <x14:conditionalFormatting xmlns:xm="http://schemas.microsoft.com/office/excel/2006/main">
          <x14:cfRule type="dataBar" id="{3FA38AFF-1BD6-4E70-B674-C058C48C9E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K56:K73</xm:sqref>
        </x14:conditionalFormatting>
        <x14:conditionalFormatting xmlns:xm="http://schemas.microsoft.com/office/excel/2006/main">
          <x14:cfRule type="dataBar" id="{BE9D155D-0AEE-4A37-81E6-B8958F600B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C91:C197</xm:sqref>
        </x14:conditionalFormatting>
        <x14:conditionalFormatting xmlns:xm="http://schemas.microsoft.com/office/excel/2006/main">
          <x14:cfRule type="dataBar" id="{41EBF79F-AA7B-42BD-B54F-ABD1ECD2B2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D91:D197</xm:sqref>
        </x14:conditionalFormatting>
        <x14:conditionalFormatting xmlns:xm="http://schemas.microsoft.com/office/excel/2006/main">
          <x14:cfRule type="dataBar" id="{3A77863B-449A-495D-9A54-0B27CBC6FD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N10:N27</xm:sqref>
        </x14:conditionalFormatting>
        <x14:conditionalFormatting xmlns:xm="http://schemas.microsoft.com/office/excel/2006/main">
          <x14:cfRule type="dataBar" id="{0A26F61A-126D-4E07-B2FA-2299C61E60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D78:D86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9346-DDFE-4A92-A429-F0C7AFB9419C}">
  <dimension ref="A1:AZ3070"/>
  <sheetViews>
    <sheetView showGridLines="0" zoomScaleNormal="100" workbookViewId="0">
      <selection activeCell="A4" sqref="A4"/>
    </sheetView>
  </sheetViews>
  <sheetFormatPr defaultRowHeight="15" x14ac:dyDescent="0.25"/>
  <cols>
    <col min="1" max="1" width="11.42578125" style="75" bestFit="1" customWidth="1"/>
    <col min="2" max="2" width="14.85546875" style="74" bestFit="1" customWidth="1"/>
    <col min="3" max="3" width="12.5703125" style="74" bestFit="1" customWidth="1"/>
    <col min="4" max="5" width="20.7109375" style="74" customWidth="1"/>
    <col min="6" max="6" width="11.85546875" style="74" bestFit="1" customWidth="1"/>
    <col min="7" max="7" width="13.42578125" style="74" bestFit="1" customWidth="1"/>
    <col min="8" max="9" width="12.7109375" style="75" customWidth="1"/>
    <col min="10" max="34" width="12.7109375" style="74" customWidth="1"/>
    <col min="35" max="35" width="11.85546875" style="74" customWidth="1"/>
    <col min="36" max="36" width="12.7109375" style="74" customWidth="1"/>
    <col min="37" max="37" width="13.5703125" style="74" customWidth="1"/>
    <col min="38" max="51" width="12.7109375" style="74" customWidth="1"/>
    <col min="52" max="16384" width="9.140625" style="74"/>
  </cols>
  <sheetData>
    <row r="1" spans="1:52" ht="25.9" customHeight="1" x14ac:dyDescent="0.25">
      <c r="A1" s="118" t="s">
        <v>5864</v>
      </c>
      <c r="B1" s="118"/>
      <c r="C1" s="118"/>
      <c r="D1" s="118"/>
      <c r="E1" s="118"/>
      <c r="F1" s="77"/>
      <c r="G1" s="77"/>
      <c r="H1" s="78"/>
      <c r="I1" s="78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2" ht="18" customHeight="1" x14ac:dyDescent="0.25">
      <c r="A2" s="119" t="s">
        <v>0</v>
      </c>
      <c r="B2" s="119"/>
      <c r="C2" s="119"/>
      <c r="D2" s="119"/>
      <c r="E2" s="119"/>
      <c r="F2" s="119"/>
      <c r="G2" s="119"/>
      <c r="H2" s="81"/>
      <c r="I2" s="81"/>
      <c r="J2" s="120" t="s">
        <v>5863</v>
      </c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 t="s">
        <v>1</v>
      </c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2" t="s">
        <v>2</v>
      </c>
      <c r="AO2" s="122"/>
      <c r="AP2" s="122"/>
      <c r="AQ2" s="122"/>
      <c r="AR2" s="122"/>
      <c r="AS2" s="122"/>
      <c r="AT2" s="122"/>
      <c r="AU2" s="122"/>
      <c r="AV2" s="122"/>
      <c r="AW2" s="117" t="s">
        <v>3</v>
      </c>
      <c r="AX2" s="117"/>
      <c r="AY2" s="117"/>
      <c r="AZ2" s="76"/>
    </row>
    <row r="3" spans="1:52" s="91" customFormat="1" ht="38.25" x14ac:dyDescent="0.25">
      <c r="A3" s="48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10</v>
      </c>
      <c r="H3" s="81" t="s">
        <v>5860</v>
      </c>
      <c r="I3" s="81" t="s">
        <v>11</v>
      </c>
      <c r="J3" s="82" t="s">
        <v>12</v>
      </c>
      <c r="K3" s="82" t="s">
        <v>13</v>
      </c>
      <c r="L3" s="82" t="s">
        <v>14</v>
      </c>
      <c r="M3" s="82" t="s">
        <v>15</v>
      </c>
      <c r="N3" s="82" t="s">
        <v>16</v>
      </c>
      <c r="O3" s="82" t="s">
        <v>17</v>
      </c>
      <c r="P3" s="82" t="s">
        <v>18</v>
      </c>
      <c r="Q3" s="82" t="s">
        <v>19</v>
      </c>
      <c r="R3" s="82" t="s">
        <v>20</v>
      </c>
      <c r="S3" s="82" t="s">
        <v>21</v>
      </c>
      <c r="T3" s="82" t="s">
        <v>22</v>
      </c>
      <c r="U3" s="82" t="s">
        <v>23</v>
      </c>
      <c r="V3" s="82" t="s">
        <v>24</v>
      </c>
      <c r="W3" s="82" t="s">
        <v>25</v>
      </c>
      <c r="X3" s="82" t="s">
        <v>26</v>
      </c>
      <c r="Y3" s="82" t="s">
        <v>27</v>
      </c>
      <c r="Z3" s="82" t="s">
        <v>28</v>
      </c>
      <c r="AA3" s="82" t="s">
        <v>29</v>
      </c>
      <c r="AB3" s="83" t="s">
        <v>30</v>
      </c>
      <c r="AC3" s="83" t="s">
        <v>31</v>
      </c>
      <c r="AD3" s="83" t="s">
        <v>32</v>
      </c>
      <c r="AE3" s="83" t="s">
        <v>33</v>
      </c>
      <c r="AF3" s="83" t="s">
        <v>34</v>
      </c>
      <c r="AG3" s="83" t="s">
        <v>35</v>
      </c>
      <c r="AH3" s="83" t="s">
        <v>36</v>
      </c>
      <c r="AI3" s="83" t="s">
        <v>37</v>
      </c>
      <c r="AJ3" s="83" t="s">
        <v>38</v>
      </c>
      <c r="AK3" s="83" t="s">
        <v>39</v>
      </c>
      <c r="AL3" s="83" t="s">
        <v>5788</v>
      </c>
      <c r="AM3" s="83" t="s">
        <v>40</v>
      </c>
      <c r="AN3" s="84" t="s">
        <v>41</v>
      </c>
      <c r="AO3" s="84" t="s">
        <v>42</v>
      </c>
      <c r="AP3" s="84" t="s">
        <v>43</v>
      </c>
      <c r="AQ3" s="84" t="s">
        <v>44</v>
      </c>
      <c r="AR3" s="84" t="s">
        <v>45</v>
      </c>
      <c r="AS3" s="84" t="s">
        <v>46</v>
      </c>
      <c r="AT3" s="84" t="s">
        <v>47</v>
      </c>
      <c r="AU3" s="84" t="s">
        <v>48</v>
      </c>
      <c r="AV3" s="84" t="s">
        <v>5787</v>
      </c>
      <c r="AW3" s="85" t="s">
        <v>49</v>
      </c>
      <c r="AX3" s="85" t="s">
        <v>50</v>
      </c>
      <c r="AY3" s="85" t="s">
        <v>51</v>
      </c>
      <c r="AZ3" s="90"/>
    </row>
    <row r="4" spans="1:52" x14ac:dyDescent="0.25">
      <c r="A4" s="86">
        <v>165</v>
      </c>
      <c r="B4" s="87" t="s">
        <v>12</v>
      </c>
      <c r="C4" s="87" t="s">
        <v>53</v>
      </c>
      <c r="D4" s="87" t="s">
        <v>54</v>
      </c>
      <c r="E4" s="87" t="s">
        <v>55</v>
      </c>
      <c r="F4" s="87">
        <v>33.0380018894</v>
      </c>
      <c r="G4" s="87">
        <v>40.302634436699996</v>
      </c>
      <c r="H4" s="86">
        <v>80</v>
      </c>
      <c r="I4" s="86">
        <v>480</v>
      </c>
      <c r="J4" s="87">
        <v>80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>
        <v>80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>
        <v>14</v>
      </c>
      <c r="AV4" s="87">
        <v>66</v>
      </c>
      <c r="AW4" s="88" t="str">
        <f>HYPERLINK("http://www.openstreetmap.org/?mlat=33.038&amp;mlon=40.3026&amp;zoom=12#map=12/33.038/40.3026","Maplink1")</f>
        <v>Maplink1</v>
      </c>
      <c r="AX4" s="88" t="str">
        <f>HYPERLINK("https://www.google.iq/maps/search/+33.038,40.3026/@33.038,40.3026,14z?hl=en","Maplink2")</f>
        <v>Maplink2</v>
      </c>
      <c r="AY4" s="88" t="str">
        <f>HYPERLINK("http://www.bing.com/maps/?lvl=14&amp;sty=h&amp;cp=33.038~40.3026&amp;sp=point.33.038_40.3026","Maplink3")</f>
        <v>Maplink3</v>
      </c>
      <c r="AZ4" s="76"/>
    </row>
    <row r="5" spans="1:52" x14ac:dyDescent="0.25">
      <c r="A5" s="86">
        <v>150</v>
      </c>
      <c r="B5" s="87" t="s">
        <v>12</v>
      </c>
      <c r="C5" s="87" t="s">
        <v>53</v>
      </c>
      <c r="D5" s="87" t="s">
        <v>56</v>
      </c>
      <c r="E5" s="87" t="s">
        <v>57</v>
      </c>
      <c r="F5" s="87">
        <v>33.037615909099998</v>
      </c>
      <c r="G5" s="87">
        <v>40.284264429899999</v>
      </c>
      <c r="H5" s="86">
        <v>54</v>
      </c>
      <c r="I5" s="86">
        <v>324</v>
      </c>
      <c r="J5" s="87">
        <v>54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>
        <v>54</v>
      </c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>
        <v>4</v>
      </c>
      <c r="AV5" s="87">
        <v>50</v>
      </c>
      <c r="AW5" s="88" t="str">
        <f>HYPERLINK("http://www.openstreetmap.org/?mlat=33.0376&amp;mlon=40.2843&amp;zoom=12#map=12/33.0376/40.2843","Maplink1")</f>
        <v>Maplink1</v>
      </c>
      <c r="AX5" s="88" t="str">
        <f>HYPERLINK("https://www.google.iq/maps/search/+33.0376,40.2843/@33.0376,40.2843,14z?hl=en","Maplink2")</f>
        <v>Maplink2</v>
      </c>
      <c r="AY5" s="88" t="str">
        <f>HYPERLINK("http://www.bing.com/maps/?lvl=14&amp;sty=h&amp;cp=33.0376~40.2843&amp;sp=point.33.0376_40.2843","Maplink3")</f>
        <v>Maplink3</v>
      </c>
      <c r="AZ5" s="76"/>
    </row>
    <row r="6" spans="1:52" x14ac:dyDescent="0.25">
      <c r="A6" s="86">
        <v>231</v>
      </c>
      <c r="B6" s="87" t="s">
        <v>12</v>
      </c>
      <c r="C6" s="87" t="s">
        <v>53</v>
      </c>
      <c r="D6" s="87" t="s">
        <v>58</v>
      </c>
      <c r="E6" s="87" t="s">
        <v>59</v>
      </c>
      <c r="F6" s="87">
        <v>33.039664212200002</v>
      </c>
      <c r="G6" s="87">
        <v>40.283652619199998</v>
      </c>
      <c r="H6" s="86">
        <v>86</v>
      </c>
      <c r="I6" s="86">
        <v>516</v>
      </c>
      <c r="J6" s="87">
        <v>86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>
        <v>86</v>
      </c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>
        <v>11</v>
      </c>
      <c r="AV6" s="87">
        <v>75</v>
      </c>
      <c r="AW6" s="88" t="str">
        <f>HYPERLINK("http://www.openstreetmap.org/?mlat=33.0397&amp;mlon=40.2837&amp;zoom=12#map=12/33.0397/40.2837","Maplink1")</f>
        <v>Maplink1</v>
      </c>
      <c r="AX6" s="88" t="str">
        <f>HYPERLINK("https://www.google.iq/maps/search/+33.0397,40.2837/@33.0397,40.2837,14z?hl=en","Maplink2")</f>
        <v>Maplink2</v>
      </c>
      <c r="AY6" s="88" t="str">
        <f>HYPERLINK("http://www.bing.com/maps/?lvl=14&amp;sty=h&amp;cp=33.0397~40.2837&amp;sp=point.33.0397_40.2837","Maplink3")</f>
        <v>Maplink3</v>
      </c>
      <c r="AZ6" s="76"/>
    </row>
    <row r="7" spans="1:52" x14ac:dyDescent="0.25">
      <c r="A7" s="86">
        <v>23935</v>
      </c>
      <c r="B7" s="87" t="s">
        <v>12</v>
      </c>
      <c r="C7" s="87" t="s">
        <v>53</v>
      </c>
      <c r="D7" s="87" t="s">
        <v>5819</v>
      </c>
      <c r="E7" s="87" t="s">
        <v>5820</v>
      </c>
      <c r="F7" s="87">
        <v>33.043026676300002</v>
      </c>
      <c r="G7" s="87">
        <v>40.380383457699999</v>
      </c>
      <c r="H7" s="86">
        <v>40</v>
      </c>
      <c r="I7" s="86">
        <v>240</v>
      </c>
      <c r="J7" s="87">
        <v>40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>
        <v>40</v>
      </c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>
        <v>40</v>
      </c>
      <c r="AW7" s="88" t="str">
        <f>HYPERLINK("http://www.openstreetmap.org/?mlat=33.043&amp;mlon=40.3804&amp;zoom=12#map=12/33.043/40.3804","Maplink1")</f>
        <v>Maplink1</v>
      </c>
      <c r="AX7" s="88" t="str">
        <f>HYPERLINK("https://www.google.iq/maps/search/+33.043,40.3804/@33.043,40.3804,14z?hl=en","Maplink2")</f>
        <v>Maplink2</v>
      </c>
      <c r="AY7" s="88" t="str">
        <f>HYPERLINK("http://www.bing.com/maps/?lvl=14&amp;sty=h&amp;cp=33.043~40.3804&amp;sp=point.33.043_40.3804","Maplink3")</f>
        <v>Maplink3</v>
      </c>
      <c r="AZ7" s="76"/>
    </row>
    <row r="8" spans="1:52" x14ac:dyDescent="0.25">
      <c r="A8" s="86">
        <v>167</v>
      </c>
      <c r="B8" s="87" t="s">
        <v>12</v>
      </c>
      <c r="C8" s="87" t="s">
        <v>53</v>
      </c>
      <c r="D8" s="87" t="s">
        <v>60</v>
      </c>
      <c r="E8" s="87" t="s">
        <v>61</v>
      </c>
      <c r="F8" s="87">
        <v>33.031265636199997</v>
      </c>
      <c r="G8" s="87">
        <v>40.299014793200001</v>
      </c>
      <c r="H8" s="86">
        <v>63</v>
      </c>
      <c r="I8" s="86">
        <v>378</v>
      </c>
      <c r="J8" s="87">
        <v>63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>
        <v>63</v>
      </c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>
        <v>23</v>
      </c>
      <c r="AV8" s="87">
        <v>40</v>
      </c>
      <c r="AW8" s="88" t="str">
        <f>HYPERLINK("http://www.openstreetmap.org/?mlat=33.0313&amp;mlon=40.299&amp;zoom=12#map=12/33.0313/40.299","Maplink1")</f>
        <v>Maplink1</v>
      </c>
      <c r="AX8" s="88" t="str">
        <f>HYPERLINK("https://www.google.iq/maps/search/+33.0313,40.299/@33.0313,40.299,14z?hl=en","Maplink2")</f>
        <v>Maplink2</v>
      </c>
      <c r="AY8" s="88" t="str">
        <f>HYPERLINK("http://www.bing.com/maps/?lvl=14&amp;sty=h&amp;cp=33.0313~40.299&amp;sp=point.33.0313_40.299","Maplink3")</f>
        <v>Maplink3</v>
      </c>
      <c r="AZ8" s="76"/>
    </row>
    <row r="9" spans="1:52" x14ac:dyDescent="0.25">
      <c r="A9" s="86">
        <v>23888</v>
      </c>
      <c r="B9" s="87" t="s">
        <v>12</v>
      </c>
      <c r="C9" s="87" t="s">
        <v>53</v>
      </c>
      <c r="D9" s="87" t="s">
        <v>5821</v>
      </c>
      <c r="E9" s="87" t="s">
        <v>5822</v>
      </c>
      <c r="F9" s="87">
        <v>33.042455232199998</v>
      </c>
      <c r="G9" s="87">
        <v>40.2780390713</v>
      </c>
      <c r="H9" s="86">
        <v>20</v>
      </c>
      <c r="I9" s="86">
        <v>120</v>
      </c>
      <c r="J9" s="87">
        <v>20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>
        <v>20</v>
      </c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>
        <v>20</v>
      </c>
      <c r="AW9" s="88" t="str">
        <f>HYPERLINK("http://www.openstreetmap.org/?mlat=33.0425&amp;mlon=40.278&amp;zoom=12#map=12/33.0425/40.278","Maplink1")</f>
        <v>Maplink1</v>
      </c>
      <c r="AX9" s="88" t="str">
        <f>HYPERLINK("https://www.google.iq/maps/search/+33.0425,40.278/@33.0425,40.278,14z?hl=en","Maplink2")</f>
        <v>Maplink2</v>
      </c>
      <c r="AY9" s="88" t="str">
        <f>HYPERLINK("http://www.bing.com/maps/?lvl=14&amp;sty=h&amp;cp=33.0425~40.278&amp;sp=point.33.0425_40.278","Maplink3")</f>
        <v>Maplink3</v>
      </c>
      <c r="AZ9" s="76"/>
    </row>
    <row r="10" spans="1:52" x14ac:dyDescent="0.25">
      <c r="A10" s="86">
        <v>166</v>
      </c>
      <c r="B10" s="87" t="s">
        <v>12</v>
      </c>
      <c r="C10" s="87" t="s">
        <v>53</v>
      </c>
      <c r="D10" s="87" t="s">
        <v>62</v>
      </c>
      <c r="E10" s="87" t="s">
        <v>63</v>
      </c>
      <c r="F10" s="87">
        <v>33.031973538300001</v>
      </c>
      <c r="G10" s="87">
        <v>40.290472172599998</v>
      </c>
      <c r="H10" s="86">
        <v>100</v>
      </c>
      <c r="I10" s="86">
        <v>600</v>
      </c>
      <c r="J10" s="87">
        <v>100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>
        <v>100</v>
      </c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>
        <v>8</v>
      </c>
      <c r="AV10" s="87">
        <v>92</v>
      </c>
      <c r="AW10" s="88" t="str">
        <f>HYPERLINK("http://www.openstreetmap.org/?mlat=33.032&amp;mlon=40.2905&amp;zoom=12#map=12/33.032/40.2905","Maplink1")</f>
        <v>Maplink1</v>
      </c>
      <c r="AX10" s="88" t="str">
        <f>HYPERLINK("https://www.google.iq/maps/search/+33.032,40.2905/@33.032,40.2905,14z?hl=en","Maplink2")</f>
        <v>Maplink2</v>
      </c>
      <c r="AY10" s="88" t="str">
        <f>HYPERLINK("http://www.bing.com/maps/?lvl=14&amp;sty=h&amp;cp=33.032~40.2905&amp;sp=point.33.032_40.2905","Maplink3")</f>
        <v>Maplink3</v>
      </c>
      <c r="AZ10" s="76"/>
    </row>
    <row r="11" spans="1:52" x14ac:dyDescent="0.25">
      <c r="A11" s="86">
        <v>233</v>
      </c>
      <c r="B11" s="87" t="s">
        <v>12</v>
      </c>
      <c r="C11" s="87" t="s">
        <v>53</v>
      </c>
      <c r="D11" s="87" t="s">
        <v>64</v>
      </c>
      <c r="E11" s="87" t="s">
        <v>65</v>
      </c>
      <c r="F11" s="87">
        <v>33.034610843700001</v>
      </c>
      <c r="G11" s="87">
        <v>40.286680133300003</v>
      </c>
      <c r="H11" s="86">
        <v>43</v>
      </c>
      <c r="I11" s="86">
        <v>258</v>
      </c>
      <c r="J11" s="87">
        <v>43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>
        <v>43</v>
      </c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>
        <v>8</v>
      </c>
      <c r="AV11" s="87">
        <v>35</v>
      </c>
      <c r="AW11" s="88" t="str">
        <f>HYPERLINK("http://www.openstreetmap.org/?mlat=33.0346&amp;mlon=40.2867&amp;zoom=12#map=12/33.0346/40.2867","Maplink1")</f>
        <v>Maplink1</v>
      </c>
      <c r="AX11" s="88" t="str">
        <f>HYPERLINK("https://www.google.iq/maps/search/+33.0346,40.2867/@33.0346,40.2867,14z?hl=en","Maplink2")</f>
        <v>Maplink2</v>
      </c>
      <c r="AY11" s="88" t="str">
        <f>HYPERLINK("http://www.bing.com/maps/?lvl=14&amp;sty=h&amp;cp=33.0346~40.2867&amp;sp=point.33.0346_40.2867","Maplink3")</f>
        <v>Maplink3</v>
      </c>
      <c r="AZ11" s="76"/>
    </row>
    <row r="12" spans="1:52" x14ac:dyDescent="0.25">
      <c r="A12" s="86">
        <v>23936</v>
      </c>
      <c r="B12" s="87" t="s">
        <v>12</v>
      </c>
      <c r="C12" s="87" t="s">
        <v>53</v>
      </c>
      <c r="D12" s="87" t="s">
        <v>5823</v>
      </c>
      <c r="E12" s="87" t="s">
        <v>2430</v>
      </c>
      <c r="F12" s="87">
        <v>33.060220907599998</v>
      </c>
      <c r="G12" s="87">
        <v>40.345566290199997</v>
      </c>
      <c r="H12" s="86">
        <v>30</v>
      </c>
      <c r="I12" s="86">
        <v>180</v>
      </c>
      <c r="J12" s="87">
        <v>30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>
        <v>30</v>
      </c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>
        <v>30</v>
      </c>
      <c r="AW12" s="88" t="str">
        <f>HYPERLINK("http://www.openstreetmap.org/?mlat=33.0602&amp;mlon=40.3456&amp;zoom=12#map=12/33.0602/40.3456","Maplink1")</f>
        <v>Maplink1</v>
      </c>
      <c r="AX12" s="88" t="str">
        <f>HYPERLINK("https://www.google.iq/maps/search/+33.0602,40.3456/@33.0602,40.3456,14z?hl=en","Maplink2")</f>
        <v>Maplink2</v>
      </c>
      <c r="AY12" s="88" t="str">
        <f>HYPERLINK("http://www.bing.com/maps/?lvl=14&amp;sty=h&amp;cp=33.0602~40.3456&amp;sp=point.33.0602_40.3456","Maplink3")</f>
        <v>Maplink3</v>
      </c>
      <c r="AZ12" s="76"/>
    </row>
    <row r="13" spans="1:52" x14ac:dyDescent="0.25">
      <c r="A13" s="86">
        <v>248</v>
      </c>
      <c r="B13" s="87" t="s">
        <v>12</v>
      </c>
      <c r="C13" s="87" t="s">
        <v>66</v>
      </c>
      <c r="D13" s="87" t="s">
        <v>5865</v>
      </c>
      <c r="E13" s="87" t="s">
        <v>5866</v>
      </c>
      <c r="F13" s="87">
        <v>34.366788054700002</v>
      </c>
      <c r="G13" s="87">
        <v>41.970783142899997</v>
      </c>
      <c r="H13" s="86">
        <v>19</v>
      </c>
      <c r="I13" s="86">
        <v>114</v>
      </c>
      <c r="J13" s="87">
        <v>19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>
        <v>19</v>
      </c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>
        <v>6</v>
      </c>
      <c r="AU13" s="87">
        <v>13</v>
      </c>
      <c r="AV13" s="87"/>
      <c r="AW13" s="88" t="str">
        <f>HYPERLINK("http://www.openstreetmap.org/?mlat=34.3668&amp;mlon=41.9708&amp;zoom=12#map=12/34.3668/41.9708","Maplink1")</f>
        <v>Maplink1</v>
      </c>
      <c r="AX13" s="88" t="str">
        <f>HYPERLINK("https://www.google.iq/maps/search/+34.3668,41.9708/@34.3668,41.9708,14z?hl=en","Maplink2")</f>
        <v>Maplink2</v>
      </c>
      <c r="AY13" s="88" t="str">
        <f>HYPERLINK("http://www.bing.com/maps/?lvl=14&amp;sty=h&amp;cp=34.3668~41.9708&amp;sp=point.34.3668_41.9708","Maplink3")</f>
        <v>Maplink3</v>
      </c>
      <c r="AZ13" s="76"/>
    </row>
    <row r="14" spans="1:52" x14ac:dyDescent="0.25">
      <c r="A14" s="86">
        <v>252</v>
      </c>
      <c r="B14" s="87" t="s">
        <v>12</v>
      </c>
      <c r="C14" s="87" t="s">
        <v>66</v>
      </c>
      <c r="D14" s="87" t="s">
        <v>67</v>
      </c>
      <c r="E14" s="87" t="s">
        <v>68</v>
      </c>
      <c r="F14" s="87">
        <v>34.364280129100003</v>
      </c>
      <c r="G14" s="87">
        <v>41.984027865199998</v>
      </c>
      <c r="H14" s="86">
        <v>10</v>
      </c>
      <c r="I14" s="86">
        <v>60</v>
      </c>
      <c r="J14" s="87">
        <v>10</v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>
        <v>10</v>
      </c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>
        <v>10</v>
      </c>
      <c r="AV14" s="87"/>
      <c r="AW14" s="88" t="str">
        <f>HYPERLINK("http://www.openstreetmap.org/?mlat=34.3643&amp;mlon=41.984&amp;zoom=12#map=12/34.3643/41.984","Maplink1")</f>
        <v>Maplink1</v>
      </c>
      <c r="AX14" s="88" t="str">
        <f>HYPERLINK("https://www.google.iq/maps/search/+34.3643,41.984/@34.3643,41.984,14z?hl=en","Maplink2")</f>
        <v>Maplink2</v>
      </c>
      <c r="AY14" s="88" t="str">
        <f>HYPERLINK("http://www.bing.com/maps/?lvl=14&amp;sty=h&amp;cp=34.3643~41.984&amp;sp=point.34.3643_41.984","Maplink3")</f>
        <v>Maplink3</v>
      </c>
      <c r="AZ14" s="76"/>
    </row>
    <row r="15" spans="1:52" x14ac:dyDescent="0.25">
      <c r="A15" s="86">
        <v>250</v>
      </c>
      <c r="B15" s="87" t="s">
        <v>12</v>
      </c>
      <c r="C15" s="87" t="s">
        <v>66</v>
      </c>
      <c r="D15" s="87" t="s">
        <v>69</v>
      </c>
      <c r="E15" s="87" t="s">
        <v>70</v>
      </c>
      <c r="F15" s="87">
        <v>34.367794222900002</v>
      </c>
      <c r="G15" s="87">
        <v>41.990944452199997</v>
      </c>
      <c r="H15" s="86">
        <v>18</v>
      </c>
      <c r="I15" s="86">
        <v>108</v>
      </c>
      <c r="J15" s="87">
        <v>18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>
        <v>18</v>
      </c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>
        <v>18</v>
      </c>
      <c r="AV15" s="87"/>
      <c r="AW15" s="88" t="str">
        <f>HYPERLINK("http://www.openstreetmap.org/?mlat=34.3678&amp;mlon=41.9909&amp;zoom=12#map=12/34.3678/41.9909","Maplink1")</f>
        <v>Maplink1</v>
      </c>
      <c r="AX15" s="88" t="str">
        <f>HYPERLINK("https://www.google.iq/maps/search/+34.3678,41.9909/@34.3678,41.9909,14z?hl=en","Maplink2")</f>
        <v>Maplink2</v>
      </c>
      <c r="AY15" s="88" t="str">
        <f>HYPERLINK("http://www.bing.com/maps/?lvl=14&amp;sty=h&amp;cp=34.3678~41.9909&amp;sp=point.34.3678_41.9909","Maplink3")</f>
        <v>Maplink3</v>
      </c>
      <c r="AZ15" s="76"/>
    </row>
    <row r="16" spans="1:52" x14ac:dyDescent="0.25">
      <c r="A16" s="86">
        <v>251</v>
      </c>
      <c r="B16" s="87" t="s">
        <v>12</v>
      </c>
      <c r="C16" s="87" t="s">
        <v>66</v>
      </c>
      <c r="D16" s="87" t="s">
        <v>71</v>
      </c>
      <c r="E16" s="87" t="s">
        <v>72</v>
      </c>
      <c r="F16" s="87">
        <v>34.377490889800001</v>
      </c>
      <c r="G16" s="87">
        <v>41.983222622</v>
      </c>
      <c r="H16" s="86">
        <v>7</v>
      </c>
      <c r="I16" s="86">
        <v>42</v>
      </c>
      <c r="J16" s="87">
        <v>7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>
        <v>7</v>
      </c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>
        <v>7</v>
      </c>
      <c r="AV16" s="87"/>
      <c r="AW16" s="88" t="str">
        <f>HYPERLINK("http://www.openstreetmap.org/?mlat=34.3775&amp;mlon=41.9832&amp;zoom=12#map=12/34.3775/41.9832","Maplink1")</f>
        <v>Maplink1</v>
      </c>
      <c r="AX16" s="88" t="str">
        <f>HYPERLINK("https://www.google.iq/maps/search/+34.3775,41.9832/@34.3775,41.9832,14z?hl=en","Maplink2")</f>
        <v>Maplink2</v>
      </c>
      <c r="AY16" s="88" t="str">
        <f>HYPERLINK("http://www.bing.com/maps/?lvl=14&amp;sty=h&amp;cp=34.3775~41.9832&amp;sp=point.34.3775_41.9832","Maplink3")</f>
        <v>Maplink3</v>
      </c>
      <c r="AZ16" s="76"/>
    </row>
    <row r="17" spans="1:52" x14ac:dyDescent="0.25">
      <c r="A17" s="86">
        <v>253</v>
      </c>
      <c r="B17" s="87" t="s">
        <v>12</v>
      </c>
      <c r="C17" s="87" t="s">
        <v>66</v>
      </c>
      <c r="D17" s="87" t="s">
        <v>73</v>
      </c>
      <c r="E17" s="87" t="s">
        <v>74</v>
      </c>
      <c r="F17" s="87">
        <v>34.371505609099998</v>
      </c>
      <c r="G17" s="87">
        <v>41.969788575499997</v>
      </c>
      <c r="H17" s="86">
        <v>6</v>
      </c>
      <c r="I17" s="86">
        <v>36</v>
      </c>
      <c r="J17" s="87">
        <v>6</v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>
        <v>6</v>
      </c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>
        <v>6</v>
      </c>
      <c r="AV17" s="87"/>
      <c r="AW17" s="88" t="str">
        <f>HYPERLINK("http://www.openstreetmap.org/?mlat=34.3715&amp;mlon=41.9698&amp;zoom=12#map=12/34.3715/41.9698","Maplink1")</f>
        <v>Maplink1</v>
      </c>
      <c r="AX17" s="88" t="str">
        <f>HYPERLINK("https://www.google.iq/maps/search/+34.3715,41.9698/@34.3715,41.9698,14z?hl=en","Maplink2")</f>
        <v>Maplink2</v>
      </c>
      <c r="AY17" s="88" t="str">
        <f>HYPERLINK("http://www.bing.com/maps/?lvl=14&amp;sty=h&amp;cp=34.3715~41.9698&amp;sp=point.34.3715_41.9698","Maplink3")</f>
        <v>Maplink3</v>
      </c>
      <c r="AZ17" s="76"/>
    </row>
    <row r="18" spans="1:52" x14ac:dyDescent="0.25">
      <c r="A18" s="86">
        <v>247</v>
      </c>
      <c r="B18" s="87" t="s">
        <v>12</v>
      </c>
      <c r="C18" s="87" t="s">
        <v>66</v>
      </c>
      <c r="D18" s="87" t="s">
        <v>75</v>
      </c>
      <c r="E18" s="87" t="s">
        <v>76</v>
      </c>
      <c r="F18" s="87">
        <v>34.340734601699999</v>
      </c>
      <c r="G18" s="87">
        <v>42.026873820900001</v>
      </c>
      <c r="H18" s="86">
        <v>32</v>
      </c>
      <c r="I18" s="86">
        <v>192</v>
      </c>
      <c r="J18" s="87">
        <v>32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>
        <v>32</v>
      </c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>
        <v>32</v>
      </c>
      <c r="AV18" s="87"/>
      <c r="AW18" s="88" t="str">
        <f>HYPERLINK("http://www.openstreetmap.org/?mlat=34.3407&amp;mlon=42.0269&amp;zoom=12#map=12/34.3407/42.0269","Maplink1")</f>
        <v>Maplink1</v>
      </c>
      <c r="AX18" s="88" t="str">
        <f>HYPERLINK("https://www.google.iq/maps/search/+34.3407,42.0269/@34.3407,42.0269,14z?hl=en","Maplink2")</f>
        <v>Maplink2</v>
      </c>
      <c r="AY18" s="88" t="str">
        <f>HYPERLINK("http://www.bing.com/maps/?lvl=14&amp;sty=h&amp;cp=34.3407~42.0269&amp;sp=point.34.3407_42.0269","Maplink3")</f>
        <v>Maplink3</v>
      </c>
      <c r="AZ18" s="76"/>
    </row>
    <row r="19" spans="1:52" x14ac:dyDescent="0.25">
      <c r="A19" s="86">
        <v>107</v>
      </c>
      <c r="B19" s="87" t="s">
        <v>12</v>
      </c>
      <c r="C19" s="87" t="s">
        <v>77</v>
      </c>
      <c r="D19" s="87" t="s">
        <v>78</v>
      </c>
      <c r="E19" s="87" t="s">
        <v>79</v>
      </c>
      <c r="F19" s="87">
        <v>33.178757296699999</v>
      </c>
      <c r="G19" s="87">
        <v>43.8569891848</v>
      </c>
      <c r="H19" s="86">
        <v>6</v>
      </c>
      <c r="I19" s="86">
        <v>36</v>
      </c>
      <c r="J19" s="87">
        <v>6</v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>
        <v>6</v>
      </c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>
        <v>6</v>
      </c>
      <c r="AS19" s="87"/>
      <c r="AT19" s="87"/>
      <c r="AU19" s="87"/>
      <c r="AV19" s="87"/>
      <c r="AW19" s="88" t="str">
        <f>HYPERLINK("http://www.openstreetmap.org/?mlat=33.1788&amp;mlon=43.857&amp;zoom=12#map=12/33.1788/43.857","Maplink1")</f>
        <v>Maplink1</v>
      </c>
      <c r="AX19" s="88" t="str">
        <f>HYPERLINK("https://www.google.iq/maps/search/+33.1788,43.857/@33.1788,43.857,14z?hl=en","Maplink2")</f>
        <v>Maplink2</v>
      </c>
      <c r="AY19" s="88" t="str">
        <f>HYPERLINK("http://www.bing.com/maps/?lvl=14&amp;sty=h&amp;cp=33.1788~43.857&amp;sp=point.33.1788_43.857","Maplink3")</f>
        <v>Maplink3</v>
      </c>
      <c r="AZ19" s="76"/>
    </row>
    <row r="20" spans="1:52" x14ac:dyDescent="0.25">
      <c r="A20" s="86">
        <v>26084</v>
      </c>
      <c r="B20" s="87" t="s">
        <v>12</v>
      </c>
      <c r="C20" s="87" t="s">
        <v>77</v>
      </c>
      <c r="D20" s="87" t="s">
        <v>80</v>
      </c>
      <c r="E20" s="87" t="s">
        <v>81</v>
      </c>
      <c r="F20" s="87">
        <v>33.114612726099999</v>
      </c>
      <c r="G20" s="87">
        <v>44.051224093499997</v>
      </c>
      <c r="H20" s="86">
        <v>80</v>
      </c>
      <c r="I20" s="86">
        <v>480</v>
      </c>
      <c r="J20" s="87">
        <v>5</v>
      </c>
      <c r="K20" s="87">
        <v>75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>
        <v>80</v>
      </c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>
        <v>80</v>
      </c>
      <c r="AS20" s="87"/>
      <c r="AT20" s="87"/>
      <c r="AU20" s="87"/>
      <c r="AV20" s="87"/>
      <c r="AW20" s="88" t="str">
        <f>HYPERLINK("http://www.openstreetmap.org/?mlat=33.1146&amp;mlon=44.0512&amp;zoom=12#map=12/33.1146/44.0512","Maplink1")</f>
        <v>Maplink1</v>
      </c>
      <c r="AX20" s="88" t="str">
        <f>HYPERLINK("https://www.google.iq/maps/search/+33.1146,44.0512/@33.1146,44.0512,14z?hl=en","Maplink2")</f>
        <v>Maplink2</v>
      </c>
      <c r="AY20" s="88" t="str">
        <f>HYPERLINK("http://www.bing.com/maps/?lvl=14&amp;sty=h&amp;cp=33.1146~44.0512&amp;sp=point.33.1146_44.0512","Maplink3")</f>
        <v>Maplink3</v>
      </c>
      <c r="AZ20" s="76"/>
    </row>
    <row r="21" spans="1:52" x14ac:dyDescent="0.25">
      <c r="A21" s="86">
        <v>26091</v>
      </c>
      <c r="B21" s="87" t="s">
        <v>12</v>
      </c>
      <c r="C21" s="87" t="s">
        <v>77</v>
      </c>
      <c r="D21" s="87" t="s">
        <v>82</v>
      </c>
      <c r="E21" s="87" t="s">
        <v>83</v>
      </c>
      <c r="F21" s="87">
        <v>33.158114640400001</v>
      </c>
      <c r="G21" s="87">
        <v>43.9361774829</v>
      </c>
      <c r="H21" s="86">
        <v>110</v>
      </c>
      <c r="I21" s="86">
        <v>660</v>
      </c>
      <c r="J21" s="87">
        <v>17</v>
      </c>
      <c r="K21" s="87">
        <v>93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>
        <v>17</v>
      </c>
      <c r="AD21" s="87"/>
      <c r="AE21" s="87">
        <v>93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>
        <v>93</v>
      </c>
      <c r="AR21" s="87">
        <v>17</v>
      </c>
      <c r="AS21" s="87"/>
      <c r="AT21" s="87"/>
      <c r="AU21" s="87"/>
      <c r="AV21" s="87"/>
      <c r="AW21" s="88" t="str">
        <f>HYPERLINK("http://www.openstreetmap.org/?mlat=33.1581&amp;mlon=43.9362&amp;zoom=12#map=12/33.1581/43.9362","Maplink1")</f>
        <v>Maplink1</v>
      </c>
      <c r="AX21" s="88" t="str">
        <f>HYPERLINK("https://www.google.iq/maps/search/+33.1581,43.9362/@33.1581,43.9362,14z?hl=en","Maplink2")</f>
        <v>Maplink2</v>
      </c>
      <c r="AY21" s="88" t="str">
        <f>HYPERLINK("http://www.bing.com/maps/?lvl=14&amp;sty=h&amp;cp=33.1581~43.9362&amp;sp=point.33.1581_43.9362","Maplink3")</f>
        <v>Maplink3</v>
      </c>
      <c r="AZ21" s="76"/>
    </row>
    <row r="22" spans="1:52" x14ac:dyDescent="0.25">
      <c r="A22" s="86">
        <v>26092</v>
      </c>
      <c r="B22" s="87" t="s">
        <v>12</v>
      </c>
      <c r="C22" s="87" t="s">
        <v>77</v>
      </c>
      <c r="D22" s="87" t="s">
        <v>84</v>
      </c>
      <c r="E22" s="87" t="s">
        <v>85</v>
      </c>
      <c r="F22" s="87">
        <v>33.136987263899996</v>
      </c>
      <c r="G22" s="87">
        <v>43.987355772000001</v>
      </c>
      <c r="H22" s="86">
        <v>265</v>
      </c>
      <c r="I22" s="86">
        <v>1590</v>
      </c>
      <c r="J22" s="87">
        <v>25</v>
      </c>
      <c r="K22" s="87">
        <v>240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>
        <v>265</v>
      </c>
      <c r="AF22" s="87"/>
      <c r="AG22" s="87"/>
      <c r="AH22" s="87"/>
      <c r="AI22" s="87"/>
      <c r="AJ22" s="87"/>
      <c r="AK22" s="87"/>
      <c r="AL22" s="87"/>
      <c r="AM22" s="87"/>
      <c r="AN22" s="87">
        <v>85</v>
      </c>
      <c r="AO22" s="87"/>
      <c r="AP22" s="87"/>
      <c r="AQ22" s="87">
        <v>40</v>
      </c>
      <c r="AR22" s="87">
        <v>140</v>
      </c>
      <c r="AS22" s="87"/>
      <c r="AT22" s="87"/>
      <c r="AU22" s="87"/>
      <c r="AV22" s="87"/>
      <c r="AW22" s="88" t="str">
        <f>HYPERLINK("http://www.openstreetmap.org/?mlat=33.137&amp;mlon=43.9874&amp;zoom=12#map=12/33.137/43.9874","Maplink1")</f>
        <v>Maplink1</v>
      </c>
      <c r="AX22" s="88" t="str">
        <f>HYPERLINK("https://www.google.iq/maps/search/+33.137,43.9874/@33.137,43.9874,14z?hl=en","Maplink2")</f>
        <v>Maplink2</v>
      </c>
      <c r="AY22" s="88" t="str">
        <f>HYPERLINK("http://www.bing.com/maps/?lvl=14&amp;sty=h&amp;cp=33.137~43.9874&amp;sp=point.33.137_43.9874","Maplink3")</f>
        <v>Maplink3</v>
      </c>
      <c r="AZ22" s="76"/>
    </row>
    <row r="23" spans="1:52" x14ac:dyDescent="0.25">
      <c r="A23" s="86">
        <v>26085</v>
      </c>
      <c r="B23" s="87" t="s">
        <v>12</v>
      </c>
      <c r="C23" s="87" t="s">
        <v>77</v>
      </c>
      <c r="D23" s="87" t="s">
        <v>86</v>
      </c>
      <c r="E23" s="87" t="s">
        <v>87</v>
      </c>
      <c r="F23" s="87">
        <v>33.121146433699998</v>
      </c>
      <c r="G23" s="87">
        <v>44.042301993000002</v>
      </c>
      <c r="H23" s="86">
        <v>94</v>
      </c>
      <c r="I23" s="86">
        <v>564</v>
      </c>
      <c r="J23" s="87">
        <v>4</v>
      </c>
      <c r="K23" s="87">
        <v>90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>
        <v>94</v>
      </c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>
        <v>94</v>
      </c>
      <c r="AS23" s="87"/>
      <c r="AT23" s="87"/>
      <c r="AU23" s="87"/>
      <c r="AV23" s="87"/>
      <c r="AW23" s="88" t="str">
        <f>HYPERLINK("http://www.openstreetmap.org/?mlat=33.1211&amp;mlon=44.0423&amp;zoom=12#map=12/33.1211/44.0423","Maplink1")</f>
        <v>Maplink1</v>
      </c>
      <c r="AX23" s="88" t="str">
        <f>HYPERLINK("https://www.google.iq/maps/search/+33.1211,44.0423/@33.1211,44.0423,14z?hl=en","Maplink2")</f>
        <v>Maplink2</v>
      </c>
      <c r="AY23" s="88" t="str">
        <f>HYPERLINK("http://www.bing.com/maps/?lvl=14&amp;sty=h&amp;cp=33.1211~44.0423&amp;sp=point.33.1211_44.0423","Maplink3")</f>
        <v>Maplink3</v>
      </c>
      <c r="AZ23" s="76"/>
    </row>
    <row r="24" spans="1:52" x14ac:dyDescent="0.25">
      <c r="A24" s="86">
        <v>26036</v>
      </c>
      <c r="B24" s="87" t="s">
        <v>12</v>
      </c>
      <c r="C24" s="87" t="s">
        <v>77</v>
      </c>
      <c r="D24" s="87" t="s">
        <v>88</v>
      </c>
      <c r="E24" s="87" t="s">
        <v>89</v>
      </c>
      <c r="F24" s="87">
        <v>33.198582506500003</v>
      </c>
      <c r="G24" s="87">
        <v>43.899643417900002</v>
      </c>
      <c r="H24" s="86">
        <v>42</v>
      </c>
      <c r="I24" s="86">
        <v>252</v>
      </c>
      <c r="J24" s="87">
        <v>2</v>
      </c>
      <c r="K24" s="87">
        <v>40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>
        <v>42</v>
      </c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>
        <v>42</v>
      </c>
      <c r="AS24" s="87"/>
      <c r="AT24" s="87"/>
      <c r="AU24" s="87"/>
      <c r="AV24" s="87"/>
      <c r="AW24" s="88" t="str">
        <f>HYPERLINK("http://www.openstreetmap.org/?mlat=33.1986&amp;mlon=43.8996&amp;zoom=12#map=12/33.1986/43.8996","Maplink1")</f>
        <v>Maplink1</v>
      </c>
      <c r="AX24" s="88" t="str">
        <f>HYPERLINK("https://www.google.iq/maps/search/+33.1986,43.8996/@33.1986,43.8996,14z?hl=en","Maplink2")</f>
        <v>Maplink2</v>
      </c>
      <c r="AY24" s="88" t="str">
        <f>HYPERLINK("http://www.bing.com/maps/?lvl=14&amp;sty=h&amp;cp=33.1986~43.8996&amp;sp=point.33.1986_43.8996","Maplink3")</f>
        <v>Maplink3</v>
      </c>
      <c r="AZ24" s="76"/>
    </row>
    <row r="25" spans="1:52" x14ac:dyDescent="0.25">
      <c r="A25" s="86">
        <v>26037</v>
      </c>
      <c r="B25" s="87" t="s">
        <v>12</v>
      </c>
      <c r="C25" s="87" t="s">
        <v>77</v>
      </c>
      <c r="D25" s="87" t="s">
        <v>90</v>
      </c>
      <c r="E25" s="87" t="s">
        <v>91</v>
      </c>
      <c r="F25" s="87">
        <v>33.151176572700003</v>
      </c>
      <c r="G25" s="87">
        <v>43.989678676099999</v>
      </c>
      <c r="H25" s="86">
        <v>160</v>
      </c>
      <c r="I25" s="86">
        <v>960</v>
      </c>
      <c r="J25" s="87">
        <v>9</v>
      </c>
      <c r="K25" s="87">
        <v>151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>
        <v>160</v>
      </c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>
        <v>25</v>
      </c>
      <c r="AR25" s="87">
        <v>71</v>
      </c>
      <c r="AS25" s="87">
        <v>64</v>
      </c>
      <c r="AT25" s="87"/>
      <c r="AU25" s="87"/>
      <c r="AV25" s="87"/>
      <c r="AW25" s="88" t="str">
        <f>HYPERLINK("http://www.openstreetmap.org/?mlat=33.1512&amp;mlon=43.9897&amp;zoom=12#map=12/33.1512/43.9897","Maplink1")</f>
        <v>Maplink1</v>
      </c>
      <c r="AX25" s="88" t="str">
        <f>HYPERLINK("https://www.google.iq/maps/search/+33.1512,43.9897/@33.1512,43.9897,14z?hl=en","Maplink2")</f>
        <v>Maplink2</v>
      </c>
      <c r="AY25" s="88" t="str">
        <f>HYPERLINK("http://www.bing.com/maps/?lvl=14&amp;sty=h&amp;cp=33.1512~43.9897&amp;sp=point.33.1512_43.9897","Maplink3")</f>
        <v>Maplink3</v>
      </c>
      <c r="AZ25" s="76"/>
    </row>
    <row r="26" spans="1:52" x14ac:dyDescent="0.25">
      <c r="A26" s="86">
        <v>26088</v>
      </c>
      <c r="B26" s="87" t="s">
        <v>12</v>
      </c>
      <c r="C26" s="87" t="s">
        <v>77</v>
      </c>
      <c r="D26" s="87" t="s">
        <v>92</v>
      </c>
      <c r="E26" s="87" t="s">
        <v>93</v>
      </c>
      <c r="F26" s="87">
        <v>33.143093129100002</v>
      </c>
      <c r="G26" s="87">
        <v>44.021168163799999</v>
      </c>
      <c r="H26" s="86">
        <v>245</v>
      </c>
      <c r="I26" s="86">
        <v>1470</v>
      </c>
      <c r="J26" s="87">
        <v>48</v>
      </c>
      <c r="K26" s="87">
        <v>197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>
        <v>245</v>
      </c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>
        <v>236</v>
      </c>
      <c r="AR26" s="87">
        <v>9</v>
      </c>
      <c r="AS26" s="87"/>
      <c r="AT26" s="87"/>
      <c r="AU26" s="87"/>
      <c r="AV26" s="87"/>
      <c r="AW26" s="88" t="str">
        <f>HYPERLINK("http://www.openstreetmap.org/?mlat=33.1431&amp;mlon=44.0212&amp;zoom=12#map=12/33.1431/44.0212","Maplink1")</f>
        <v>Maplink1</v>
      </c>
      <c r="AX26" s="88" t="str">
        <f>HYPERLINK("https://www.google.iq/maps/search/+33.1431,44.0212/@33.1431,44.0212,14z?hl=en","Maplink2")</f>
        <v>Maplink2</v>
      </c>
      <c r="AY26" s="88" t="str">
        <f>HYPERLINK("http://www.bing.com/maps/?lvl=14&amp;sty=h&amp;cp=33.1431~44.0212&amp;sp=point.33.1431_44.0212","Maplink3")</f>
        <v>Maplink3</v>
      </c>
      <c r="AZ26" s="76"/>
    </row>
    <row r="27" spans="1:52" x14ac:dyDescent="0.25">
      <c r="A27" s="86">
        <v>26087</v>
      </c>
      <c r="B27" s="87" t="s">
        <v>12</v>
      </c>
      <c r="C27" s="87" t="s">
        <v>77</v>
      </c>
      <c r="D27" s="87" t="s">
        <v>94</v>
      </c>
      <c r="E27" s="87" t="s">
        <v>95</v>
      </c>
      <c r="F27" s="87">
        <v>33.156452626899998</v>
      </c>
      <c r="G27" s="87">
        <v>44.001878736000002</v>
      </c>
      <c r="H27" s="86">
        <v>173</v>
      </c>
      <c r="I27" s="86">
        <v>1038</v>
      </c>
      <c r="J27" s="87">
        <v>8</v>
      </c>
      <c r="K27" s="87">
        <v>165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>
        <v>8</v>
      </c>
      <c r="AD27" s="87"/>
      <c r="AE27" s="87">
        <v>165</v>
      </c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>
        <v>60</v>
      </c>
      <c r="AR27" s="87">
        <v>113</v>
      </c>
      <c r="AS27" s="87"/>
      <c r="AT27" s="87"/>
      <c r="AU27" s="87"/>
      <c r="AV27" s="87"/>
      <c r="AW27" s="88" t="str">
        <f>HYPERLINK("http://www.openstreetmap.org/?mlat=33.1565&amp;mlon=44.0019&amp;zoom=12#map=12/33.1565/44.0019","Maplink1")</f>
        <v>Maplink1</v>
      </c>
      <c r="AX27" s="88" t="str">
        <f>HYPERLINK("https://www.google.iq/maps/search/+33.1565,44.0019/@33.1565,44.0019,14z?hl=en","Maplink2")</f>
        <v>Maplink2</v>
      </c>
      <c r="AY27" s="88" t="str">
        <f>HYPERLINK("http://www.bing.com/maps/?lvl=14&amp;sty=h&amp;cp=33.1565~44.0019&amp;sp=point.33.1565_44.0019","Maplink3")</f>
        <v>Maplink3</v>
      </c>
      <c r="AZ27" s="76"/>
    </row>
    <row r="28" spans="1:52" x14ac:dyDescent="0.25">
      <c r="A28" s="86">
        <v>26093</v>
      </c>
      <c r="B28" s="87" t="s">
        <v>12</v>
      </c>
      <c r="C28" s="87" t="s">
        <v>77</v>
      </c>
      <c r="D28" s="87" t="s">
        <v>96</v>
      </c>
      <c r="E28" s="87" t="s">
        <v>97</v>
      </c>
      <c r="F28" s="87">
        <v>33.180929660700002</v>
      </c>
      <c r="G28" s="87">
        <v>43.921687260399999</v>
      </c>
      <c r="H28" s="86">
        <v>37</v>
      </c>
      <c r="I28" s="86">
        <v>222</v>
      </c>
      <c r="J28" s="87"/>
      <c r="K28" s="87">
        <v>37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>
        <v>37</v>
      </c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>
        <v>37</v>
      </c>
      <c r="AS28" s="87"/>
      <c r="AT28" s="87"/>
      <c r="AU28" s="87"/>
      <c r="AV28" s="87"/>
      <c r="AW28" s="88" t="str">
        <f>HYPERLINK("http://www.openstreetmap.org/?mlat=33.1809&amp;mlon=43.9217&amp;zoom=12#map=12/33.1809/43.9217","Maplink1")</f>
        <v>Maplink1</v>
      </c>
      <c r="AX28" s="88" t="str">
        <f>HYPERLINK("https://www.google.iq/maps/search/+33.1809,43.9217/@33.1809,43.9217,14z?hl=en","Maplink2")</f>
        <v>Maplink2</v>
      </c>
      <c r="AY28" s="88" t="str">
        <f>HYPERLINK("http://www.bing.com/maps/?lvl=14&amp;sty=h&amp;cp=33.1809~43.9217&amp;sp=point.33.1809_43.9217","Maplink3")</f>
        <v>Maplink3</v>
      </c>
      <c r="AZ28" s="76"/>
    </row>
    <row r="29" spans="1:52" x14ac:dyDescent="0.25">
      <c r="A29" s="86">
        <v>31877</v>
      </c>
      <c r="B29" s="87" t="s">
        <v>12</v>
      </c>
      <c r="C29" s="87" t="s">
        <v>77</v>
      </c>
      <c r="D29" s="87" t="s">
        <v>98</v>
      </c>
      <c r="E29" s="87" t="s">
        <v>99</v>
      </c>
      <c r="F29" s="87">
        <v>33.164023992799997</v>
      </c>
      <c r="G29" s="87">
        <v>43.8637221794</v>
      </c>
      <c r="H29" s="86">
        <v>31</v>
      </c>
      <c r="I29" s="86">
        <v>186</v>
      </c>
      <c r="J29" s="87">
        <v>31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>
        <v>31</v>
      </c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>
        <v>31</v>
      </c>
      <c r="AS29" s="87"/>
      <c r="AT29" s="87"/>
      <c r="AU29" s="87"/>
      <c r="AV29" s="87"/>
      <c r="AW29" s="88" t="str">
        <f>HYPERLINK("http://www.openstreetmap.org/?mlat=33.164&amp;mlon=43.8637&amp;zoom=12#map=12/33.164/43.8637","Maplink1")</f>
        <v>Maplink1</v>
      </c>
      <c r="AX29" s="88" t="str">
        <f>HYPERLINK("https://www.google.iq/maps/search/+33.164,43.8637/@33.164,43.8637,14z?hl=en","Maplink2")</f>
        <v>Maplink2</v>
      </c>
      <c r="AY29" s="88" t="str">
        <f>HYPERLINK("http://www.bing.com/maps/?lvl=14&amp;sty=h&amp;cp=33.164~43.8637&amp;sp=point.33.164_43.8637","Maplink3")</f>
        <v>Maplink3</v>
      </c>
      <c r="AZ29" s="76"/>
    </row>
    <row r="30" spans="1:52" x14ac:dyDescent="0.25">
      <c r="A30" s="86">
        <v>21410</v>
      </c>
      <c r="B30" s="87" t="s">
        <v>12</v>
      </c>
      <c r="C30" s="87" t="s">
        <v>77</v>
      </c>
      <c r="D30" s="87" t="s">
        <v>100</v>
      </c>
      <c r="E30" s="87" t="s">
        <v>101</v>
      </c>
      <c r="F30" s="87">
        <v>33.152893225500002</v>
      </c>
      <c r="G30" s="87">
        <v>43.995733307800002</v>
      </c>
      <c r="H30" s="86">
        <v>21</v>
      </c>
      <c r="I30" s="86">
        <v>126</v>
      </c>
      <c r="J30" s="87">
        <v>21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>
        <v>21</v>
      </c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>
        <v>21</v>
      </c>
      <c r="AT30" s="87"/>
      <c r="AU30" s="87"/>
      <c r="AV30" s="87"/>
      <c r="AW30" s="88" t="str">
        <f>HYPERLINK("http://www.openstreetmap.org/?mlat=33.1529&amp;mlon=43.9957&amp;zoom=12#map=12/33.1529/43.9957","Maplink1")</f>
        <v>Maplink1</v>
      </c>
      <c r="AX30" s="88" t="str">
        <f>HYPERLINK("https://www.google.iq/maps/search/+33.1529,43.9957/@33.1529,43.9957,14z?hl=en","Maplink2")</f>
        <v>Maplink2</v>
      </c>
      <c r="AY30" s="88" t="str">
        <f>HYPERLINK("http://www.bing.com/maps/?lvl=14&amp;sty=h&amp;cp=33.1529~43.9957&amp;sp=point.33.1529_43.9957","Maplink3")</f>
        <v>Maplink3</v>
      </c>
      <c r="AZ30" s="76"/>
    </row>
    <row r="31" spans="1:52" x14ac:dyDescent="0.25">
      <c r="A31" s="86">
        <v>26089</v>
      </c>
      <c r="B31" s="87" t="s">
        <v>12</v>
      </c>
      <c r="C31" s="87" t="s">
        <v>77</v>
      </c>
      <c r="D31" s="87" t="s">
        <v>102</v>
      </c>
      <c r="E31" s="87" t="s">
        <v>103</v>
      </c>
      <c r="F31" s="87">
        <v>33.188630844199999</v>
      </c>
      <c r="G31" s="87">
        <v>43.906899154900003</v>
      </c>
      <c r="H31" s="86">
        <v>48</v>
      </c>
      <c r="I31" s="86">
        <v>288</v>
      </c>
      <c r="J31" s="87">
        <v>48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>
        <v>48</v>
      </c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>
        <v>48</v>
      </c>
      <c r="AS31" s="87"/>
      <c r="AT31" s="87"/>
      <c r="AU31" s="87"/>
      <c r="AV31" s="87"/>
      <c r="AW31" s="88" t="str">
        <f>HYPERLINK("http://www.openstreetmap.org/?mlat=33.1886&amp;mlon=43.9069&amp;zoom=12#map=12/33.1886/43.9069","Maplink1")</f>
        <v>Maplink1</v>
      </c>
      <c r="AX31" s="88" t="str">
        <f>HYPERLINK("https://www.google.iq/maps/search/+33.1886,43.9069/@33.1886,43.9069,14z?hl=en","Maplink2")</f>
        <v>Maplink2</v>
      </c>
      <c r="AY31" s="88" t="str">
        <f>HYPERLINK("http://www.bing.com/maps/?lvl=14&amp;sty=h&amp;cp=33.1886~43.9069&amp;sp=point.33.1886_43.9069","Maplink3")</f>
        <v>Maplink3</v>
      </c>
      <c r="AZ31" s="76"/>
    </row>
    <row r="32" spans="1:52" x14ac:dyDescent="0.25">
      <c r="A32" s="86">
        <v>21226</v>
      </c>
      <c r="B32" s="87" t="s">
        <v>12</v>
      </c>
      <c r="C32" s="87" t="s">
        <v>77</v>
      </c>
      <c r="D32" s="87" t="s">
        <v>104</v>
      </c>
      <c r="E32" s="87" t="s">
        <v>105</v>
      </c>
      <c r="F32" s="87">
        <v>33.158453853099999</v>
      </c>
      <c r="G32" s="87">
        <v>43.891623399499998</v>
      </c>
      <c r="H32" s="86">
        <v>76</v>
      </c>
      <c r="I32" s="86">
        <v>456</v>
      </c>
      <c r="J32" s="87">
        <v>32</v>
      </c>
      <c r="K32" s="87">
        <v>44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>
        <v>32</v>
      </c>
      <c r="AD32" s="87"/>
      <c r="AE32" s="87">
        <v>44</v>
      </c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>
        <v>76</v>
      </c>
      <c r="AS32" s="87"/>
      <c r="AT32" s="87"/>
      <c r="AU32" s="87"/>
      <c r="AV32" s="87"/>
      <c r="AW32" s="88" t="str">
        <f>HYPERLINK("http://www.openstreetmap.org/?mlat=33.1585&amp;mlon=43.8916&amp;zoom=12#map=12/33.1585/43.8916","Maplink1")</f>
        <v>Maplink1</v>
      </c>
      <c r="AX32" s="88" t="str">
        <f>HYPERLINK("https://www.google.iq/maps/search/+33.1585,43.8916/@33.1585,43.8916,14z?hl=en","Maplink2")</f>
        <v>Maplink2</v>
      </c>
      <c r="AY32" s="88" t="str">
        <f>HYPERLINK("http://www.bing.com/maps/?lvl=14&amp;sty=h&amp;cp=33.1585~43.8916&amp;sp=point.33.1585_43.8916","Maplink3")</f>
        <v>Maplink3</v>
      </c>
      <c r="AZ32" s="76"/>
    </row>
    <row r="33" spans="1:52" x14ac:dyDescent="0.25">
      <c r="A33" s="86">
        <v>27246</v>
      </c>
      <c r="B33" s="87" t="s">
        <v>12</v>
      </c>
      <c r="C33" s="87" t="s">
        <v>77</v>
      </c>
      <c r="D33" s="87" t="s">
        <v>106</v>
      </c>
      <c r="E33" s="87" t="s">
        <v>107</v>
      </c>
      <c r="F33" s="87">
        <v>33.145308280800002</v>
      </c>
      <c r="G33" s="87">
        <v>43.844349999999999</v>
      </c>
      <c r="H33" s="86">
        <v>1260</v>
      </c>
      <c r="I33" s="86">
        <v>7560</v>
      </c>
      <c r="J33" s="87">
        <v>1220</v>
      </c>
      <c r="K33" s="87">
        <v>40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>
        <v>1260</v>
      </c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>
        <v>209</v>
      </c>
      <c r="AS33" s="87">
        <v>583</v>
      </c>
      <c r="AT33" s="87">
        <v>224</v>
      </c>
      <c r="AU33" s="87">
        <v>244</v>
      </c>
      <c r="AV33" s="87"/>
      <c r="AW33" s="88" t="str">
        <f>HYPERLINK("http://www.openstreetmap.org/?mlat=33.1453&amp;mlon=43.8443&amp;zoom=12#map=12/33.1453/43.8443","Maplink1")</f>
        <v>Maplink1</v>
      </c>
      <c r="AX33" s="88" t="str">
        <f>HYPERLINK("https://www.google.iq/maps/search/+33.1453,43.8443/@33.1453,43.8443,14z?hl=en","Maplink2")</f>
        <v>Maplink2</v>
      </c>
      <c r="AY33" s="88" t="str">
        <f>HYPERLINK("http://www.bing.com/maps/?lvl=14&amp;sty=h&amp;cp=33.1453~43.8443&amp;sp=point.33.1453_43.8443","Maplink3")</f>
        <v>Maplink3</v>
      </c>
      <c r="AZ33" s="76"/>
    </row>
    <row r="34" spans="1:52" x14ac:dyDescent="0.25">
      <c r="A34" s="86">
        <v>23276</v>
      </c>
      <c r="B34" s="87" t="s">
        <v>12</v>
      </c>
      <c r="C34" s="87" t="s">
        <v>77</v>
      </c>
      <c r="D34" s="87" t="s">
        <v>108</v>
      </c>
      <c r="E34" s="87" t="s">
        <v>109</v>
      </c>
      <c r="F34" s="87">
        <v>33.253304916799998</v>
      </c>
      <c r="G34" s="87">
        <v>43.572220000000002</v>
      </c>
      <c r="H34" s="86">
        <v>587</v>
      </c>
      <c r="I34" s="86">
        <v>3522</v>
      </c>
      <c r="J34" s="87">
        <v>587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>
        <v>587</v>
      </c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>
        <v>270</v>
      </c>
      <c r="AT34" s="87"/>
      <c r="AU34" s="87">
        <v>317</v>
      </c>
      <c r="AV34" s="87"/>
      <c r="AW34" s="88" t="str">
        <f>HYPERLINK("http://www.openstreetmap.org/?mlat=33.2533&amp;mlon=43.5722&amp;zoom=12#map=12/33.2533/43.5722","Maplink1")</f>
        <v>Maplink1</v>
      </c>
      <c r="AX34" s="88" t="str">
        <f>HYPERLINK("https://www.google.iq/maps/search/+33.2533,43.5722/@33.2533,43.5722,14z?hl=en","Maplink2")</f>
        <v>Maplink2</v>
      </c>
      <c r="AY34" s="88" t="str">
        <f>HYPERLINK("http://www.bing.com/maps/?lvl=14&amp;sty=h&amp;cp=33.2533~43.5722&amp;sp=point.33.2533_43.5722","Maplink3")</f>
        <v>Maplink3</v>
      </c>
      <c r="AZ34" s="76"/>
    </row>
    <row r="35" spans="1:52" x14ac:dyDescent="0.25">
      <c r="A35" s="86">
        <v>24117</v>
      </c>
      <c r="B35" s="87" t="s">
        <v>12</v>
      </c>
      <c r="C35" s="87" t="s">
        <v>110</v>
      </c>
      <c r="D35" s="87" t="s">
        <v>111</v>
      </c>
      <c r="E35" s="87" t="s">
        <v>112</v>
      </c>
      <c r="F35" s="87">
        <v>34.083410693899999</v>
      </c>
      <c r="G35" s="87">
        <v>42.351969824500003</v>
      </c>
      <c r="H35" s="86">
        <v>10</v>
      </c>
      <c r="I35" s="86">
        <v>60</v>
      </c>
      <c r="J35" s="87">
        <v>10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>
        <v>10</v>
      </c>
      <c r="AI35" s="87"/>
      <c r="AJ35" s="87"/>
      <c r="AK35" s="87"/>
      <c r="AL35" s="87"/>
      <c r="AM35" s="87"/>
      <c r="AN35" s="87"/>
      <c r="AO35" s="87">
        <v>10</v>
      </c>
      <c r="AP35" s="87"/>
      <c r="AQ35" s="87"/>
      <c r="AR35" s="87"/>
      <c r="AS35" s="87"/>
      <c r="AT35" s="87"/>
      <c r="AU35" s="87"/>
      <c r="AV35" s="87"/>
      <c r="AW35" s="88" t="str">
        <f>HYPERLINK("http://www.openstreetmap.org/?mlat=34.0834&amp;mlon=42.352&amp;zoom=12#map=12/34.0834/42.352","Maplink1")</f>
        <v>Maplink1</v>
      </c>
      <c r="AX35" s="88" t="str">
        <f>HYPERLINK("https://www.google.iq/maps/search/+34.0834,42.352/@34.0834,42.352,14z?hl=en","Maplink2")</f>
        <v>Maplink2</v>
      </c>
      <c r="AY35" s="88" t="str">
        <f>HYPERLINK("http://www.bing.com/maps/?lvl=14&amp;sty=h&amp;cp=34.0834~42.352&amp;sp=point.34.0834_42.352","Maplink3")</f>
        <v>Maplink3</v>
      </c>
      <c r="AZ35" s="76"/>
    </row>
    <row r="36" spans="1:52" x14ac:dyDescent="0.25">
      <c r="A36" s="86">
        <v>23819</v>
      </c>
      <c r="B36" s="87" t="s">
        <v>12</v>
      </c>
      <c r="C36" s="87" t="s">
        <v>110</v>
      </c>
      <c r="D36" s="87" t="s">
        <v>113</v>
      </c>
      <c r="E36" s="87" t="s">
        <v>114</v>
      </c>
      <c r="F36" s="87">
        <v>34.087734075699998</v>
      </c>
      <c r="G36" s="87">
        <v>42.365849051300003</v>
      </c>
      <c r="H36" s="86">
        <v>10</v>
      </c>
      <c r="I36" s="86">
        <v>60</v>
      </c>
      <c r="J36" s="87">
        <v>9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>
        <v>1</v>
      </c>
      <c r="Y36" s="87"/>
      <c r="Z36" s="87"/>
      <c r="AA36" s="87"/>
      <c r="AB36" s="87"/>
      <c r="AC36" s="87"/>
      <c r="AD36" s="87"/>
      <c r="AE36" s="87"/>
      <c r="AF36" s="87"/>
      <c r="AG36" s="87"/>
      <c r="AH36" s="87">
        <v>10</v>
      </c>
      <c r="AI36" s="87"/>
      <c r="AJ36" s="87"/>
      <c r="AK36" s="87"/>
      <c r="AL36" s="87"/>
      <c r="AM36" s="87"/>
      <c r="AN36" s="87"/>
      <c r="AO36" s="87">
        <v>10</v>
      </c>
      <c r="AP36" s="87"/>
      <c r="AQ36" s="87"/>
      <c r="AR36" s="87"/>
      <c r="AS36" s="87"/>
      <c r="AT36" s="87"/>
      <c r="AU36" s="87"/>
      <c r="AV36" s="87"/>
      <c r="AW36" s="88" t="str">
        <f>HYPERLINK("http://www.openstreetmap.org/?mlat=34.0877&amp;mlon=42.3658&amp;zoom=12#map=12/34.0877/42.3658","Maplink1")</f>
        <v>Maplink1</v>
      </c>
      <c r="AX36" s="88" t="str">
        <f>HYPERLINK("https://www.google.iq/maps/search/+34.0877,42.3658/@34.0877,42.3658,14z?hl=en","Maplink2")</f>
        <v>Maplink2</v>
      </c>
      <c r="AY36" s="88" t="str">
        <f>HYPERLINK("http://www.bing.com/maps/?lvl=14&amp;sty=h&amp;cp=34.0877~42.3658&amp;sp=point.34.0877_42.3658","Maplink3")</f>
        <v>Maplink3</v>
      </c>
      <c r="AZ36" s="76"/>
    </row>
    <row r="37" spans="1:52" x14ac:dyDescent="0.25">
      <c r="A37" s="86">
        <v>24315</v>
      </c>
      <c r="B37" s="87" t="s">
        <v>12</v>
      </c>
      <c r="C37" s="87" t="s">
        <v>110</v>
      </c>
      <c r="D37" s="87" t="s">
        <v>5867</v>
      </c>
      <c r="E37" s="87" t="s">
        <v>5868</v>
      </c>
      <c r="F37" s="87">
        <v>34.087112533899997</v>
      </c>
      <c r="G37" s="87">
        <v>42.376353000000002</v>
      </c>
      <c r="H37" s="86">
        <v>5</v>
      </c>
      <c r="I37" s="86">
        <v>30</v>
      </c>
      <c r="J37" s="87">
        <v>2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>
        <v>3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>
        <v>5</v>
      </c>
      <c r="AI37" s="87"/>
      <c r="AJ37" s="87"/>
      <c r="AK37" s="87"/>
      <c r="AL37" s="87"/>
      <c r="AM37" s="87"/>
      <c r="AN37" s="87"/>
      <c r="AO37" s="87"/>
      <c r="AP37" s="87"/>
      <c r="AQ37" s="87">
        <v>5</v>
      </c>
      <c r="AR37" s="87"/>
      <c r="AS37" s="87"/>
      <c r="AT37" s="87"/>
      <c r="AU37" s="87"/>
      <c r="AV37" s="87"/>
      <c r="AW37" s="88" t="str">
        <f>HYPERLINK("http://www.openstreetmap.org/?mlat=34.0871&amp;mlon=42.3764&amp;zoom=12#map=12/34.0871/42.3764","Maplink1")</f>
        <v>Maplink1</v>
      </c>
      <c r="AX37" s="88" t="str">
        <f>HYPERLINK("https://www.google.iq/maps/search/+34.0871,42.3764/@34.0871,42.3764,14z?hl=en","Maplink2")</f>
        <v>Maplink2</v>
      </c>
      <c r="AY37" s="88" t="str">
        <f>HYPERLINK("http://www.bing.com/maps/?lvl=14&amp;sty=h&amp;cp=34.0871~42.3764&amp;sp=point.34.0871_42.3764","Maplink3")</f>
        <v>Maplink3</v>
      </c>
      <c r="AZ37" s="76"/>
    </row>
    <row r="38" spans="1:52" x14ac:dyDescent="0.25">
      <c r="A38" s="86">
        <v>24316</v>
      </c>
      <c r="B38" s="87" t="s">
        <v>12</v>
      </c>
      <c r="C38" s="87" t="s">
        <v>110</v>
      </c>
      <c r="D38" s="87" t="s">
        <v>73</v>
      </c>
      <c r="E38" s="87" t="s">
        <v>74</v>
      </c>
      <c r="F38" s="87">
        <v>34.089287152399997</v>
      </c>
      <c r="G38" s="87">
        <v>42.357475855399997</v>
      </c>
      <c r="H38" s="86">
        <v>24</v>
      </c>
      <c r="I38" s="86">
        <v>144</v>
      </c>
      <c r="J38" s="87">
        <v>20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>
        <v>4</v>
      </c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>
        <v>24</v>
      </c>
      <c r="AI38" s="87"/>
      <c r="AJ38" s="87"/>
      <c r="AK38" s="87"/>
      <c r="AL38" s="87"/>
      <c r="AM38" s="87"/>
      <c r="AN38" s="87"/>
      <c r="AO38" s="87">
        <v>24</v>
      </c>
      <c r="AP38" s="87"/>
      <c r="AQ38" s="87"/>
      <c r="AR38" s="87"/>
      <c r="AS38" s="87"/>
      <c r="AT38" s="87"/>
      <c r="AU38" s="87"/>
      <c r="AV38" s="87"/>
      <c r="AW38" s="88" t="str">
        <f>HYPERLINK("http://www.openstreetmap.org/?mlat=34.0893&amp;mlon=42.3575&amp;zoom=12#map=12/34.0893/42.3575","Maplink1")</f>
        <v>Maplink1</v>
      </c>
      <c r="AX38" s="88" t="str">
        <f>HYPERLINK("https://www.google.iq/maps/search/+34.0893,42.3575/@34.0893,42.3575,14z?hl=en","Maplink2")</f>
        <v>Maplink2</v>
      </c>
      <c r="AY38" s="88" t="str">
        <f>HYPERLINK("http://www.bing.com/maps/?lvl=14&amp;sty=h&amp;cp=34.0893~42.3575&amp;sp=point.34.0893_42.3575","Maplink3")</f>
        <v>Maplink3</v>
      </c>
      <c r="AZ38" s="76"/>
    </row>
    <row r="39" spans="1:52" x14ac:dyDescent="0.25">
      <c r="A39" s="86">
        <v>236</v>
      </c>
      <c r="B39" s="87" t="s">
        <v>12</v>
      </c>
      <c r="C39" s="87" t="s">
        <v>110</v>
      </c>
      <c r="D39" s="87" t="s">
        <v>115</v>
      </c>
      <c r="E39" s="87" t="s">
        <v>116</v>
      </c>
      <c r="F39" s="87">
        <v>34.139055139299998</v>
      </c>
      <c r="G39" s="87">
        <v>42.380526553999999</v>
      </c>
      <c r="H39" s="86">
        <v>9</v>
      </c>
      <c r="I39" s="86">
        <v>54</v>
      </c>
      <c r="J39" s="87">
        <v>9</v>
      </c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>
        <v>9</v>
      </c>
      <c r="AI39" s="87"/>
      <c r="AJ39" s="87"/>
      <c r="AK39" s="87"/>
      <c r="AL39" s="87"/>
      <c r="AM39" s="87"/>
      <c r="AN39" s="87"/>
      <c r="AO39" s="87">
        <v>9</v>
      </c>
      <c r="AP39" s="87"/>
      <c r="AQ39" s="87"/>
      <c r="AR39" s="87"/>
      <c r="AS39" s="87"/>
      <c r="AT39" s="87"/>
      <c r="AU39" s="87"/>
      <c r="AV39" s="87"/>
      <c r="AW39" s="88" t="str">
        <f>HYPERLINK("http://www.openstreetmap.org/?mlat=34.1391&amp;mlon=42.3805&amp;zoom=12#map=12/34.1391/42.3805","Maplink1")</f>
        <v>Maplink1</v>
      </c>
      <c r="AX39" s="88" t="str">
        <f>HYPERLINK("https://www.google.iq/maps/search/+34.1391,42.3805/@34.1391,42.3805,14z?hl=en","Maplink2")</f>
        <v>Maplink2</v>
      </c>
      <c r="AY39" s="88" t="str">
        <f>HYPERLINK("http://www.bing.com/maps/?lvl=14&amp;sty=h&amp;cp=34.1391~42.3805&amp;sp=point.34.1391_42.3805","Maplink3")</f>
        <v>Maplink3</v>
      </c>
      <c r="AZ39" s="76"/>
    </row>
    <row r="40" spans="1:52" x14ac:dyDescent="0.25">
      <c r="A40" s="86">
        <v>23813</v>
      </c>
      <c r="B40" s="87" t="s">
        <v>12</v>
      </c>
      <c r="C40" s="87" t="s">
        <v>110</v>
      </c>
      <c r="D40" s="87" t="s">
        <v>207</v>
      </c>
      <c r="E40" s="87" t="s">
        <v>208</v>
      </c>
      <c r="F40" s="87">
        <v>34.0926043308</v>
      </c>
      <c r="G40" s="87">
        <v>42.397337</v>
      </c>
      <c r="H40" s="86">
        <v>5</v>
      </c>
      <c r="I40" s="86">
        <v>30</v>
      </c>
      <c r="J40" s="87">
        <v>4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>
        <v>1</v>
      </c>
      <c r="Y40" s="87"/>
      <c r="Z40" s="87"/>
      <c r="AA40" s="87"/>
      <c r="AB40" s="87"/>
      <c r="AC40" s="87"/>
      <c r="AD40" s="87"/>
      <c r="AE40" s="87"/>
      <c r="AF40" s="87"/>
      <c r="AG40" s="87"/>
      <c r="AH40" s="87">
        <v>5</v>
      </c>
      <c r="AI40" s="87"/>
      <c r="AJ40" s="87"/>
      <c r="AK40" s="87"/>
      <c r="AL40" s="87"/>
      <c r="AM40" s="87"/>
      <c r="AN40" s="87"/>
      <c r="AO40" s="87"/>
      <c r="AP40" s="87"/>
      <c r="AQ40" s="87">
        <v>5</v>
      </c>
      <c r="AR40" s="87"/>
      <c r="AS40" s="87"/>
      <c r="AT40" s="87"/>
      <c r="AU40" s="87"/>
      <c r="AV40" s="87"/>
      <c r="AW40" s="88" t="str">
        <f>HYPERLINK("http://www.openstreetmap.org/?mlat=34.0926&amp;mlon=42.3973&amp;zoom=12#map=12/34.0926/42.3973","Maplink1")</f>
        <v>Maplink1</v>
      </c>
      <c r="AX40" s="88" t="str">
        <f>HYPERLINK("https://www.google.iq/maps/search/+34.0926,42.3973/@34.0926,42.3973,14z?hl=en","Maplink2")</f>
        <v>Maplink2</v>
      </c>
      <c r="AY40" s="88" t="str">
        <f>HYPERLINK("http://www.bing.com/maps/?lvl=14&amp;sty=h&amp;cp=34.0926~42.3973&amp;sp=point.34.0926_42.3973","Maplink3")</f>
        <v>Maplink3</v>
      </c>
      <c r="AZ40" s="76"/>
    </row>
    <row r="41" spans="1:52" x14ac:dyDescent="0.25">
      <c r="A41" s="86">
        <v>241</v>
      </c>
      <c r="B41" s="87" t="s">
        <v>12</v>
      </c>
      <c r="C41" s="87" t="s">
        <v>110</v>
      </c>
      <c r="D41" s="87" t="s">
        <v>117</v>
      </c>
      <c r="E41" s="87" t="s">
        <v>118</v>
      </c>
      <c r="F41" s="87">
        <v>34.102650893300002</v>
      </c>
      <c r="G41" s="87">
        <v>42.3712182047</v>
      </c>
      <c r="H41" s="86">
        <v>12</v>
      </c>
      <c r="I41" s="86">
        <v>72</v>
      </c>
      <c r="J41" s="87">
        <v>8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>
        <v>4</v>
      </c>
      <c r="Y41" s="87"/>
      <c r="Z41" s="87"/>
      <c r="AA41" s="87"/>
      <c r="AB41" s="87"/>
      <c r="AC41" s="87"/>
      <c r="AD41" s="87"/>
      <c r="AE41" s="87"/>
      <c r="AF41" s="87"/>
      <c r="AG41" s="87"/>
      <c r="AH41" s="87">
        <v>12</v>
      </c>
      <c r="AI41" s="87"/>
      <c r="AJ41" s="87"/>
      <c r="AK41" s="87"/>
      <c r="AL41" s="87"/>
      <c r="AM41" s="87"/>
      <c r="AN41" s="87"/>
      <c r="AO41" s="87">
        <v>12</v>
      </c>
      <c r="AP41" s="87"/>
      <c r="AQ41" s="87"/>
      <c r="AR41" s="87"/>
      <c r="AS41" s="87"/>
      <c r="AT41" s="87"/>
      <c r="AU41" s="87"/>
      <c r="AV41" s="87"/>
      <c r="AW41" s="88" t="str">
        <f>HYPERLINK("http://www.openstreetmap.org/?mlat=34.1027&amp;mlon=42.3712&amp;zoom=12#map=12/34.1027/42.3712","Maplink1")</f>
        <v>Maplink1</v>
      </c>
      <c r="AX41" s="88" t="str">
        <f>HYPERLINK("https://www.google.iq/maps/search/+34.1027,42.3712/@34.1027,42.3712,14z?hl=en","Maplink2")</f>
        <v>Maplink2</v>
      </c>
      <c r="AY41" s="88" t="str">
        <f>HYPERLINK("http://www.bing.com/maps/?lvl=14&amp;sty=h&amp;cp=34.1027~42.3712&amp;sp=point.34.1027_42.3712","Maplink3")</f>
        <v>Maplink3</v>
      </c>
      <c r="AZ41" s="76"/>
    </row>
    <row r="42" spans="1:52" x14ac:dyDescent="0.25">
      <c r="A42" s="86">
        <v>244</v>
      </c>
      <c r="B42" s="87" t="s">
        <v>12</v>
      </c>
      <c r="C42" s="87" t="s">
        <v>110</v>
      </c>
      <c r="D42" s="87" t="s">
        <v>119</v>
      </c>
      <c r="E42" s="87" t="s">
        <v>120</v>
      </c>
      <c r="F42" s="87">
        <v>34.141936708999999</v>
      </c>
      <c r="G42" s="87">
        <v>42.370272796899997</v>
      </c>
      <c r="H42" s="86">
        <v>43</v>
      </c>
      <c r="I42" s="86">
        <v>258</v>
      </c>
      <c r="J42" s="87">
        <v>43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>
        <v>43</v>
      </c>
      <c r="AI42" s="87"/>
      <c r="AJ42" s="87"/>
      <c r="AK42" s="87"/>
      <c r="AL42" s="87"/>
      <c r="AM42" s="87"/>
      <c r="AN42" s="87"/>
      <c r="AO42" s="87">
        <v>43</v>
      </c>
      <c r="AP42" s="87"/>
      <c r="AQ42" s="87"/>
      <c r="AR42" s="87"/>
      <c r="AS42" s="87"/>
      <c r="AT42" s="87"/>
      <c r="AU42" s="87"/>
      <c r="AV42" s="87"/>
      <c r="AW42" s="88" t="str">
        <f>HYPERLINK("http://www.openstreetmap.org/?mlat=34.1419&amp;mlon=42.3703&amp;zoom=12#map=12/34.1419/42.3703","Maplink1")</f>
        <v>Maplink1</v>
      </c>
      <c r="AX42" s="88" t="str">
        <f>HYPERLINK("https://www.google.iq/maps/search/+34.1419,42.3703/@34.1419,42.3703,14z?hl=en","Maplink2")</f>
        <v>Maplink2</v>
      </c>
      <c r="AY42" s="88" t="str">
        <f>HYPERLINK("http://www.bing.com/maps/?lvl=14&amp;sty=h&amp;cp=34.1419~42.3703&amp;sp=point.34.1419_42.3703","Maplink3")</f>
        <v>Maplink3</v>
      </c>
      <c r="AZ42" s="76"/>
    </row>
    <row r="43" spans="1:52" x14ac:dyDescent="0.25">
      <c r="A43" s="86">
        <v>23806</v>
      </c>
      <c r="B43" s="87" t="s">
        <v>12</v>
      </c>
      <c r="C43" s="87" t="s">
        <v>110</v>
      </c>
      <c r="D43" s="87" t="s">
        <v>121</v>
      </c>
      <c r="E43" s="87" t="s">
        <v>122</v>
      </c>
      <c r="F43" s="87">
        <v>34.134882461799997</v>
      </c>
      <c r="G43" s="87">
        <v>42.368263349099998</v>
      </c>
      <c r="H43" s="86">
        <v>15</v>
      </c>
      <c r="I43" s="86">
        <v>90</v>
      </c>
      <c r="J43" s="87">
        <v>12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>
        <v>3</v>
      </c>
      <c r="Y43" s="87"/>
      <c r="Z43" s="87"/>
      <c r="AA43" s="87"/>
      <c r="AB43" s="87"/>
      <c r="AC43" s="87"/>
      <c r="AD43" s="87"/>
      <c r="AE43" s="87"/>
      <c r="AF43" s="87"/>
      <c r="AG43" s="87"/>
      <c r="AH43" s="87">
        <v>15</v>
      </c>
      <c r="AI43" s="87"/>
      <c r="AJ43" s="87"/>
      <c r="AK43" s="87"/>
      <c r="AL43" s="87"/>
      <c r="AM43" s="87"/>
      <c r="AN43" s="87"/>
      <c r="AO43" s="87">
        <v>15</v>
      </c>
      <c r="AP43" s="87"/>
      <c r="AQ43" s="87"/>
      <c r="AR43" s="87"/>
      <c r="AS43" s="87"/>
      <c r="AT43" s="87"/>
      <c r="AU43" s="87"/>
      <c r="AV43" s="87"/>
      <c r="AW43" s="88" t="str">
        <f>HYPERLINK("http://www.openstreetmap.org/?mlat=34.1349&amp;mlon=42.3683&amp;zoom=12#map=12/34.1349/42.3683","Maplink1")</f>
        <v>Maplink1</v>
      </c>
      <c r="AX43" s="88" t="str">
        <f>HYPERLINK("https://www.google.iq/maps/search/+34.1349,42.3683/@34.1349,42.3683,14z?hl=en","Maplink2")</f>
        <v>Maplink2</v>
      </c>
      <c r="AY43" s="88" t="str">
        <f>HYPERLINK("http://www.bing.com/maps/?lvl=14&amp;sty=h&amp;cp=34.1349~42.3683&amp;sp=point.34.1349_42.3683","Maplink3")</f>
        <v>Maplink3</v>
      </c>
      <c r="AZ43" s="76"/>
    </row>
    <row r="44" spans="1:52" x14ac:dyDescent="0.25">
      <c r="A44" s="86">
        <v>24110</v>
      </c>
      <c r="B44" s="87" t="s">
        <v>12</v>
      </c>
      <c r="C44" s="87" t="s">
        <v>110</v>
      </c>
      <c r="D44" s="87" t="s">
        <v>5869</v>
      </c>
      <c r="E44" s="87" t="s">
        <v>5870</v>
      </c>
      <c r="F44" s="87">
        <v>34.082760712599999</v>
      </c>
      <c r="G44" s="87">
        <v>42.369179000000003</v>
      </c>
      <c r="H44" s="86">
        <v>6</v>
      </c>
      <c r="I44" s="86">
        <v>36</v>
      </c>
      <c r="J44" s="87">
        <v>6</v>
      </c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>
        <v>6</v>
      </c>
      <c r="AI44" s="87"/>
      <c r="AJ44" s="87"/>
      <c r="AK44" s="87"/>
      <c r="AL44" s="87"/>
      <c r="AM44" s="87"/>
      <c r="AN44" s="87"/>
      <c r="AO44" s="87">
        <v>6</v>
      </c>
      <c r="AP44" s="87"/>
      <c r="AQ44" s="87"/>
      <c r="AR44" s="87"/>
      <c r="AS44" s="87"/>
      <c r="AT44" s="87"/>
      <c r="AU44" s="87"/>
      <c r="AV44" s="87"/>
      <c r="AW44" s="88" t="str">
        <f>HYPERLINK("http://www.openstreetmap.org/?mlat=34.0828&amp;mlon=42.3692&amp;zoom=12#map=12/34.0828/42.3692","Maplink1")</f>
        <v>Maplink1</v>
      </c>
      <c r="AX44" s="88" t="str">
        <f>HYPERLINK("https://www.google.iq/maps/search/+34.0828,42.3692/@34.0828,42.3692,14z?hl=en","Maplink2")</f>
        <v>Maplink2</v>
      </c>
      <c r="AY44" s="88" t="str">
        <f>HYPERLINK("http://www.bing.com/maps/?lvl=14&amp;sty=h&amp;cp=34.0828~42.3692&amp;sp=point.34.0828_42.3692","Maplink3")</f>
        <v>Maplink3</v>
      </c>
      <c r="AZ44" s="76"/>
    </row>
    <row r="45" spans="1:52" x14ac:dyDescent="0.25">
      <c r="A45" s="86">
        <v>79</v>
      </c>
      <c r="B45" s="87" t="s">
        <v>12</v>
      </c>
      <c r="C45" s="87" t="s">
        <v>110</v>
      </c>
      <c r="D45" s="87" t="s">
        <v>123</v>
      </c>
      <c r="E45" s="87" t="s">
        <v>124</v>
      </c>
      <c r="F45" s="87">
        <v>34.112913704999997</v>
      </c>
      <c r="G45" s="87">
        <v>42.382671374700003</v>
      </c>
      <c r="H45" s="86">
        <v>23</v>
      </c>
      <c r="I45" s="86">
        <v>138</v>
      </c>
      <c r="J45" s="87">
        <v>23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>
        <v>23</v>
      </c>
      <c r="AI45" s="87"/>
      <c r="AJ45" s="87"/>
      <c r="AK45" s="87"/>
      <c r="AL45" s="87"/>
      <c r="AM45" s="87"/>
      <c r="AN45" s="87"/>
      <c r="AO45" s="87">
        <v>23</v>
      </c>
      <c r="AP45" s="87"/>
      <c r="AQ45" s="87"/>
      <c r="AR45" s="87"/>
      <c r="AS45" s="87"/>
      <c r="AT45" s="87"/>
      <c r="AU45" s="87"/>
      <c r="AV45" s="87"/>
      <c r="AW45" s="88" t="str">
        <f>HYPERLINK("http://www.openstreetmap.org/?mlat=34.1129&amp;mlon=42.3827&amp;zoom=12#map=12/34.1129/42.3827","Maplink1")</f>
        <v>Maplink1</v>
      </c>
      <c r="AX45" s="88" t="str">
        <f>HYPERLINK("https://www.google.iq/maps/search/+34.1129,42.3827/@34.1129,42.3827,14z?hl=en","Maplink2")</f>
        <v>Maplink2</v>
      </c>
      <c r="AY45" s="88" t="str">
        <f>HYPERLINK("http://www.bing.com/maps/?lvl=14&amp;sty=h&amp;cp=34.1129~42.3827&amp;sp=point.34.1129_42.3827","Maplink3")</f>
        <v>Maplink3</v>
      </c>
      <c r="AZ45" s="76"/>
    </row>
    <row r="46" spans="1:52" x14ac:dyDescent="0.25">
      <c r="A46" s="86">
        <v>23808</v>
      </c>
      <c r="B46" s="87" t="s">
        <v>12</v>
      </c>
      <c r="C46" s="87" t="s">
        <v>110</v>
      </c>
      <c r="D46" s="87" t="s">
        <v>125</v>
      </c>
      <c r="E46" s="87" t="s">
        <v>126</v>
      </c>
      <c r="F46" s="87">
        <v>34.150835074100002</v>
      </c>
      <c r="G46" s="87">
        <v>42.379367373800001</v>
      </c>
      <c r="H46" s="86">
        <v>4</v>
      </c>
      <c r="I46" s="86">
        <v>24</v>
      </c>
      <c r="J46" s="87">
        <v>4</v>
      </c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>
        <v>4</v>
      </c>
      <c r="AI46" s="87"/>
      <c r="AJ46" s="87"/>
      <c r="AK46" s="87"/>
      <c r="AL46" s="87"/>
      <c r="AM46" s="87"/>
      <c r="AN46" s="87"/>
      <c r="AO46" s="87">
        <v>4</v>
      </c>
      <c r="AP46" s="87"/>
      <c r="AQ46" s="87"/>
      <c r="AR46" s="87"/>
      <c r="AS46" s="87"/>
      <c r="AT46" s="87"/>
      <c r="AU46" s="87"/>
      <c r="AV46" s="87"/>
      <c r="AW46" s="88" t="str">
        <f>HYPERLINK("http://www.openstreetmap.org/?mlat=34.1508&amp;mlon=42.3794&amp;zoom=12#map=12/34.1508/42.3794","Maplink1")</f>
        <v>Maplink1</v>
      </c>
      <c r="AX46" s="88" t="str">
        <f>HYPERLINK("https://www.google.iq/maps/search/+34.1508,42.3794/@34.1508,42.3794,14z?hl=en","Maplink2")</f>
        <v>Maplink2</v>
      </c>
      <c r="AY46" s="88" t="str">
        <f>HYPERLINK("http://www.bing.com/maps/?lvl=14&amp;sty=h&amp;cp=34.1508~42.3794&amp;sp=point.34.1508_42.3794","Maplink3")</f>
        <v>Maplink3</v>
      </c>
      <c r="AZ46" s="76"/>
    </row>
    <row r="47" spans="1:52" x14ac:dyDescent="0.25">
      <c r="A47" s="86">
        <v>23811</v>
      </c>
      <c r="B47" s="87" t="s">
        <v>12</v>
      </c>
      <c r="C47" s="87" t="s">
        <v>110</v>
      </c>
      <c r="D47" s="87" t="s">
        <v>5871</v>
      </c>
      <c r="E47" s="87" t="s">
        <v>5872</v>
      </c>
      <c r="F47" s="87">
        <v>34.095479562500003</v>
      </c>
      <c r="G47" s="87">
        <v>42.380439726500001</v>
      </c>
      <c r="H47" s="86">
        <v>20</v>
      </c>
      <c r="I47" s="86">
        <v>120</v>
      </c>
      <c r="J47" s="87">
        <v>13</v>
      </c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>
        <v>7</v>
      </c>
      <c r="Y47" s="87"/>
      <c r="Z47" s="87"/>
      <c r="AA47" s="87"/>
      <c r="AB47" s="87"/>
      <c r="AC47" s="87"/>
      <c r="AD47" s="87"/>
      <c r="AE47" s="87"/>
      <c r="AF47" s="87"/>
      <c r="AG47" s="87"/>
      <c r="AH47" s="87">
        <v>20</v>
      </c>
      <c r="AI47" s="87"/>
      <c r="AJ47" s="87"/>
      <c r="AK47" s="87"/>
      <c r="AL47" s="87"/>
      <c r="AM47" s="87"/>
      <c r="AN47" s="87"/>
      <c r="AO47" s="87"/>
      <c r="AP47" s="87"/>
      <c r="AQ47" s="87">
        <v>20</v>
      </c>
      <c r="AR47" s="87"/>
      <c r="AS47" s="87"/>
      <c r="AT47" s="87"/>
      <c r="AU47" s="87"/>
      <c r="AV47" s="87"/>
      <c r="AW47" s="88" t="str">
        <f>HYPERLINK("http://www.openstreetmap.org/?mlat=34.0955&amp;mlon=42.3804&amp;zoom=12#map=12/34.0955/42.3804","Maplink1")</f>
        <v>Maplink1</v>
      </c>
      <c r="AX47" s="88" t="str">
        <f>HYPERLINK("https://www.google.iq/maps/search/+34.0955,42.3804/@34.0955,42.3804,14z?hl=en","Maplink2")</f>
        <v>Maplink2</v>
      </c>
      <c r="AY47" s="88" t="str">
        <f>HYPERLINK("http://www.bing.com/maps/?lvl=14&amp;sty=h&amp;cp=34.0955~42.3804&amp;sp=point.34.0955_42.3804","Maplink3")</f>
        <v>Maplink3</v>
      </c>
      <c r="AZ47" s="76"/>
    </row>
    <row r="48" spans="1:52" x14ac:dyDescent="0.25">
      <c r="A48" s="86">
        <v>23812</v>
      </c>
      <c r="B48" s="87" t="s">
        <v>12</v>
      </c>
      <c r="C48" s="87" t="s">
        <v>110</v>
      </c>
      <c r="D48" s="87" t="s">
        <v>5873</v>
      </c>
      <c r="E48" s="87" t="s">
        <v>5874</v>
      </c>
      <c r="F48" s="87">
        <v>34.0838175182</v>
      </c>
      <c r="G48" s="87">
        <v>42.385637154900003</v>
      </c>
      <c r="H48" s="86">
        <v>12</v>
      </c>
      <c r="I48" s="86">
        <v>72</v>
      </c>
      <c r="J48" s="87">
        <v>3</v>
      </c>
      <c r="K48" s="87"/>
      <c r="L48" s="87"/>
      <c r="M48" s="87"/>
      <c r="N48" s="87"/>
      <c r="O48" s="87"/>
      <c r="P48" s="87"/>
      <c r="Q48" s="87"/>
      <c r="R48" s="87">
        <v>2</v>
      </c>
      <c r="S48" s="87"/>
      <c r="T48" s="87"/>
      <c r="U48" s="87"/>
      <c r="V48" s="87">
        <v>1</v>
      </c>
      <c r="W48" s="87"/>
      <c r="X48" s="87">
        <v>6</v>
      </c>
      <c r="Y48" s="87"/>
      <c r="Z48" s="87"/>
      <c r="AA48" s="87"/>
      <c r="AB48" s="87"/>
      <c r="AC48" s="87"/>
      <c r="AD48" s="87"/>
      <c r="AE48" s="87"/>
      <c r="AF48" s="87"/>
      <c r="AG48" s="87"/>
      <c r="AH48" s="87">
        <v>12</v>
      </c>
      <c r="AI48" s="87"/>
      <c r="AJ48" s="87"/>
      <c r="AK48" s="87"/>
      <c r="AL48" s="87"/>
      <c r="AM48" s="87"/>
      <c r="AN48" s="87"/>
      <c r="AO48" s="87">
        <v>1</v>
      </c>
      <c r="AP48" s="87"/>
      <c r="AQ48" s="87">
        <v>11</v>
      </c>
      <c r="AR48" s="87"/>
      <c r="AS48" s="87"/>
      <c r="AT48" s="87"/>
      <c r="AU48" s="87"/>
      <c r="AV48" s="87"/>
      <c r="AW48" s="88" t="str">
        <f>HYPERLINK("http://www.openstreetmap.org/?mlat=34.0838&amp;mlon=42.3856&amp;zoom=12#map=12/34.0838/42.3856","Maplink1")</f>
        <v>Maplink1</v>
      </c>
      <c r="AX48" s="88" t="str">
        <f>HYPERLINK("https://www.google.iq/maps/search/+34.0838,42.3856/@34.0838,42.3856,14z?hl=en","Maplink2")</f>
        <v>Maplink2</v>
      </c>
      <c r="AY48" s="88" t="str">
        <f>HYPERLINK("http://www.bing.com/maps/?lvl=14&amp;sty=h&amp;cp=34.0838~42.3856&amp;sp=point.34.0838_42.3856","Maplink3")</f>
        <v>Maplink3</v>
      </c>
      <c r="AZ48" s="76"/>
    </row>
    <row r="49" spans="1:52" x14ac:dyDescent="0.25">
      <c r="A49" s="86">
        <v>23820</v>
      </c>
      <c r="B49" s="87" t="s">
        <v>12</v>
      </c>
      <c r="C49" s="87" t="s">
        <v>110</v>
      </c>
      <c r="D49" s="87" t="s">
        <v>5875</v>
      </c>
      <c r="E49" s="87" t="s">
        <v>5876</v>
      </c>
      <c r="F49" s="87">
        <v>34.071823926699999</v>
      </c>
      <c r="G49" s="87">
        <v>42.365248815299999</v>
      </c>
      <c r="H49" s="86">
        <v>7</v>
      </c>
      <c r="I49" s="86">
        <v>42</v>
      </c>
      <c r="J49" s="87">
        <v>7</v>
      </c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>
        <v>7</v>
      </c>
      <c r="AI49" s="87"/>
      <c r="AJ49" s="87"/>
      <c r="AK49" s="87"/>
      <c r="AL49" s="87"/>
      <c r="AM49" s="87"/>
      <c r="AN49" s="87"/>
      <c r="AO49" s="87">
        <v>7</v>
      </c>
      <c r="AP49" s="87"/>
      <c r="AQ49" s="87"/>
      <c r="AR49" s="87"/>
      <c r="AS49" s="87"/>
      <c r="AT49" s="87"/>
      <c r="AU49" s="87"/>
      <c r="AV49" s="87"/>
      <c r="AW49" s="88" t="str">
        <f>HYPERLINK("http://www.openstreetmap.org/?mlat=34.0718&amp;mlon=42.3652&amp;zoom=12#map=12/34.0718/42.3652","Maplink1")</f>
        <v>Maplink1</v>
      </c>
      <c r="AX49" s="88" t="str">
        <f>HYPERLINK("https://www.google.iq/maps/search/+34.0718,42.3652/@34.0718,42.3652,14z?hl=en","Maplink2")</f>
        <v>Maplink2</v>
      </c>
      <c r="AY49" s="88" t="str">
        <f>HYPERLINK("http://www.bing.com/maps/?lvl=14&amp;sty=h&amp;cp=34.0718~42.3652&amp;sp=point.34.0718_42.3652","Maplink3")</f>
        <v>Maplink3</v>
      </c>
      <c r="AZ49" s="76"/>
    </row>
    <row r="50" spans="1:52" x14ac:dyDescent="0.25">
      <c r="A50" s="86">
        <v>152</v>
      </c>
      <c r="B50" s="87" t="s">
        <v>12</v>
      </c>
      <c r="C50" s="87" t="s">
        <v>127</v>
      </c>
      <c r="D50" s="87" t="s">
        <v>128</v>
      </c>
      <c r="E50" s="87" t="s">
        <v>129</v>
      </c>
      <c r="F50" s="87">
        <v>33.5595164852</v>
      </c>
      <c r="G50" s="87">
        <v>42.901484775699998</v>
      </c>
      <c r="H50" s="86">
        <v>65</v>
      </c>
      <c r="I50" s="86">
        <v>390</v>
      </c>
      <c r="J50" s="87">
        <v>65</v>
      </c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>
        <v>25</v>
      </c>
      <c r="AD50" s="87"/>
      <c r="AE50" s="87"/>
      <c r="AF50" s="87"/>
      <c r="AG50" s="87"/>
      <c r="AH50" s="87">
        <v>31</v>
      </c>
      <c r="AI50" s="87"/>
      <c r="AJ50" s="87"/>
      <c r="AK50" s="87">
        <v>9</v>
      </c>
      <c r="AL50" s="87"/>
      <c r="AM50" s="87"/>
      <c r="AN50" s="87">
        <v>25</v>
      </c>
      <c r="AO50" s="87"/>
      <c r="AP50" s="87"/>
      <c r="AQ50" s="87">
        <v>9</v>
      </c>
      <c r="AR50" s="87"/>
      <c r="AS50" s="87"/>
      <c r="AT50" s="87"/>
      <c r="AU50" s="87">
        <v>31</v>
      </c>
      <c r="AV50" s="87"/>
      <c r="AW50" s="88" t="str">
        <f>HYPERLINK("http://www.openstreetmap.org/?mlat=33.5595&amp;mlon=42.9015&amp;zoom=12#map=12/33.5595/42.9015","Maplink1")</f>
        <v>Maplink1</v>
      </c>
      <c r="AX50" s="88" t="str">
        <f>HYPERLINK("https://www.google.iq/maps/search/+33.5595,42.9015/@33.5595,42.9015,14z?hl=en","Maplink2")</f>
        <v>Maplink2</v>
      </c>
      <c r="AY50" s="88" t="str">
        <f>HYPERLINK("http://www.bing.com/maps/?lvl=14&amp;sty=h&amp;cp=33.5595~42.9015&amp;sp=point.33.5595_42.9015","Maplink3")</f>
        <v>Maplink3</v>
      </c>
      <c r="AZ50" s="76"/>
    </row>
    <row r="51" spans="1:52" x14ac:dyDescent="0.25">
      <c r="A51" s="86">
        <v>23832</v>
      </c>
      <c r="B51" s="87" t="s">
        <v>12</v>
      </c>
      <c r="C51" s="87" t="s">
        <v>127</v>
      </c>
      <c r="D51" s="87" t="s">
        <v>130</v>
      </c>
      <c r="E51" s="87" t="s">
        <v>131</v>
      </c>
      <c r="F51" s="87">
        <v>33.628897136600003</v>
      </c>
      <c r="G51" s="87">
        <v>42.796944243900001</v>
      </c>
      <c r="H51" s="86">
        <v>2</v>
      </c>
      <c r="I51" s="86">
        <v>12</v>
      </c>
      <c r="J51" s="87">
        <v>2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>
        <v>2</v>
      </c>
      <c r="AI51" s="87"/>
      <c r="AJ51" s="87"/>
      <c r="AK51" s="87"/>
      <c r="AL51" s="87"/>
      <c r="AM51" s="87"/>
      <c r="AN51" s="87">
        <v>2</v>
      </c>
      <c r="AO51" s="87"/>
      <c r="AP51" s="87"/>
      <c r="AQ51" s="87"/>
      <c r="AR51" s="87"/>
      <c r="AS51" s="87"/>
      <c r="AT51" s="87"/>
      <c r="AU51" s="87"/>
      <c r="AV51" s="87"/>
      <c r="AW51" s="88" t="str">
        <f>HYPERLINK("http://www.openstreetmap.org/?mlat=33.6289&amp;mlon=42.7969&amp;zoom=12#map=12/33.6289/42.7969","Maplink1")</f>
        <v>Maplink1</v>
      </c>
      <c r="AX51" s="88" t="str">
        <f>HYPERLINK("https://www.google.iq/maps/search/+33.6289,42.7969/@33.6289,42.7969,14z?hl=en","Maplink2")</f>
        <v>Maplink2</v>
      </c>
      <c r="AY51" s="88" t="str">
        <f>HYPERLINK("http://www.bing.com/maps/?lvl=14&amp;sty=h&amp;cp=33.6289~42.7969&amp;sp=point.33.6289_42.7969","Maplink3")</f>
        <v>Maplink3</v>
      </c>
      <c r="AZ51" s="76"/>
    </row>
    <row r="52" spans="1:52" x14ac:dyDescent="0.25">
      <c r="A52" s="86">
        <v>21323</v>
      </c>
      <c r="B52" s="87" t="s">
        <v>12</v>
      </c>
      <c r="C52" s="87" t="s">
        <v>127</v>
      </c>
      <c r="D52" s="87" t="s">
        <v>132</v>
      </c>
      <c r="E52" s="87" t="s">
        <v>133</v>
      </c>
      <c r="F52" s="87">
        <v>33.921173402199997</v>
      </c>
      <c r="G52" s="87">
        <v>42.524549074500001</v>
      </c>
      <c r="H52" s="86">
        <v>14</v>
      </c>
      <c r="I52" s="86">
        <v>84</v>
      </c>
      <c r="J52" s="87">
        <v>14</v>
      </c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>
        <v>10</v>
      </c>
      <c r="AD52" s="87"/>
      <c r="AE52" s="87"/>
      <c r="AF52" s="87"/>
      <c r="AG52" s="87"/>
      <c r="AH52" s="87">
        <v>4</v>
      </c>
      <c r="AI52" s="87"/>
      <c r="AJ52" s="87"/>
      <c r="AK52" s="87"/>
      <c r="AL52" s="87"/>
      <c r="AM52" s="87"/>
      <c r="AN52" s="87">
        <v>14</v>
      </c>
      <c r="AO52" s="87"/>
      <c r="AP52" s="87"/>
      <c r="AQ52" s="87"/>
      <c r="AR52" s="87"/>
      <c r="AS52" s="87"/>
      <c r="AT52" s="87"/>
      <c r="AU52" s="87"/>
      <c r="AV52" s="87"/>
      <c r="AW52" s="88" t="str">
        <f>HYPERLINK("http://www.openstreetmap.org/?mlat=33.9212&amp;mlon=42.5245&amp;zoom=12#map=12/33.9212/42.5245","Maplink1")</f>
        <v>Maplink1</v>
      </c>
      <c r="AX52" s="88" t="str">
        <f>HYPERLINK("https://www.google.iq/maps/search/+33.9212,42.5245/@33.9212,42.5245,14z?hl=en","Maplink2")</f>
        <v>Maplink2</v>
      </c>
      <c r="AY52" s="88" t="str">
        <f>HYPERLINK("http://www.bing.com/maps/?lvl=14&amp;sty=h&amp;cp=33.9212~42.5245&amp;sp=point.33.9212_42.5245","Maplink3")</f>
        <v>Maplink3</v>
      </c>
      <c r="AZ52" s="76"/>
    </row>
    <row r="53" spans="1:52" x14ac:dyDescent="0.25">
      <c r="A53" s="86">
        <v>23827</v>
      </c>
      <c r="B53" s="87" t="s">
        <v>12</v>
      </c>
      <c r="C53" s="87" t="s">
        <v>127</v>
      </c>
      <c r="D53" s="87" t="s">
        <v>134</v>
      </c>
      <c r="E53" s="87" t="s">
        <v>135</v>
      </c>
      <c r="F53" s="87">
        <v>33.642898913400003</v>
      </c>
      <c r="G53" s="87">
        <v>42.826552264599997</v>
      </c>
      <c r="H53" s="86">
        <v>5</v>
      </c>
      <c r="I53" s="86">
        <v>30</v>
      </c>
      <c r="J53" s="87">
        <v>5</v>
      </c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>
        <v>5</v>
      </c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>
        <v>5</v>
      </c>
      <c r="AV53" s="87"/>
      <c r="AW53" s="88" t="str">
        <f>HYPERLINK("http://www.openstreetmap.org/?mlat=33.6429&amp;mlon=42.8266&amp;zoom=12#map=12/33.6429/42.8266","Maplink1")</f>
        <v>Maplink1</v>
      </c>
      <c r="AX53" s="88" t="str">
        <f>HYPERLINK("https://www.google.iq/maps/search/+33.6429,42.8266/@33.6429,42.8266,14z?hl=en","Maplink2")</f>
        <v>Maplink2</v>
      </c>
      <c r="AY53" s="88" t="str">
        <f>HYPERLINK("http://www.bing.com/maps/?lvl=14&amp;sty=h&amp;cp=33.6429~42.8266&amp;sp=point.33.6429_42.8266","Maplink3")</f>
        <v>Maplink3</v>
      </c>
      <c r="AZ53" s="76"/>
    </row>
    <row r="54" spans="1:52" x14ac:dyDescent="0.25">
      <c r="A54" s="86">
        <v>312</v>
      </c>
      <c r="B54" s="87" t="s">
        <v>12</v>
      </c>
      <c r="C54" s="87" t="s">
        <v>127</v>
      </c>
      <c r="D54" s="87" t="s">
        <v>136</v>
      </c>
      <c r="E54" s="87" t="s">
        <v>137</v>
      </c>
      <c r="F54" s="87">
        <v>33.634155721200003</v>
      </c>
      <c r="G54" s="87">
        <v>42.826845898499997</v>
      </c>
      <c r="H54" s="86">
        <v>15</v>
      </c>
      <c r="I54" s="86">
        <v>90</v>
      </c>
      <c r="J54" s="87">
        <v>15</v>
      </c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>
        <v>15</v>
      </c>
      <c r="AI54" s="87"/>
      <c r="AJ54" s="87"/>
      <c r="AK54" s="87"/>
      <c r="AL54" s="87"/>
      <c r="AM54" s="87"/>
      <c r="AN54" s="87">
        <v>5</v>
      </c>
      <c r="AO54" s="87"/>
      <c r="AP54" s="87"/>
      <c r="AQ54" s="87">
        <v>10</v>
      </c>
      <c r="AR54" s="87"/>
      <c r="AS54" s="87"/>
      <c r="AT54" s="87"/>
      <c r="AU54" s="87"/>
      <c r="AV54" s="87"/>
      <c r="AW54" s="88" t="str">
        <f>HYPERLINK("http://www.openstreetmap.org/?mlat=33.6342&amp;mlon=42.8268&amp;zoom=12#map=12/33.6342/42.8268","Maplink1")</f>
        <v>Maplink1</v>
      </c>
      <c r="AX54" s="88" t="str">
        <f>HYPERLINK("https://www.google.iq/maps/search/+33.6342,42.8268/@33.6342,42.8268,14z?hl=en","Maplink2")</f>
        <v>Maplink2</v>
      </c>
      <c r="AY54" s="88" t="str">
        <f>HYPERLINK("http://www.bing.com/maps/?lvl=14&amp;sty=h&amp;cp=33.6342~42.8268&amp;sp=point.33.6342_42.8268","Maplink3")</f>
        <v>Maplink3</v>
      </c>
      <c r="AZ54" s="76"/>
    </row>
    <row r="55" spans="1:52" x14ac:dyDescent="0.25">
      <c r="A55" s="86">
        <v>228</v>
      </c>
      <c r="B55" s="87" t="s">
        <v>12</v>
      </c>
      <c r="C55" s="87" t="s">
        <v>127</v>
      </c>
      <c r="D55" s="87" t="s">
        <v>138</v>
      </c>
      <c r="E55" s="87" t="s">
        <v>139</v>
      </c>
      <c r="F55" s="87">
        <v>33.637210713599998</v>
      </c>
      <c r="G55" s="87">
        <v>42.821626513399998</v>
      </c>
      <c r="H55" s="86">
        <v>10</v>
      </c>
      <c r="I55" s="86">
        <v>60</v>
      </c>
      <c r="J55" s="87">
        <v>10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>
        <v>10</v>
      </c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>
        <v>10</v>
      </c>
      <c r="AV55" s="87"/>
      <c r="AW55" s="88" t="str">
        <f>HYPERLINK("http://www.openstreetmap.org/?mlat=33.6372&amp;mlon=42.8216&amp;zoom=12#map=12/33.6372/42.8216","Maplink1")</f>
        <v>Maplink1</v>
      </c>
      <c r="AX55" s="88" t="str">
        <f>HYPERLINK("https://www.google.iq/maps/search/+33.6372,42.8216/@33.6372,42.8216,14z?hl=en","Maplink2")</f>
        <v>Maplink2</v>
      </c>
      <c r="AY55" s="88" t="str">
        <f>HYPERLINK("http://www.bing.com/maps/?lvl=14&amp;sty=h&amp;cp=33.6372~42.8216&amp;sp=point.33.6372_42.8216","Maplink3")</f>
        <v>Maplink3</v>
      </c>
      <c r="AZ55" s="76"/>
    </row>
    <row r="56" spans="1:52" x14ac:dyDescent="0.25">
      <c r="A56" s="86">
        <v>218</v>
      </c>
      <c r="B56" s="87" t="s">
        <v>12</v>
      </c>
      <c r="C56" s="87" t="s">
        <v>127</v>
      </c>
      <c r="D56" s="87" t="s">
        <v>140</v>
      </c>
      <c r="E56" s="87" t="s">
        <v>141</v>
      </c>
      <c r="F56" s="87">
        <v>33.632313373800002</v>
      </c>
      <c r="G56" s="87">
        <v>42.832668918899998</v>
      </c>
      <c r="H56" s="86">
        <v>10</v>
      </c>
      <c r="I56" s="86">
        <v>60</v>
      </c>
      <c r="J56" s="87">
        <v>10</v>
      </c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>
        <v>10</v>
      </c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>
        <v>10</v>
      </c>
      <c r="AU56" s="87"/>
      <c r="AV56" s="87"/>
      <c r="AW56" s="88" t="str">
        <f>HYPERLINK("http://www.openstreetmap.org/?mlat=33.6323&amp;mlon=42.8327&amp;zoom=12#map=12/33.6323/42.8327","Maplink1")</f>
        <v>Maplink1</v>
      </c>
      <c r="AX56" s="88" t="str">
        <f>HYPERLINK("https://www.google.iq/maps/search/+33.6323,42.8327/@33.6323,42.8327,14z?hl=en","Maplink2")</f>
        <v>Maplink2</v>
      </c>
      <c r="AY56" s="88" t="str">
        <f>HYPERLINK("http://www.bing.com/maps/?lvl=14&amp;sty=h&amp;cp=33.6323~42.8327&amp;sp=point.33.6323_42.8327","Maplink3")</f>
        <v>Maplink3</v>
      </c>
      <c r="AZ56" s="76"/>
    </row>
    <row r="57" spans="1:52" x14ac:dyDescent="0.25">
      <c r="A57" s="86">
        <v>219</v>
      </c>
      <c r="B57" s="87" t="s">
        <v>12</v>
      </c>
      <c r="C57" s="87" t="s">
        <v>127</v>
      </c>
      <c r="D57" s="87" t="s">
        <v>142</v>
      </c>
      <c r="E57" s="87" t="s">
        <v>143</v>
      </c>
      <c r="F57" s="87">
        <v>33.638928848699997</v>
      </c>
      <c r="G57" s="87">
        <v>42.8185354262</v>
      </c>
      <c r="H57" s="86">
        <v>12</v>
      </c>
      <c r="I57" s="86">
        <v>72</v>
      </c>
      <c r="J57" s="87">
        <v>12</v>
      </c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>
        <v>12</v>
      </c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>
        <v>3</v>
      </c>
      <c r="AU57" s="87">
        <v>9</v>
      </c>
      <c r="AV57" s="87"/>
      <c r="AW57" s="88" t="str">
        <f>HYPERLINK("http://www.openstreetmap.org/?mlat=33.6389&amp;mlon=42.8185&amp;zoom=12#map=12/33.6389/42.8185","Maplink1")</f>
        <v>Maplink1</v>
      </c>
      <c r="AX57" s="88" t="str">
        <f>HYPERLINK("https://www.google.iq/maps/search/+33.6389,42.8185/@33.6389,42.8185,14z?hl=en","Maplink2")</f>
        <v>Maplink2</v>
      </c>
      <c r="AY57" s="88" t="str">
        <f>HYPERLINK("http://www.bing.com/maps/?lvl=14&amp;sty=h&amp;cp=33.6389~42.8185&amp;sp=point.33.6389_42.8185","Maplink3")</f>
        <v>Maplink3</v>
      </c>
      <c r="AZ57" s="76"/>
    </row>
    <row r="58" spans="1:52" x14ac:dyDescent="0.25">
      <c r="A58" s="86">
        <v>21231</v>
      </c>
      <c r="B58" s="87" t="s">
        <v>12</v>
      </c>
      <c r="C58" s="87" t="s">
        <v>127</v>
      </c>
      <c r="D58" s="87" t="s">
        <v>144</v>
      </c>
      <c r="E58" s="87" t="s">
        <v>145</v>
      </c>
      <c r="F58" s="87">
        <v>33.636400953600003</v>
      </c>
      <c r="G58" s="87">
        <v>42.8361484132</v>
      </c>
      <c r="H58" s="86">
        <v>5</v>
      </c>
      <c r="I58" s="86">
        <v>30</v>
      </c>
      <c r="J58" s="87">
        <v>5</v>
      </c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>
        <v>5</v>
      </c>
      <c r="AI58" s="87"/>
      <c r="AJ58" s="87"/>
      <c r="AK58" s="87"/>
      <c r="AL58" s="87"/>
      <c r="AM58" s="87"/>
      <c r="AN58" s="87"/>
      <c r="AO58" s="87"/>
      <c r="AP58" s="87"/>
      <c r="AQ58" s="87"/>
      <c r="AR58" s="87">
        <v>5</v>
      </c>
      <c r="AS58" s="87"/>
      <c r="AT58" s="87"/>
      <c r="AU58" s="87"/>
      <c r="AV58" s="87"/>
      <c r="AW58" s="88" t="str">
        <f>HYPERLINK("http://www.openstreetmap.org/?mlat=33.6364&amp;mlon=42.8361&amp;zoom=12#map=12/33.6364/42.8361","Maplink1")</f>
        <v>Maplink1</v>
      </c>
      <c r="AX58" s="88" t="str">
        <f>HYPERLINK("https://www.google.iq/maps/search/+33.6364,42.8361/@33.6364,42.8361,14z?hl=en","Maplink2")</f>
        <v>Maplink2</v>
      </c>
      <c r="AY58" s="88" t="str">
        <f>HYPERLINK("http://www.bing.com/maps/?lvl=14&amp;sty=h&amp;cp=33.6364~42.8361&amp;sp=point.33.6364_42.8361","Maplink3")</f>
        <v>Maplink3</v>
      </c>
      <c r="AZ58" s="76"/>
    </row>
    <row r="59" spans="1:52" x14ac:dyDescent="0.25">
      <c r="A59" s="86">
        <v>226</v>
      </c>
      <c r="B59" s="87" t="s">
        <v>12</v>
      </c>
      <c r="C59" s="87" t="s">
        <v>127</v>
      </c>
      <c r="D59" s="87" t="s">
        <v>146</v>
      </c>
      <c r="E59" s="87" t="s">
        <v>147</v>
      </c>
      <c r="F59" s="87">
        <v>33.586445616600002</v>
      </c>
      <c r="G59" s="87">
        <v>42.616082083599998</v>
      </c>
      <c r="H59" s="86">
        <v>4</v>
      </c>
      <c r="I59" s="86">
        <v>24</v>
      </c>
      <c r="J59" s="87">
        <v>4</v>
      </c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>
        <v>4</v>
      </c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>
        <v>4</v>
      </c>
      <c r="AR59" s="87"/>
      <c r="AS59" s="87"/>
      <c r="AT59" s="87"/>
      <c r="AU59" s="87"/>
      <c r="AV59" s="87"/>
      <c r="AW59" s="88" t="str">
        <f>HYPERLINK("http://www.openstreetmap.org/?mlat=33.5864&amp;mlon=42.6161&amp;zoom=12#map=12/33.5864/42.6161","Maplink1")</f>
        <v>Maplink1</v>
      </c>
      <c r="AX59" s="88" t="str">
        <f>HYPERLINK("https://www.google.iq/maps/search/+33.5864,42.6161/@33.5864,42.6161,14z?hl=en","Maplink2")</f>
        <v>Maplink2</v>
      </c>
      <c r="AY59" s="88" t="str">
        <f>HYPERLINK("http://www.bing.com/maps/?lvl=14&amp;sty=h&amp;cp=33.5864~42.6161&amp;sp=point.33.5864_42.6161","Maplink3")</f>
        <v>Maplink3</v>
      </c>
      <c r="AZ59" s="76"/>
    </row>
    <row r="60" spans="1:52" x14ac:dyDescent="0.25">
      <c r="A60" s="86">
        <v>308</v>
      </c>
      <c r="B60" s="87" t="s">
        <v>12</v>
      </c>
      <c r="C60" s="87" t="s">
        <v>149</v>
      </c>
      <c r="D60" s="87" t="s">
        <v>150</v>
      </c>
      <c r="E60" s="87" t="s">
        <v>151</v>
      </c>
      <c r="F60" s="87">
        <v>33.421150003000001</v>
      </c>
      <c r="G60" s="87">
        <v>43.2455026445</v>
      </c>
      <c r="H60" s="86">
        <v>129</v>
      </c>
      <c r="I60" s="86">
        <v>774</v>
      </c>
      <c r="J60" s="87">
        <v>129</v>
      </c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>
        <v>129</v>
      </c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>
        <v>129</v>
      </c>
      <c r="AV60" s="87"/>
      <c r="AW60" s="88" t="str">
        <f>HYPERLINK("http://www.openstreetmap.org/?mlat=33.4212&amp;mlon=43.2455&amp;zoom=12#map=12/33.4212/43.2455","Maplink1")</f>
        <v>Maplink1</v>
      </c>
      <c r="AX60" s="88" t="str">
        <f>HYPERLINK("https://www.google.iq/maps/search/+33.4212,43.2455/@33.4212,43.2455,14z?hl=en","Maplink2")</f>
        <v>Maplink2</v>
      </c>
      <c r="AY60" s="88" t="str">
        <f>HYPERLINK("http://www.bing.com/maps/?lvl=14&amp;sty=h&amp;cp=33.4212~43.2455&amp;sp=point.33.4212_43.2455","Maplink3")</f>
        <v>Maplink3</v>
      </c>
      <c r="AZ60" s="76"/>
    </row>
    <row r="61" spans="1:52" x14ac:dyDescent="0.25">
      <c r="A61" s="86">
        <v>23889</v>
      </c>
      <c r="B61" s="87" t="s">
        <v>12</v>
      </c>
      <c r="C61" s="87" t="s">
        <v>149</v>
      </c>
      <c r="D61" s="87" t="s">
        <v>152</v>
      </c>
      <c r="E61" s="87" t="s">
        <v>153</v>
      </c>
      <c r="F61" s="87">
        <v>33.414131972</v>
      </c>
      <c r="G61" s="87">
        <v>43.1913870777</v>
      </c>
      <c r="H61" s="86">
        <v>96</v>
      </c>
      <c r="I61" s="86">
        <v>576</v>
      </c>
      <c r="J61" s="87">
        <v>96</v>
      </c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>
        <v>96</v>
      </c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>
        <v>96</v>
      </c>
      <c r="AV61" s="87"/>
      <c r="AW61" s="88" t="str">
        <f>HYPERLINK("http://www.openstreetmap.org/?mlat=33.4141&amp;mlon=43.1914&amp;zoom=12#map=12/33.4141/43.1914","Maplink1")</f>
        <v>Maplink1</v>
      </c>
      <c r="AX61" s="88" t="str">
        <f>HYPERLINK("https://www.google.iq/maps/search/+33.4141,43.1914/@33.4141,43.1914,14z?hl=en","Maplink2")</f>
        <v>Maplink2</v>
      </c>
      <c r="AY61" s="88" t="str">
        <f>HYPERLINK("http://www.bing.com/maps/?lvl=14&amp;sty=h&amp;cp=33.4141~43.1914&amp;sp=point.33.4141_43.1914","Maplink3")</f>
        <v>Maplink3</v>
      </c>
      <c r="AZ61" s="76"/>
    </row>
    <row r="62" spans="1:52" x14ac:dyDescent="0.25">
      <c r="A62" s="86">
        <v>23858</v>
      </c>
      <c r="B62" s="87" t="s">
        <v>12</v>
      </c>
      <c r="C62" s="87" t="s">
        <v>149</v>
      </c>
      <c r="D62" s="87" t="s">
        <v>154</v>
      </c>
      <c r="E62" s="87" t="s">
        <v>5877</v>
      </c>
      <c r="F62" s="87">
        <v>33.392705409100003</v>
      </c>
      <c r="G62" s="87">
        <v>43.532474765000003</v>
      </c>
      <c r="H62" s="86">
        <v>57</v>
      </c>
      <c r="I62" s="86">
        <v>342</v>
      </c>
      <c r="J62" s="87">
        <v>38</v>
      </c>
      <c r="K62" s="87">
        <v>9</v>
      </c>
      <c r="L62" s="87">
        <v>10</v>
      </c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>
        <v>57</v>
      </c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>
        <v>57</v>
      </c>
      <c r="AR62" s="87"/>
      <c r="AS62" s="87"/>
      <c r="AT62" s="87"/>
      <c r="AU62" s="87"/>
      <c r="AV62" s="87"/>
      <c r="AW62" s="88" t="str">
        <f>HYPERLINK("http://www.openstreetmap.org/?mlat=33.3927&amp;mlon=43.5325&amp;zoom=12#map=12/33.3927/43.5325","Maplink1")</f>
        <v>Maplink1</v>
      </c>
      <c r="AX62" s="88" t="str">
        <f>HYPERLINK("https://www.google.iq/maps/search/+33.3927,43.5325/@33.3927,43.5325,14z?hl=en","Maplink2")</f>
        <v>Maplink2</v>
      </c>
      <c r="AY62" s="88" t="str">
        <f>HYPERLINK("http://www.bing.com/maps/?lvl=14&amp;sty=h&amp;cp=33.3927~43.5325&amp;sp=point.33.3927_43.5325","Maplink3")</f>
        <v>Maplink3</v>
      </c>
      <c r="AZ62" s="76"/>
    </row>
    <row r="63" spans="1:52" x14ac:dyDescent="0.25">
      <c r="A63" s="86">
        <v>24730</v>
      </c>
      <c r="B63" s="87" t="s">
        <v>12</v>
      </c>
      <c r="C63" s="87" t="s">
        <v>149</v>
      </c>
      <c r="D63" s="87" t="s">
        <v>155</v>
      </c>
      <c r="E63" s="87" t="s">
        <v>156</v>
      </c>
      <c r="F63" s="87">
        <v>33.392164879600003</v>
      </c>
      <c r="G63" s="87">
        <v>43.512206254600002</v>
      </c>
      <c r="H63" s="86">
        <v>24</v>
      </c>
      <c r="I63" s="86">
        <v>144</v>
      </c>
      <c r="J63" s="87">
        <v>24</v>
      </c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>
        <v>24</v>
      </c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>
        <v>24</v>
      </c>
      <c r="AR63" s="87"/>
      <c r="AS63" s="87"/>
      <c r="AT63" s="87"/>
      <c r="AU63" s="87"/>
      <c r="AV63" s="87"/>
      <c r="AW63" s="88" t="str">
        <f>HYPERLINK("http://www.openstreetmap.org/?mlat=33.3922&amp;mlon=43.5122&amp;zoom=12#map=12/33.3922/43.5122","Maplink1")</f>
        <v>Maplink1</v>
      </c>
      <c r="AX63" s="88" t="str">
        <f>HYPERLINK("https://www.google.iq/maps/search/+33.3922,43.5122/@33.3922,43.5122,14z?hl=en","Maplink2")</f>
        <v>Maplink2</v>
      </c>
      <c r="AY63" s="88" t="str">
        <f>HYPERLINK("http://www.bing.com/maps/?lvl=14&amp;sty=h&amp;cp=33.3922~43.5122&amp;sp=point.33.3922_43.5122","Maplink3")</f>
        <v>Maplink3</v>
      </c>
      <c r="AZ63" s="76"/>
    </row>
    <row r="64" spans="1:52" x14ac:dyDescent="0.25">
      <c r="A64" s="86">
        <v>115</v>
      </c>
      <c r="B64" s="87" t="s">
        <v>12</v>
      </c>
      <c r="C64" s="87" t="s">
        <v>149</v>
      </c>
      <c r="D64" s="87" t="s">
        <v>157</v>
      </c>
      <c r="E64" s="87" t="s">
        <v>158</v>
      </c>
      <c r="F64" s="87">
        <v>33.440310664400002</v>
      </c>
      <c r="G64" s="87">
        <v>43.321961214700003</v>
      </c>
      <c r="H64" s="86">
        <v>225</v>
      </c>
      <c r="I64" s="86">
        <v>1350</v>
      </c>
      <c r="J64" s="87">
        <v>225</v>
      </c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>
        <v>225</v>
      </c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>
        <v>225</v>
      </c>
      <c r="AV64" s="87"/>
      <c r="AW64" s="88" t="str">
        <f>HYPERLINK("http://www.openstreetmap.org/?mlat=33.4403&amp;mlon=43.322&amp;zoom=12#map=12/33.4403/43.322","Maplink1")</f>
        <v>Maplink1</v>
      </c>
      <c r="AX64" s="88" t="str">
        <f>HYPERLINK("https://www.google.iq/maps/search/+33.4403,43.322/@33.4403,43.322,14z?hl=en","Maplink2")</f>
        <v>Maplink2</v>
      </c>
      <c r="AY64" s="88" t="str">
        <f>HYPERLINK("http://www.bing.com/maps/?lvl=14&amp;sty=h&amp;cp=33.4403~43.322&amp;sp=point.33.4403_43.322","Maplink3")</f>
        <v>Maplink3</v>
      </c>
      <c r="AZ64" s="76"/>
    </row>
    <row r="65" spans="1:52" x14ac:dyDescent="0.25">
      <c r="A65" s="86">
        <v>24729</v>
      </c>
      <c r="B65" s="87" t="s">
        <v>12</v>
      </c>
      <c r="C65" s="87" t="s">
        <v>149</v>
      </c>
      <c r="D65" s="87" t="s">
        <v>159</v>
      </c>
      <c r="E65" s="87" t="s">
        <v>160</v>
      </c>
      <c r="F65" s="87">
        <v>33.386894397699997</v>
      </c>
      <c r="G65" s="87">
        <v>43.515030266300002</v>
      </c>
      <c r="H65" s="86">
        <v>12</v>
      </c>
      <c r="I65" s="86">
        <v>72</v>
      </c>
      <c r="J65" s="87">
        <v>12</v>
      </c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>
        <v>12</v>
      </c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>
        <v>12</v>
      </c>
      <c r="AS65" s="87"/>
      <c r="AT65" s="87"/>
      <c r="AU65" s="87"/>
      <c r="AV65" s="87"/>
      <c r="AW65" s="88" t="str">
        <f>HYPERLINK("http://www.openstreetmap.org/?mlat=33.3869&amp;mlon=43.515&amp;zoom=12#map=12/33.3869/43.515","Maplink1")</f>
        <v>Maplink1</v>
      </c>
      <c r="AX65" s="88" t="str">
        <f>HYPERLINK("https://www.google.iq/maps/search/+33.3869,43.515/@33.3869,43.515,14z?hl=en","Maplink2")</f>
        <v>Maplink2</v>
      </c>
      <c r="AY65" s="88" t="str">
        <f>HYPERLINK("http://www.bing.com/maps/?lvl=14&amp;sty=h&amp;cp=33.3869~43.515&amp;sp=point.33.3869_43.515","Maplink3")</f>
        <v>Maplink3</v>
      </c>
      <c r="AZ65" s="76"/>
    </row>
    <row r="66" spans="1:52" x14ac:dyDescent="0.25">
      <c r="A66" s="86">
        <v>21227</v>
      </c>
      <c r="B66" s="87" t="s">
        <v>12</v>
      </c>
      <c r="C66" s="87" t="s">
        <v>149</v>
      </c>
      <c r="D66" s="87" t="s">
        <v>161</v>
      </c>
      <c r="E66" s="87" t="s">
        <v>162</v>
      </c>
      <c r="F66" s="87">
        <v>33.4549516035</v>
      </c>
      <c r="G66" s="87">
        <v>43.2689756356</v>
      </c>
      <c r="H66" s="86">
        <v>75</v>
      </c>
      <c r="I66" s="86">
        <v>450</v>
      </c>
      <c r="J66" s="87">
        <v>75</v>
      </c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>
        <v>75</v>
      </c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>
        <v>75</v>
      </c>
      <c r="AV66" s="87"/>
      <c r="AW66" s="88" t="str">
        <f>HYPERLINK("http://www.openstreetmap.org/?mlat=33.455&amp;mlon=43.269&amp;zoom=12#map=12/33.455/43.269","Maplink1")</f>
        <v>Maplink1</v>
      </c>
      <c r="AX66" s="88" t="str">
        <f>HYPERLINK("https://www.google.iq/maps/search/+33.455,43.269/@33.455,43.269,14z?hl=en","Maplink2")</f>
        <v>Maplink2</v>
      </c>
      <c r="AY66" s="88" t="str">
        <f>HYPERLINK("http://www.bing.com/maps/?lvl=14&amp;sty=h&amp;cp=33.455~43.269&amp;sp=point.33.455_43.269","Maplink3")</f>
        <v>Maplink3</v>
      </c>
      <c r="AZ66" s="76"/>
    </row>
    <row r="67" spans="1:52" x14ac:dyDescent="0.25">
      <c r="A67" s="86">
        <v>33826</v>
      </c>
      <c r="B67" s="87" t="s">
        <v>12</v>
      </c>
      <c r="C67" s="87" t="s">
        <v>149</v>
      </c>
      <c r="D67" s="87" t="s">
        <v>5878</v>
      </c>
      <c r="E67" s="87" t="s">
        <v>5879</v>
      </c>
      <c r="F67" s="87">
        <v>33.038838499999997</v>
      </c>
      <c r="G67" s="87">
        <v>43.097082</v>
      </c>
      <c r="H67" s="86">
        <v>40</v>
      </c>
      <c r="I67" s="86">
        <v>240</v>
      </c>
      <c r="J67" s="87">
        <v>40</v>
      </c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>
        <v>40</v>
      </c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>
        <v>40</v>
      </c>
      <c r="AV67" s="87"/>
      <c r="AW67" s="88" t="str">
        <f>HYPERLINK("http://www.openstreetmap.org/?mlat=33.0388&amp;mlon=43.0971&amp;zoom=12#map=12/33.0388/43.0971","Maplink1")</f>
        <v>Maplink1</v>
      </c>
      <c r="AX67" s="88" t="str">
        <f>HYPERLINK("https://www.google.iq/maps/search/+33.0388,43.0971/@33.0388,43.0971,14z?hl=en","Maplink2")</f>
        <v>Maplink2</v>
      </c>
      <c r="AY67" s="88" t="str">
        <f>HYPERLINK("http://www.bing.com/maps/?lvl=14&amp;sty=h&amp;cp=33.0388~43.0971&amp;sp=point.33.0388_43.0971","Maplink3")</f>
        <v>Maplink3</v>
      </c>
      <c r="AZ67" s="76"/>
    </row>
    <row r="68" spans="1:52" x14ac:dyDescent="0.25">
      <c r="A68" s="86">
        <v>23853</v>
      </c>
      <c r="B68" s="87" t="s">
        <v>12</v>
      </c>
      <c r="C68" s="87" t="s">
        <v>149</v>
      </c>
      <c r="D68" s="87" t="s">
        <v>163</v>
      </c>
      <c r="E68" s="87" t="s">
        <v>164</v>
      </c>
      <c r="F68" s="87">
        <v>33.3781144027</v>
      </c>
      <c r="G68" s="87">
        <v>43.5952427621</v>
      </c>
      <c r="H68" s="86">
        <v>12</v>
      </c>
      <c r="I68" s="86">
        <v>72</v>
      </c>
      <c r="J68" s="87">
        <v>12</v>
      </c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>
        <v>12</v>
      </c>
      <c r="AI68" s="87"/>
      <c r="AJ68" s="87"/>
      <c r="AK68" s="87"/>
      <c r="AL68" s="87"/>
      <c r="AM68" s="87"/>
      <c r="AN68" s="87">
        <v>8</v>
      </c>
      <c r="AO68" s="87"/>
      <c r="AP68" s="87"/>
      <c r="AQ68" s="87"/>
      <c r="AR68" s="87"/>
      <c r="AS68" s="87"/>
      <c r="AT68" s="87"/>
      <c r="AU68" s="87">
        <v>4</v>
      </c>
      <c r="AV68" s="87"/>
      <c r="AW68" s="88" t="str">
        <f>HYPERLINK("http://www.openstreetmap.org/?mlat=33.3781&amp;mlon=43.5952&amp;zoom=12#map=12/33.3781/43.5952","Maplink1")</f>
        <v>Maplink1</v>
      </c>
      <c r="AX68" s="88" t="str">
        <f>HYPERLINK("https://www.google.iq/maps/search/+33.3781,43.5952/@33.3781,43.5952,14z?hl=en","Maplink2")</f>
        <v>Maplink2</v>
      </c>
      <c r="AY68" s="88" t="str">
        <f>HYPERLINK("http://www.bing.com/maps/?lvl=14&amp;sty=h&amp;cp=33.3781~43.5952&amp;sp=point.33.3781_43.5952","Maplink3")</f>
        <v>Maplink3</v>
      </c>
      <c r="AZ68" s="76"/>
    </row>
    <row r="69" spans="1:52" x14ac:dyDescent="0.25">
      <c r="A69" s="86">
        <v>21409</v>
      </c>
      <c r="B69" s="87" t="s">
        <v>12</v>
      </c>
      <c r="C69" s="87" t="s">
        <v>149</v>
      </c>
      <c r="D69" s="87" t="s">
        <v>165</v>
      </c>
      <c r="E69" s="87" t="s">
        <v>166</v>
      </c>
      <c r="F69" s="87">
        <v>33.369611332799998</v>
      </c>
      <c r="G69" s="87">
        <v>43.536014079799997</v>
      </c>
      <c r="H69" s="86">
        <v>15</v>
      </c>
      <c r="I69" s="86">
        <v>90</v>
      </c>
      <c r="J69" s="87">
        <v>15</v>
      </c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>
        <v>15</v>
      </c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>
        <v>15</v>
      </c>
      <c r="AR69" s="87"/>
      <c r="AS69" s="87"/>
      <c r="AT69" s="87"/>
      <c r="AU69" s="87"/>
      <c r="AV69" s="87"/>
      <c r="AW69" s="88" t="str">
        <f>HYPERLINK("http://www.openstreetmap.org/?mlat=33.3696&amp;mlon=43.536&amp;zoom=12#map=12/33.3696/43.536","Maplink1")</f>
        <v>Maplink1</v>
      </c>
      <c r="AX69" s="88" t="str">
        <f>HYPERLINK("https://www.google.iq/maps/search/+33.3696,43.536/@33.3696,43.536,14z?hl=en","Maplink2")</f>
        <v>Maplink2</v>
      </c>
      <c r="AY69" s="88" t="str">
        <f>HYPERLINK("http://www.bing.com/maps/?lvl=14&amp;sty=h&amp;cp=33.3696~43.536&amp;sp=point.33.3696_43.536","Maplink3")</f>
        <v>Maplink3</v>
      </c>
      <c r="AZ69" s="76"/>
    </row>
    <row r="70" spans="1:52" x14ac:dyDescent="0.25">
      <c r="A70" s="86">
        <v>23855</v>
      </c>
      <c r="B70" s="87" t="s">
        <v>12</v>
      </c>
      <c r="C70" s="87" t="s">
        <v>149</v>
      </c>
      <c r="D70" s="87" t="s">
        <v>167</v>
      </c>
      <c r="E70" s="87" t="s">
        <v>168</v>
      </c>
      <c r="F70" s="87">
        <v>33.386834389999997</v>
      </c>
      <c r="G70" s="87">
        <v>43.600099988799997</v>
      </c>
      <c r="H70" s="86">
        <v>15</v>
      </c>
      <c r="I70" s="86">
        <v>90</v>
      </c>
      <c r="J70" s="87">
        <v>15</v>
      </c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>
        <v>15</v>
      </c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>
        <v>15</v>
      </c>
      <c r="AO70" s="87"/>
      <c r="AP70" s="87"/>
      <c r="AQ70" s="87"/>
      <c r="AR70" s="87"/>
      <c r="AS70" s="87"/>
      <c r="AT70" s="87"/>
      <c r="AU70" s="87"/>
      <c r="AV70" s="87"/>
      <c r="AW70" s="88" t="str">
        <f>HYPERLINK("http://www.openstreetmap.org/?mlat=33.3868&amp;mlon=43.6001&amp;zoom=12#map=12/33.3868/43.6001","Maplink1")</f>
        <v>Maplink1</v>
      </c>
      <c r="AX70" s="88" t="str">
        <f>HYPERLINK("https://www.google.iq/maps/search/+33.3868,43.6001/@33.3868,43.6001,14z?hl=en","Maplink2")</f>
        <v>Maplink2</v>
      </c>
      <c r="AY70" s="88" t="str">
        <f>HYPERLINK("http://www.bing.com/maps/?lvl=14&amp;sty=h&amp;cp=33.3868~43.6001&amp;sp=point.33.3868_43.6001","Maplink3")</f>
        <v>Maplink3</v>
      </c>
      <c r="AZ70" s="76"/>
    </row>
    <row r="71" spans="1:52" x14ac:dyDescent="0.25">
      <c r="A71" s="86">
        <v>182</v>
      </c>
      <c r="B71" s="87" t="s">
        <v>12</v>
      </c>
      <c r="C71" s="87" t="s">
        <v>149</v>
      </c>
      <c r="D71" s="87" t="s">
        <v>169</v>
      </c>
      <c r="E71" s="87" t="s">
        <v>170</v>
      </c>
      <c r="F71" s="87">
        <v>33.412449686400002</v>
      </c>
      <c r="G71" s="87">
        <v>43.274909101600002</v>
      </c>
      <c r="H71" s="86">
        <v>85</v>
      </c>
      <c r="I71" s="86">
        <v>510</v>
      </c>
      <c r="J71" s="87">
        <v>85</v>
      </c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>
        <v>85</v>
      </c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>
        <v>85</v>
      </c>
      <c r="AV71" s="87"/>
      <c r="AW71" s="88" t="str">
        <f>HYPERLINK("http://www.openstreetmap.org/?mlat=33.4124&amp;mlon=43.2749&amp;zoom=12#map=12/33.4124/43.2749","Maplink1")</f>
        <v>Maplink1</v>
      </c>
      <c r="AX71" s="88" t="str">
        <f>HYPERLINK("https://www.google.iq/maps/search/+33.4124,43.2749/@33.4124,43.2749,14z?hl=en","Maplink2")</f>
        <v>Maplink2</v>
      </c>
      <c r="AY71" s="88" t="str">
        <f>HYPERLINK("http://www.bing.com/maps/?lvl=14&amp;sty=h&amp;cp=33.4124~43.2749&amp;sp=point.33.4124_43.2749","Maplink3")</f>
        <v>Maplink3</v>
      </c>
      <c r="AZ71" s="76"/>
    </row>
    <row r="72" spans="1:52" x14ac:dyDescent="0.25">
      <c r="A72" s="86">
        <v>20901</v>
      </c>
      <c r="B72" s="87" t="s">
        <v>12</v>
      </c>
      <c r="C72" s="87" t="s">
        <v>149</v>
      </c>
      <c r="D72" s="87" t="s">
        <v>171</v>
      </c>
      <c r="E72" s="87" t="s">
        <v>172</v>
      </c>
      <c r="F72" s="87">
        <v>33.369720890400004</v>
      </c>
      <c r="G72" s="87">
        <v>43.613667858399999</v>
      </c>
      <c r="H72" s="86">
        <v>4</v>
      </c>
      <c r="I72" s="86">
        <v>24</v>
      </c>
      <c r="J72" s="87">
        <v>4</v>
      </c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>
        <v>4</v>
      </c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>
        <v>4</v>
      </c>
      <c r="AR72" s="87"/>
      <c r="AS72" s="87"/>
      <c r="AT72" s="87"/>
      <c r="AU72" s="87"/>
      <c r="AV72" s="87"/>
      <c r="AW72" s="88" t="str">
        <f>HYPERLINK("http://www.openstreetmap.org/?mlat=33.3697&amp;mlon=43.6137&amp;zoom=12#map=12/33.3697/43.6137","Maplink1")</f>
        <v>Maplink1</v>
      </c>
      <c r="AX72" s="88" t="str">
        <f>HYPERLINK("https://www.google.iq/maps/search/+33.3697,43.6137/@33.3697,43.6137,14z?hl=en","Maplink2")</f>
        <v>Maplink2</v>
      </c>
      <c r="AY72" s="88" t="str">
        <f>HYPERLINK("http://www.bing.com/maps/?lvl=14&amp;sty=h&amp;cp=33.3697~43.6137&amp;sp=point.33.3697_43.6137","Maplink3")</f>
        <v>Maplink3</v>
      </c>
      <c r="AZ72" s="76"/>
    </row>
    <row r="73" spans="1:52" x14ac:dyDescent="0.25">
      <c r="A73" s="86">
        <v>184</v>
      </c>
      <c r="B73" s="87" t="s">
        <v>12</v>
      </c>
      <c r="C73" s="87" t="s">
        <v>149</v>
      </c>
      <c r="D73" s="87" t="s">
        <v>173</v>
      </c>
      <c r="E73" s="87" t="s">
        <v>174</v>
      </c>
      <c r="F73" s="87">
        <v>33.432006243399996</v>
      </c>
      <c r="G73" s="87">
        <v>43.274329485599999</v>
      </c>
      <c r="H73" s="86">
        <v>43</v>
      </c>
      <c r="I73" s="86">
        <v>258</v>
      </c>
      <c r="J73" s="87">
        <v>43</v>
      </c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>
        <v>43</v>
      </c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>
        <v>43</v>
      </c>
      <c r="AV73" s="87"/>
      <c r="AW73" s="88" t="str">
        <f>HYPERLINK("http://www.openstreetmap.org/?mlat=33.432&amp;mlon=43.2743&amp;zoom=12#map=12/33.432/43.2743","Maplink1")</f>
        <v>Maplink1</v>
      </c>
      <c r="AX73" s="88" t="str">
        <f>HYPERLINK("https://www.google.iq/maps/search/+33.432,43.2743/@33.432,43.2743,14z?hl=en","Maplink2")</f>
        <v>Maplink2</v>
      </c>
      <c r="AY73" s="88" t="str">
        <f>HYPERLINK("http://www.bing.com/maps/?lvl=14&amp;sty=h&amp;cp=33.432~43.2743&amp;sp=point.33.432_43.2743","Maplink3")</f>
        <v>Maplink3</v>
      </c>
      <c r="AZ73" s="76"/>
    </row>
    <row r="74" spans="1:52" x14ac:dyDescent="0.25">
      <c r="A74" s="86">
        <v>29475</v>
      </c>
      <c r="B74" s="87" t="s">
        <v>12</v>
      </c>
      <c r="C74" s="87" t="s">
        <v>149</v>
      </c>
      <c r="D74" s="87" t="s">
        <v>5824</v>
      </c>
      <c r="E74" s="87" t="s">
        <v>5825</v>
      </c>
      <c r="F74" s="87">
        <v>33.480319999999999</v>
      </c>
      <c r="G74" s="87">
        <v>43.155595628100002</v>
      </c>
      <c r="H74" s="86">
        <v>5</v>
      </c>
      <c r="I74" s="86">
        <v>30</v>
      </c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>
        <v>5</v>
      </c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>
        <v>5</v>
      </c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>
        <v>5</v>
      </c>
      <c r="AT74" s="87"/>
      <c r="AU74" s="87"/>
      <c r="AV74" s="87"/>
      <c r="AW74" s="88" t="str">
        <f>HYPERLINK("http://www.openstreetmap.org/?mlat=33.4803&amp;mlon=43.1556&amp;zoom=12#map=12/33.4803/43.1556","Maplink1")</f>
        <v>Maplink1</v>
      </c>
      <c r="AX74" s="88" t="str">
        <f>HYPERLINK("https://www.google.iq/maps/search/+33.4803,43.1556/@33.4803,43.1556,14z?hl=en","Maplink2")</f>
        <v>Maplink2</v>
      </c>
      <c r="AY74" s="88" t="str">
        <f>HYPERLINK("http://www.bing.com/maps/?lvl=14&amp;sty=h&amp;cp=33.4803~43.1556&amp;sp=point.33.4803_43.1556","Maplink3")</f>
        <v>Maplink3</v>
      </c>
      <c r="AZ74" s="76"/>
    </row>
    <row r="75" spans="1:52" x14ac:dyDescent="0.25">
      <c r="A75" s="86">
        <v>23856</v>
      </c>
      <c r="B75" s="87" t="s">
        <v>12</v>
      </c>
      <c r="C75" s="87" t="s">
        <v>149</v>
      </c>
      <c r="D75" s="87" t="s">
        <v>175</v>
      </c>
      <c r="E75" s="87" t="s">
        <v>176</v>
      </c>
      <c r="F75" s="87">
        <v>33.386854905900002</v>
      </c>
      <c r="G75" s="87">
        <v>43.605154227600003</v>
      </c>
      <c r="H75" s="86">
        <v>10</v>
      </c>
      <c r="I75" s="86">
        <v>60</v>
      </c>
      <c r="J75" s="87">
        <v>10</v>
      </c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>
        <v>10</v>
      </c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>
        <v>10</v>
      </c>
      <c r="AS75" s="87"/>
      <c r="AT75" s="87"/>
      <c r="AU75" s="87"/>
      <c r="AV75" s="87"/>
      <c r="AW75" s="88" t="str">
        <f>HYPERLINK("http://www.openstreetmap.org/?mlat=33.3869&amp;mlon=43.6052&amp;zoom=12#map=12/33.3869/43.6052","Maplink1")</f>
        <v>Maplink1</v>
      </c>
      <c r="AX75" s="88" t="str">
        <f>HYPERLINK("https://www.google.iq/maps/search/+33.3869,43.6052/@33.3869,43.6052,14z?hl=en","Maplink2")</f>
        <v>Maplink2</v>
      </c>
      <c r="AY75" s="88" t="str">
        <f>HYPERLINK("http://www.bing.com/maps/?lvl=14&amp;sty=h&amp;cp=33.3869~43.6052&amp;sp=point.33.3869_43.6052","Maplink3")</f>
        <v>Maplink3</v>
      </c>
      <c r="AZ75" s="76"/>
    </row>
    <row r="76" spans="1:52" x14ac:dyDescent="0.25">
      <c r="A76" s="86">
        <v>21767</v>
      </c>
      <c r="B76" s="87" t="s">
        <v>13</v>
      </c>
      <c r="C76" s="87" t="s">
        <v>177</v>
      </c>
      <c r="D76" s="87" t="s">
        <v>178</v>
      </c>
      <c r="E76" s="87" t="s">
        <v>179</v>
      </c>
      <c r="F76" s="87">
        <v>32.650923466999998</v>
      </c>
      <c r="G76" s="87">
        <v>44.412162983499996</v>
      </c>
      <c r="H76" s="86">
        <v>5</v>
      </c>
      <c r="I76" s="86">
        <v>30</v>
      </c>
      <c r="J76" s="87">
        <v>5</v>
      </c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>
        <v>5</v>
      </c>
      <c r="AI76" s="87"/>
      <c r="AJ76" s="87"/>
      <c r="AK76" s="87"/>
      <c r="AL76" s="87"/>
      <c r="AM76" s="87"/>
      <c r="AN76" s="87"/>
      <c r="AO76" s="87"/>
      <c r="AP76" s="87"/>
      <c r="AQ76" s="87"/>
      <c r="AR76" s="87">
        <v>5</v>
      </c>
      <c r="AS76" s="87"/>
      <c r="AT76" s="87"/>
      <c r="AU76" s="87"/>
      <c r="AV76" s="87"/>
      <c r="AW76" s="88" t="str">
        <f>HYPERLINK("http://www.openstreetmap.org/?mlat=32.6509&amp;mlon=44.4122&amp;zoom=12#map=12/32.6509/44.4122","Maplink1")</f>
        <v>Maplink1</v>
      </c>
      <c r="AX76" s="88" t="str">
        <f>HYPERLINK("https://www.google.iq/maps/search/+32.6509,44.4122/@32.6509,44.4122,14z?hl=en","Maplink2")</f>
        <v>Maplink2</v>
      </c>
      <c r="AY76" s="88" t="str">
        <f>HYPERLINK("http://www.bing.com/maps/?lvl=14&amp;sty=h&amp;cp=32.6509~44.4122&amp;sp=point.32.6509_44.4122","Maplink3")</f>
        <v>Maplink3</v>
      </c>
      <c r="AZ76" s="76"/>
    </row>
    <row r="77" spans="1:52" x14ac:dyDescent="0.25">
      <c r="A77" s="86">
        <v>29578</v>
      </c>
      <c r="B77" s="87" t="s">
        <v>13</v>
      </c>
      <c r="C77" s="87" t="s">
        <v>177</v>
      </c>
      <c r="D77" s="87" t="s">
        <v>180</v>
      </c>
      <c r="E77" s="87" t="s">
        <v>181</v>
      </c>
      <c r="F77" s="87">
        <v>32.748996095199999</v>
      </c>
      <c r="G77" s="87">
        <v>44.415838055899997</v>
      </c>
      <c r="H77" s="86">
        <v>3</v>
      </c>
      <c r="I77" s="86">
        <v>18</v>
      </c>
      <c r="J77" s="87"/>
      <c r="K77" s="87">
        <v>2</v>
      </c>
      <c r="L77" s="87">
        <v>1</v>
      </c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>
        <v>3</v>
      </c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>
        <v>2</v>
      </c>
      <c r="AP77" s="87">
        <v>1</v>
      </c>
      <c r="AQ77" s="87"/>
      <c r="AR77" s="87"/>
      <c r="AS77" s="87"/>
      <c r="AT77" s="87"/>
      <c r="AU77" s="87"/>
      <c r="AV77" s="87"/>
      <c r="AW77" s="88" t="str">
        <f>HYPERLINK("http://www.openstreetmap.org/?mlat=32.749&amp;mlon=44.4158&amp;zoom=12#map=12/32.749/44.4158","Maplink1")</f>
        <v>Maplink1</v>
      </c>
      <c r="AX77" s="88" t="str">
        <f>HYPERLINK("https://www.google.iq/maps/search/+32.749,44.4158/@32.749,44.4158,14z?hl=en","Maplink2")</f>
        <v>Maplink2</v>
      </c>
      <c r="AY77" s="88" t="str">
        <f>HYPERLINK("http://www.bing.com/maps/?lvl=14&amp;sty=h&amp;cp=32.749~44.4158&amp;sp=point.32.749_44.4158","Maplink3")</f>
        <v>Maplink3</v>
      </c>
      <c r="AZ77" s="76"/>
    </row>
    <row r="78" spans="1:52" x14ac:dyDescent="0.25">
      <c r="A78" s="86">
        <v>22372</v>
      </c>
      <c r="B78" s="87" t="s">
        <v>13</v>
      </c>
      <c r="C78" s="87" t="s">
        <v>177</v>
      </c>
      <c r="D78" s="87" t="s">
        <v>183</v>
      </c>
      <c r="E78" s="87" t="s">
        <v>184</v>
      </c>
      <c r="F78" s="87">
        <v>32.74512</v>
      </c>
      <c r="G78" s="87">
        <v>44.765889999999999</v>
      </c>
      <c r="H78" s="86">
        <v>2</v>
      </c>
      <c r="I78" s="86">
        <v>12</v>
      </c>
      <c r="J78" s="87"/>
      <c r="K78" s="87">
        <v>2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>
        <v>2</v>
      </c>
      <c r="AI78" s="87"/>
      <c r="AJ78" s="87"/>
      <c r="AK78" s="87"/>
      <c r="AL78" s="87"/>
      <c r="AM78" s="87"/>
      <c r="AN78" s="87">
        <v>1</v>
      </c>
      <c r="AO78" s="87">
        <v>1</v>
      </c>
      <c r="AP78" s="87"/>
      <c r="AQ78" s="87"/>
      <c r="AR78" s="87"/>
      <c r="AS78" s="87"/>
      <c r="AT78" s="87"/>
      <c r="AU78" s="87"/>
      <c r="AV78" s="87"/>
      <c r="AW78" s="88" t="str">
        <f>HYPERLINK("http://www.openstreetmap.org/?mlat=32.7451&amp;mlon=44.7659&amp;zoom=12#map=12/32.7451/44.7659","Maplink1")</f>
        <v>Maplink1</v>
      </c>
      <c r="AX78" s="88" t="str">
        <f>HYPERLINK("https://www.google.iq/maps/search/+32.7451,44.7659/@32.7451,44.7659,14z?hl=en","Maplink2")</f>
        <v>Maplink2</v>
      </c>
      <c r="AY78" s="88" t="str">
        <f>HYPERLINK("http://www.bing.com/maps/?lvl=14&amp;sty=h&amp;cp=32.7451~44.7659&amp;sp=point.32.7451_44.7659","Maplink3")</f>
        <v>Maplink3</v>
      </c>
      <c r="AZ78" s="76"/>
    </row>
    <row r="79" spans="1:52" x14ac:dyDescent="0.25">
      <c r="A79" s="86">
        <v>23941</v>
      </c>
      <c r="B79" s="87" t="s">
        <v>13</v>
      </c>
      <c r="C79" s="87" t="s">
        <v>177</v>
      </c>
      <c r="D79" s="87" t="s">
        <v>185</v>
      </c>
      <c r="E79" s="87" t="s">
        <v>186</v>
      </c>
      <c r="F79" s="87">
        <v>32.601641474899999</v>
      </c>
      <c r="G79" s="87">
        <v>44.369019999999999</v>
      </c>
      <c r="H79" s="86">
        <v>5</v>
      </c>
      <c r="I79" s="86">
        <v>30</v>
      </c>
      <c r="J79" s="87">
        <v>5</v>
      </c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>
        <v>5</v>
      </c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>
        <v>1</v>
      </c>
      <c r="AP79" s="87"/>
      <c r="AQ79" s="87"/>
      <c r="AR79" s="87">
        <v>4</v>
      </c>
      <c r="AS79" s="87"/>
      <c r="AT79" s="87"/>
      <c r="AU79" s="87"/>
      <c r="AV79" s="87"/>
      <c r="AW79" s="88" t="str">
        <f>HYPERLINK("http://www.openstreetmap.org/?mlat=32.6016&amp;mlon=44.369&amp;zoom=12#map=12/32.6016/44.369","Maplink1")</f>
        <v>Maplink1</v>
      </c>
      <c r="AX79" s="88" t="str">
        <f>HYPERLINK("https://www.google.iq/maps/search/+32.6016,44.369/@32.6016,44.369,14z?hl=en","Maplink2")</f>
        <v>Maplink2</v>
      </c>
      <c r="AY79" s="88" t="str">
        <f>HYPERLINK("http://www.bing.com/maps/?lvl=14&amp;sty=h&amp;cp=32.6016~44.369&amp;sp=point.32.6016_44.369","Maplink3")</f>
        <v>Maplink3</v>
      </c>
      <c r="AZ79" s="76"/>
    </row>
    <row r="80" spans="1:52" x14ac:dyDescent="0.25">
      <c r="A80" s="86">
        <v>25712</v>
      </c>
      <c r="B80" s="87" t="s">
        <v>13</v>
      </c>
      <c r="C80" s="87" t="s">
        <v>177</v>
      </c>
      <c r="D80" s="87" t="s">
        <v>187</v>
      </c>
      <c r="E80" s="87" t="s">
        <v>188</v>
      </c>
      <c r="F80" s="87">
        <v>32.657377970299997</v>
      </c>
      <c r="G80" s="87">
        <v>44.396320402699999</v>
      </c>
      <c r="H80" s="86">
        <v>3</v>
      </c>
      <c r="I80" s="86">
        <v>18</v>
      </c>
      <c r="J80" s="87"/>
      <c r="K80" s="87">
        <v>3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>
        <v>3</v>
      </c>
      <c r="AI80" s="87"/>
      <c r="AJ80" s="87"/>
      <c r="AK80" s="87"/>
      <c r="AL80" s="87"/>
      <c r="AM80" s="87"/>
      <c r="AN80" s="87"/>
      <c r="AO80" s="87">
        <v>3</v>
      </c>
      <c r="AP80" s="87"/>
      <c r="AQ80" s="87"/>
      <c r="AR80" s="87"/>
      <c r="AS80" s="87"/>
      <c r="AT80" s="87"/>
      <c r="AU80" s="87"/>
      <c r="AV80" s="87"/>
      <c r="AW80" s="88" t="str">
        <f>HYPERLINK("http://www.openstreetmap.org/?mlat=32.6574&amp;mlon=44.3963&amp;zoom=12#map=12/32.6574/44.3963","Maplink1")</f>
        <v>Maplink1</v>
      </c>
      <c r="AX80" s="88" t="str">
        <f>HYPERLINK("https://www.google.iq/maps/search/+32.6574,44.3963/@32.6574,44.3963,14z?hl=en","Maplink2")</f>
        <v>Maplink2</v>
      </c>
      <c r="AY80" s="88" t="str">
        <f>HYPERLINK("http://www.bing.com/maps/?lvl=14&amp;sty=h&amp;cp=32.6574~44.3963&amp;sp=point.32.6574_44.3963","Maplink3")</f>
        <v>Maplink3</v>
      </c>
      <c r="AZ80" s="76"/>
    </row>
    <row r="81" spans="1:52" x14ac:dyDescent="0.25">
      <c r="A81" s="86">
        <v>24517</v>
      </c>
      <c r="B81" s="87" t="s">
        <v>13</v>
      </c>
      <c r="C81" s="87" t="s">
        <v>177</v>
      </c>
      <c r="D81" s="87" t="s">
        <v>189</v>
      </c>
      <c r="E81" s="87" t="s">
        <v>190</v>
      </c>
      <c r="F81" s="87">
        <v>32.5348093793</v>
      </c>
      <c r="G81" s="87">
        <v>44.489051715800002</v>
      </c>
      <c r="H81" s="86">
        <v>1</v>
      </c>
      <c r="I81" s="86">
        <v>6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>
        <v>1</v>
      </c>
      <c r="W81" s="87"/>
      <c r="X81" s="87"/>
      <c r="Y81" s="87"/>
      <c r="Z81" s="87"/>
      <c r="AA81" s="87"/>
      <c r="AB81" s="87"/>
      <c r="AC81" s="87">
        <v>1</v>
      </c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>
        <v>1</v>
      </c>
      <c r="AP81" s="87"/>
      <c r="AQ81" s="87"/>
      <c r="AR81" s="87"/>
      <c r="AS81" s="87"/>
      <c r="AT81" s="87"/>
      <c r="AU81" s="87"/>
      <c r="AV81" s="87"/>
      <c r="AW81" s="88" t="str">
        <f>HYPERLINK("http://www.openstreetmap.org/?mlat=32.5348&amp;mlon=44.4891&amp;zoom=12#map=12/32.5348/44.4891","Maplink1")</f>
        <v>Maplink1</v>
      </c>
      <c r="AX81" s="88" t="str">
        <f>HYPERLINK("https://www.google.iq/maps/search/+32.5348,44.4891/@32.5348,44.4891,14z?hl=en","Maplink2")</f>
        <v>Maplink2</v>
      </c>
      <c r="AY81" s="88" t="str">
        <f>HYPERLINK("http://www.bing.com/maps/?lvl=14&amp;sty=h&amp;cp=32.5348~44.4891&amp;sp=point.32.5348_44.4891","Maplink3")</f>
        <v>Maplink3</v>
      </c>
      <c r="AZ81" s="76"/>
    </row>
    <row r="82" spans="1:52" x14ac:dyDescent="0.25">
      <c r="A82" s="86">
        <v>25617</v>
      </c>
      <c r="B82" s="87" t="s">
        <v>13</v>
      </c>
      <c r="C82" s="87" t="s">
        <v>177</v>
      </c>
      <c r="D82" s="87" t="s">
        <v>191</v>
      </c>
      <c r="E82" s="87" t="s">
        <v>192</v>
      </c>
      <c r="F82" s="87">
        <v>32.666289935000002</v>
      </c>
      <c r="G82" s="87">
        <v>44.396667829400002</v>
      </c>
      <c r="H82" s="86">
        <v>4</v>
      </c>
      <c r="I82" s="86">
        <v>24</v>
      </c>
      <c r="J82" s="87"/>
      <c r="K82" s="87">
        <v>4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>
        <v>4</v>
      </c>
      <c r="AI82" s="87"/>
      <c r="AJ82" s="87"/>
      <c r="AK82" s="87"/>
      <c r="AL82" s="87"/>
      <c r="AM82" s="87"/>
      <c r="AN82" s="87"/>
      <c r="AO82" s="87"/>
      <c r="AP82" s="87">
        <v>4</v>
      </c>
      <c r="AQ82" s="87"/>
      <c r="AR82" s="87"/>
      <c r="AS82" s="87"/>
      <c r="AT82" s="87"/>
      <c r="AU82" s="87"/>
      <c r="AV82" s="87"/>
      <c r="AW82" s="88" t="str">
        <f>HYPERLINK("http://www.openstreetmap.org/?mlat=32.6663&amp;mlon=44.3967&amp;zoom=12#map=12/32.6663/44.3967","Maplink1")</f>
        <v>Maplink1</v>
      </c>
      <c r="AX82" s="88" t="str">
        <f>HYPERLINK("https://www.google.iq/maps/search/+32.6663,44.3967/@32.6663,44.3967,14z?hl=en","Maplink2")</f>
        <v>Maplink2</v>
      </c>
      <c r="AY82" s="88" t="str">
        <f>HYPERLINK("http://www.bing.com/maps/?lvl=14&amp;sty=h&amp;cp=32.6663~44.3967&amp;sp=point.32.6663_44.3967","Maplink3")</f>
        <v>Maplink3</v>
      </c>
      <c r="AZ82" s="76"/>
    </row>
    <row r="83" spans="1:52" x14ac:dyDescent="0.25">
      <c r="A83" s="86">
        <v>24467</v>
      </c>
      <c r="B83" s="87" t="s">
        <v>13</v>
      </c>
      <c r="C83" s="87" t="s">
        <v>177</v>
      </c>
      <c r="D83" s="87" t="s">
        <v>193</v>
      </c>
      <c r="E83" s="87" t="s">
        <v>194</v>
      </c>
      <c r="F83" s="87">
        <v>32.575256597200003</v>
      </c>
      <c r="G83" s="87">
        <v>44.423584939000001</v>
      </c>
      <c r="H83" s="86">
        <v>4</v>
      </c>
      <c r="I83" s="86">
        <v>24</v>
      </c>
      <c r="J83" s="87">
        <v>3</v>
      </c>
      <c r="K83" s="87">
        <v>1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>
        <v>4</v>
      </c>
      <c r="AI83" s="87"/>
      <c r="AJ83" s="87"/>
      <c r="AK83" s="87"/>
      <c r="AL83" s="87"/>
      <c r="AM83" s="87"/>
      <c r="AN83" s="87"/>
      <c r="AO83" s="87">
        <v>3</v>
      </c>
      <c r="AP83" s="87">
        <v>1</v>
      </c>
      <c r="AQ83" s="87"/>
      <c r="AR83" s="87"/>
      <c r="AS83" s="87"/>
      <c r="AT83" s="87"/>
      <c r="AU83" s="87"/>
      <c r="AV83" s="87"/>
      <c r="AW83" s="88" t="str">
        <f>HYPERLINK("http://www.openstreetmap.org/?mlat=32.5753&amp;mlon=44.4236&amp;zoom=12#map=12/32.5753/44.4236","Maplink1")</f>
        <v>Maplink1</v>
      </c>
      <c r="AX83" s="88" t="str">
        <f>HYPERLINK("https://www.google.iq/maps/search/+32.5753,44.4236/@32.5753,44.4236,14z?hl=en","Maplink2")</f>
        <v>Maplink2</v>
      </c>
      <c r="AY83" s="88" t="str">
        <f>HYPERLINK("http://www.bing.com/maps/?lvl=14&amp;sty=h&amp;cp=32.5753~44.4236&amp;sp=point.32.5753_44.4236","Maplink3")</f>
        <v>Maplink3</v>
      </c>
      <c r="AZ83" s="76"/>
    </row>
    <row r="84" spans="1:52" x14ac:dyDescent="0.25">
      <c r="A84" s="86">
        <v>24465</v>
      </c>
      <c r="B84" s="87" t="s">
        <v>13</v>
      </c>
      <c r="C84" s="87" t="s">
        <v>177</v>
      </c>
      <c r="D84" s="87" t="s">
        <v>195</v>
      </c>
      <c r="E84" s="87" t="s">
        <v>196</v>
      </c>
      <c r="F84" s="87">
        <v>32.693007239799996</v>
      </c>
      <c r="G84" s="87">
        <v>44.409779999999998</v>
      </c>
      <c r="H84" s="86">
        <v>5</v>
      </c>
      <c r="I84" s="86">
        <v>30</v>
      </c>
      <c r="J84" s="87">
        <v>2</v>
      </c>
      <c r="K84" s="87">
        <v>2</v>
      </c>
      <c r="L84" s="87">
        <v>1</v>
      </c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>
        <v>5</v>
      </c>
      <c r="AI84" s="87"/>
      <c r="AJ84" s="87"/>
      <c r="AK84" s="87"/>
      <c r="AL84" s="87"/>
      <c r="AM84" s="87"/>
      <c r="AN84" s="87"/>
      <c r="AO84" s="87">
        <v>5</v>
      </c>
      <c r="AP84" s="87"/>
      <c r="AQ84" s="87"/>
      <c r="AR84" s="87"/>
      <c r="AS84" s="87"/>
      <c r="AT84" s="87"/>
      <c r="AU84" s="87"/>
      <c r="AV84" s="87"/>
      <c r="AW84" s="88" t="str">
        <f>HYPERLINK("http://www.openstreetmap.org/?mlat=32.693&amp;mlon=44.4098&amp;zoom=12#map=12/32.693/44.4098","Maplink1")</f>
        <v>Maplink1</v>
      </c>
      <c r="AX84" s="88" t="str">
        <f>HYPERLINK("https://www.google.iq/maps/search/+32.693,44.4098/@32.693,44.4098,14z?hl=en","Maplink2")</f>
        <v>Maplink2</v>
      </c>
      <c r="AY84" s="88" t="str">
        <f>HYPERLINK("http://www.bing.com/maps/?lvl=14&amp;sty=h&amp;cp=32.693~44.4098&amp;sp=point.32.693_44.4098","Maplink3")</f>
        <v>Maplink3</v>
      </c>
      <c r="AZ84" s="76"/>
    </row>
    <row r="85" spans="1:52" x14ac:dyDescent="0.25">
      <c r="A85" s="86">
        <v>23964</v>
      </c>
      <c r="B85" s="87" t="s">
        <v>13</v>
      </c>
      <c r="C85" s="87" t="s">
        <v>177</v>
      </c>
      <c r="D85" s="87" t="s">
        <v>197</v>
      </c>
      <c r="E85" s="87" t="s">
        <v>198</v>
      </c>
      <c r="F85" s="87">
        <v>32.625333557399998</v>
      </c>
      <c r="G85" s="87">
        <v>44.394739999999999</v>
      </c>
      <c r="H85" s="86">
        <v>5</v>
      </c>
      <c r="I85" s="86">
        <v>30</v>
      </c>
      <c r="J85" s="87">
        <v>5</v>
      </c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>
        <v>5</v>
      </c>
      <c r="AI85" s="87"/>
      <c r="AJ85" s="87"/>
      <c r="AK85" s="87"/>
      <c r="AL85" s="87"/>
      <c r="AM85" s="87"/>
      <c r="AN85" s="87">
        <v>5</v>
      </c>
      <c r="AO85" s="87"/>
      <c r="AP85" s="87"/>
      <c r="AQ85" s="87"/>
      <c r="AR85" s="87"/>
      <c r="AS85" s="87"/>
      <c r="AT85" s="87"/>
      <c r="AU85" s="87"/>
      <c r="AV85" s="87"/>
      <c r="AW85" s="88" t="str">
        <f>HYPERLINK("http://www.openstreetmap.org/?mlat=32.6253&amp;mlon=44.3947&amp;zoom=12#map=12/32.6253/44.3947","Maplink1")</f>
        <v>Maplink1</v>
      </c>
      <c r="AX85" s="88" t="str">
        <f>HYPERLINK("https://www.google.iq/maps/search/+32.6253,44.3947/@32.6253,44.3947,14z?hl=en","Maplink2")</f>
        <v>Maplink2</v>
      </c>
      <c r="AY85" s="88" t="str">
        <f>HYPERLINK("http://www.bing.com/maps/?lvl=14&amp;sty=h&amp;cp=32.6253~44.3947&amp;sp=point.32.6253_44.3947","Maplink3")</f>
        <v>Maplink3</v>
      </c>
      <c r="AZ85" s="76"/>
    </row>
    <row r="86" spans="1:52" x14ac:dyDescent="0.25">
      <c r="A86" s="86">
        <v>23942</v>
      </c>
      <c r="B86" s="87" t="s">
        <v>13</v>
      </c>
      <c r="C86" s="87" t="s">
        <v>177</v>
      </c>
      <c r="D86" s="87" t="s">
        <v>199</v>
      </c>
      <c r="E86" s="87" t="s">
        <v>200</v>
      </c>
      <c r="F86" s="87">
        <v>32.600876079700001</v>
      </c>
      <c r="G86" s="87">
        <v>44.411242462799997</v>
      </c>
      <c r="H86" s="86">
        <v>2</v>
      </c>
      <c r="I86" s="86">
        <v>12</v>
      </c>
      <c r="J86" s="87"/>
      <c r="K86" s="87">
        <v>2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>
        <v>2</v>
      </c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>
        <v>2</v>
      </c>
      <c r="AP86" s="87"/>
      <c r="AQ86" s="87"/>
      <c r="AR86" s="87"/>
      <c r="AS86" s="87"/>
      <c r="AT86" s="87"/>
      <c r="AU86" s="87"/>
      <c r="AV86" s="87"/>
      <c r="AW86" s="88" t="str">
        <f>HYPERLINK("http://www.openstreetmap.org/?mlat=32.6009&amp;mlon=44.4112&amp;zoom=12#map=12/32.6009/44.4112","Maplink1")</f>
        <v>Maplink1</v>
      </c>
      <c r="AX86" s="88" t="str">
        <f>HYPERLINK("https://www.google.iq/maps/search/+32.6009,44.4112/@32.6009,44.4112,14z?hl=en","Maplink2")</f>
        <v>Maplink2</v>
      </c>
      <c r="AY86" s="88" t="str">
        <f>HYPERLINK("http://www.bing.com/maps/?lvl=14&amp;sty=h&amp;cp=32.6009~44.4112&amp;sp=point.32.6009_44.4112","Maplink3")</f>
        <v>Maplink3</v>
      </c>
      <c r="AZ86" s="76"/>
    </row>
    <row r="87" spans="1:52" x14ac:dyDescent="0.25">
      <c r="A87" s="86">
        <v>7231</v>
      </c>
      <c r="B87" s="87" t="s">
        <v>13</v>
      </c>
      <c r="C87" s="87" t="s">
        <v>177</v>
      </c>
      <c r="D87" s="87" t="s">
        <v>201</v>
      </c>
      <c r="E87" s="87" t="s">
        <v>202</v>
      </c>
      <c r="F87" s="87">
        <v>32.5889927984</v>
      </c>
      <c r="G87" s="87">
        <v>44.426991493199999</v>
      </c>
      <c r="H87" s="86">
        <v>1</v>
      </c>
      <c r="I87" s="86">
        <v>6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>
        <v>1</v>
      </c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>
        <v>1</v>
      </c>
      <c r="AI87" s="87"/>
      <c r="AJ87" s="87"/>
      <c r="AK87" s="87"/>
      <c r="AL87" s="87"/>
      <c r="AM87" s="87"/>
      <c r="AN87" s="87"/>
      <c r="AO87" s="87">
        <v>1</v>
      </c>
      <c r="AP87" s="87"/>
      <c r="AQ87" s="87"/>
      <c r="AR87" s="87"/>
      <c r="AS87" s="87"/>
      <c r="AT87" s="87"/>
      <c r="AU87" s="87"/>
      <c r="AV87" s="87"/>
      <c r="AW87" s="88" t="str">
        <f>HYPERLINK("http://www.openstreetmap.org/?mlat=32.589&amp;mlon=44.427&amp;zoom=12#map=12/32.589/44.427","Maplink1")</f>
        <v>Maplink1</v>
      </c>
      <c r="AX87" s="88" t="str">
        <f>HYPERLINK("https://www.google.iq/maps/search/+32.589,44.427/@32.589,44.427,14z?hl=en","Maplink2")</f>
        <v>Maplink2</v>
      </c>
      <c r="AY87" s="88" t="str">
        <f>HYPERLINK("http://www.bing.com/maps/?lvl=14&amp;sty=h&amp;cp=32.589~44.427&amp;sp=point.32.589_44.427","Maplink3")</f>
        <v>Maplink3</v>
      </c>
      <c r="AZ87" s="76"/>
    </row>
    <row r="88" spans="1:52" x14ac:dyDescent="0.25">
      <c r="A88" s="86">
        <v>24960</v>
      </c>
      <c r="B88" s="87" t="s">
        <v>13</v>
      </c>
      <c r="C88" s="87" t="s">
        <v>177</v>
      </c>
      <c r="D88" s="87" t="s">
        <v>203</v>
      </c>
      <c r="E88" s="87" t="s">
        <v>204</v>
      </c>
      <c r="F88" s="87">
        <v>32.650204395400003</v>
      </c>
      <c r="G88" s="87">
        <v>44.412463997300001</v>
      </c>
      <c r="H88" s="86">
        <v>3</v>
      </c>
      <c r="I88" s="86">
        <v>18</v>
      </c>
      <c r="J88" s="87">
        <v>3</v>
      </c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>
        <v>3</v>
      </c>
      <c r="AI88" s="87"/>
      <c r="AJ88" s="87"/>
      <c r="AK88" s="87"/>
      <c r="AL88" s="87"/>
      <c r="AM88" s="87"/>
      <c r="AN88" s="87"/>
      <c r="AO88" s="87"/>
      <c r="AP88" s="87"/>
      <c r="AQ88" s="87">
        <v>3</v>
      </c>
      <c r="AR88" s="87"/>
      <c r="AS88" s="87"/>
      <c r="AT88" s="87"/>
      <c r="AU88" s="87"/>
      <c r="AV88" s="87"/>
      <c r="AW88" s="88" t="str">
        <f>HYPERLINK("http://www.openstreetmap.org/?mlat=32.6502&amp;mlon=44.4125&amp;zoom=12#map=12/32.6502/44.4125","Maplink1")</f>
        <v>Maplink1</v>
      </c>
      <c r="AX88" s="88" t="str">
        <f>HYPERLINK("https://www.google.iq/maps/search/+32.6502,44.4125/@32.6502,44.4125,14z?hl=en","Maplink2")</f>
        <v>Maplink2</v>
      </c>
      <c r="AY88" s="88" t="str">
        <f>HYPERLINK("http://www.bing.com/maps/?lvl=14&amp;sty=h&amp;cp=32.6502~44.4125&amp;sp=point.32.6502_44.4125","Maplink3")</f>
        <v>Maplink3</v>
      </c>
      <c r="AZ88" s="76"/>
    </row>
    <row r="89" spans="1:52" x14ac:dyDescent="0.25">
      <c r="A89" s="86">
        <v>28455</v>
      </c>
      <c r="B89" s="87" t="s">
        <v>13</v>
      </c>
      <c r="C89" s="87" t="s">
        <v>177</v>
      </c>
      <c r="D89" s="87" t="s">
        <v>205</v>
      </c>
      <c r="E89" s="87" t="s">
        <v>206</v>
      </c>
      <c r="F89" s="87">
        <v>32.650557805699997</v>
      </c>
      <c r="G89" s="87">
        <v>44.4092517323</v>
      </c>
      <c r="H89" s="86">
        <v>3</v>
      </c>
      <c r="I89" s="86">
        <v>18</v>
      </c>
      <c r="J89" s="87"/>
      <c r="K89" s="87">
        <v>2</v>
      </c>
      <c r="L89" s="87">
        <v>1</v>
      </c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>
        <v>3</v>
      </c>
      <c r="AI89" s="87"/>
      <c r="AJ89" s="87"/>
      <c r="AK89" s="87"/>
      <c r="AL89" s="87"/>
      <c r="AM89" s="87"/>
      <c r="AN89" s="87"/>
      <c r="AO89" s="87"/>
      <c r="AP89" s="87">
        <v>3</v>
      </c>
      <c r="AQ89" s="87"/>
      <c r="AR89" s="87"/>
      <c r="AS89" s="87"/>
      <c r="AT89" s="87"/>
      <c r="AU89" s="87"/>
      <c r="AV89" s="87"/>
      <c r="AW89" s="88" t="str">
        <f>HYPERLINK("http://www.openstreetmap.org/?mlat=32.6506&amp;mlon=44.4093&amp;zoom=12#map=12/32.6506/44.4093","Maplink1")</f>
        <v>Maplink1</v>
      </c>
      <c r="AX89" s="88" t="str">
        <f>HYPERLINK("https://www.google.iq/maps/search/+32.6506,44.4093/@32.6506,44.4093,14z?hl=en","Maplink2")</f>
        <v>Maplink2</v>
      </c>
      <c r="AY89" s="88" t="str">
        <f>HYPERLINK("http://www.bing.com/maps/?lvl=14&amp;sty=h&amp;cp=32.6506~44.4093&amp;sp=point.32.6506_44.4093","Maplink3")</f>
        <v>Maplink3</v>
      </c>
      <c r="AZ89" s="76"/>
    </row>
    <row r="90" spans="1:52" x14ac:dyDescent="0.25">
      <c r="A90" s="86">
        <v>29699</v>
      </c>
      <c r="B90" s="87" t="s">
        <v>13</v>
      </c>
      <c r="C90" s="87" t="s">
        <v>177</v>
      </c>
      <c r="D90" s="87" t="s">
        <v>207</v>
      </c>
      <c r="E90" s="87" t="s">
        <v>208</v>
      </c>
      <c r="F90" s="87">
        <v>32.665832903899997</v>
      </c>
      <c r="G90" s="87">
        <v>44.401357425999997</v>
      </c>
      <c r="H90" s="86">
        <v>2</v>
      </c>
      <c r="I90" s="86">
        <v>12</v>
      </c>
      <c r="J90" s="87">
        <v>2</v>
      </c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>
        <v>2</v>
      </c>
      <c r="AI90" s="87"/>
      <c r="AJ90" s="87"/>
      <c r="AK90" s="87"/>
      <c r="AL90" s="87"/>
      <c r="AM90" s="87"/>
      <c r="AN90" s="87"/>
      <c r="AO90" s="87"/>
      <c r="AP90" s="87"/>
      <c r="AQ90" s="87">
        <v>2</v>
      </c>
      <c r="AR90" s="87"/>
      <c r="AS90" s="87"/>
      <c r="AT90" s="87"/>
      <c r="AU90" s="87"/>
      <c r="AV90" s="87"/>
      <c r="AW90" s="88" t="str">
        <f>HYPERLINK("http://www.openstreetmap.org/?mlat=32.6658&amp;mlon=44.4014&amp;zoom=12#map=12/32.6658/44.4014","Maplink1")</f>
        <v>Maplink1</v>
      </c>
      <c r="AX90" s="88" t="str">
        <f>HYPERLINK("https://www.google.iq/maps/search/+32.6658,44.4014/@32.6658,44.4014,14z?hl=en","Maplink2")</f>
        <v>Maplink2</v>
      </c>
      <c r="AY90" s="88" t="str">
        <f>HYPERLINK("http://www.bing.com/maps/?lvl=14&amp;sty=h&amp;cp=32.6658~44.4014&amp;sp=point.32.6658_44.4014","Maplink3")</f>
        <v>Maplink3</v>
      </c>
      <c r="AZ90" s="76"/>
    </row>
    <row r="91" spans="1:52" x14ac:dyDescent="0.25">
      <c r="A91" s="86">
        <v>7169</v>
      </c>
      <c r="B91" s="87" t="s">
        <v>13</v>
      </c>
      <c r="C91" s="87" t="s">
        <v>177</v>
      </c>
      <c r="D91" s="87" t="s">
        <v>209</v>
      </c>
      <c r="E91" s="87" t="s">
        <v>210</v>
      </c>
      <c r="F91" s="87">
        <v>32.6490706604</v>
      </c>
      <c r="G91" s="87">
        <v>44.405983656300002</v>
      </c>
      <c r="H91" s="86">
        <v>3</v>
      </c>
      <c r="I91" s="86">
        <v>18</v>
      </c>
      <c r="J91" s="87">
        <v>3</v>
      </c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>
        <v>3</v>
      </c>
      <c r="AI91" s="87"/>
      <c r="AJ91" s="87"/>
      <c r="AK91" s="87"/>
      <c r="AL91" s="87"/>
      <c r="AM91" s="87"/>
      <c r="AN91" s="87"/>
      <c r="AO91" s="87"/>
      <c r="AP91" s="87"/>
      <c r="AQ91" s="87">
        <v>3</v>
      </c>
      <c r="AR91" s="87"/>
      <c r="AS91" s="87"/>
      <c r="AT91" s="87"/>
      <c r="AU91" s="87"/>
      <c r="AV91" s="87"/>
      <c r="AW91" s="88" t="str">
        <f>HYPERLINK("http://www.openstreetmap.org/?mlat=32.6491&amp;mlon=44.406&amp;zoom=12#map=12/32.6491/44.406","Maplink1")</f>
        <v>Maplink1</v>
      </c>
      <c r="AX91" s="88" t="str">
        <f>HYPERLINK("https://www.google.iq/maps/search/+32.6491,44.406/@32.6491,44.406,14z?hl=en","Maplink2")</f>
        <v>Maplink2</v>
      </c>
      <c r="AY91" s="88" t="str">
        <f>HYPERLINK("http://www.bing.com/maps/?lvl=14&amp;sty=h&amp;cp=32.6491~44.406&amp;sp=point.32.6491_44.406","Maplink3")</f>
        <v>Maplink3</v>
      </c>
      <c r="AZ91" s="76"/>
    </row>
    <row r="92" spans="1:52" x14ac:dyDescent="0.25">
      <c r="A92" s="86">
        <v>29509</v>
      </c>
      <c r="B92" s="87" t="s">
        <v>13</v>
      </c>
      <c r="C92" s="87" t="s">
        <v>177</v>
      </c>
      <c r="D92" s="87" t="s">
        <v>211</v>
      </c>
      <c r="E92" s="87" t="s">
        <v>212</v>
      </c>
      <c r="F92" s="87">
        <v>32.540567115499996</v>
      </c>
      <c r="G92" s="87">
        <v>44.547158853900001</v>
      </c>
      <c r="H92" s="86">
        <v>1</v>
      </c>
      <c r="I92" s="86">
        <v>6</v>
      </c>
      <c r="J92" s="87">
        <v>1</v>
      </c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>
        <v>1</v>
      </c>
      <c r="AI92" s="87"/>
      <c r="AJ92" s="87"/>
      <c r="AK92" s="87"/>
      <c r="AL92" s="87"/>
      <c r="AM92" s="87"/>
      <c r="AN92" s="87"/>
      <c r="AO92" s="87">
        <v>1</v>
      </c>
      <c r="AP92" s="87"/>
      <c r="AQ92" s="87"/>
      <c r="AR92" s="87"/>
      <c r="AS92" s="87"/>
      <c r="AT92" s="87"/>
      <c r="AU92" s="87"/>
      <c r="AV92" s="87"/>
      <c r="AW92" s="88" t="str">
        <f>HYPERLINK("http://www.openstreetmap.org/?mlat=32.5406&amp;mlon=44.5472&amp;zoom=12#map=12/32.5406/44.5472","Maplink1")</f>
        <v>Maplink1</v>
      </c>
      <c r="AX92" s="88" t="str">
        <f>HYPERLINK("https://www.google.iq/maps/search/+32.5406,44.5472/@32.5406,44.5472,14z?hl=en","Maplink2")</f>
        <v>Maplink2</v>
      </c>
      <c r="AY92" s="88" t="str">
        <f>HYPERLINK("http://www.bing.com/maps/?lvl=14&amp;sty=h&amp;cp=32.5406~44.5472&amp;sp=point.32.5406_44.5472","Maplink3")</f>
        <v>Maplink3</v>
      </c>
      <c r="AZ92" s="76"/>
    </row>
    <row r="93" spans="1:52" x14ac:dyDescent="0.25">
      <c r="A93" s="86">
        <v>20927</v>
      </c>
      <c r="B93" s="87" t="s">
        <v>13</v>
      </c>
      <c r="C93" s="87" t="s">
        <v>177</v>
      </c>
      <c r="D93" s="87" t="s">
        <v>213</v>
      </c>
      <c r="E93" s="87" t="s">
        <v>214</v>
      </c>
      <c r="F93" s="87">
        <v>32.6651003144</v>
      </c>
      <c r="G93" s="87">
        <v>44.405847427799998</v>
      </c>
      <c r="H93" s="86">
        <v>4</v>
      </c>
      <c r="I93" s="86">
        <v>24</v>
      </c>
      <c r="J93" s="87">
        <v>1</v>
      </c>
      <c r="K93" s="87">
        <v>3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>
        <v>4</v>
      </c>
      <c r="AI93" s="87"/>
      <c r="AJ93" s="87"/>
      <c r="AK93" s="87"/>
      <c r="AL93" s="87"/>
      <c r="AM93" s="87"/>
      <c r="AN93" s="87"/>
      <c r="AO93" s="87"/>
      <c r="AP93" s="87">
        <v>3</v>
      </c>
      <c r="AQ93" s="87">
        <v>1</v>
      </c>
      <c r="AR93" s="87"/>
      <c r="AS93" s="87"/>
      <c r="AT93" s="87"/>
      <c r="AU93" s="87"/>
      <c r="AV93" s="87"/>
      <c r="AW93" s="88" t="str">
        <f>HYPERLINK("http://www.openstreetmap.org/?mlat=32.6651&amp;mlon=44.4058&amp;zoom=12#map=12/32.6651/44.4058","Maplink1")</f>
        <v>Maplink1</v>
      </c>
      <c r="AX93" s="88" t="str">
        <f>HYPERLINK("https://www.google.iq/maps/search/+32.6651,44.4058/@32.6651,44.4058,14z?hl=en","Maplink2")</f>
        <v>Maplink2</v>
      </c>
      <c r="AY93" s="88" t="str">
        <f>HYPERLINK("http://www.bing.com/maps/?lvl=14&amp;sty=h&amp;cp=32.6651~44.4058&amp;sp=point.32.6651_44.4058","Maplink3")</f>
        <v>Maplink3</v>
      </c>
      <c r="AZ93" s="76"/>
    </row>
    <row r="94" spans="1:52" x14ac:dyDescent="0.25">
      <c r="A94" s="86">
        <v>7202</v>
      </c>
      <c r="B94" s="87" t="s">
        <v>13</v>
      </c>
      <c r="C94" s="87" t="s">
        <v>177</v>
      </c>
      <c r="D94" s="87" t="s">
        <v>215</v>
      </c>
      <c r="E94" s="87" t="s">
        <v>61</v>
      </c>
      <c r="F94" s="87">
        <v>32.652711636299998</v>
      </c>
      <c r="G94" s="87">
        <v>44.408554607900001</v>
      </c>
      <c r="H94" s="86">
        <v>3</v>
      </c>
      <c r="I94" s="86">
        <v>18</v>
      </c>
      <c r="J94" s="87">
        <v>1</v>
      </c>
      <c r="K94" s="87"/>
      <c r="L94" s="87">
        <v>2</v>
      </c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>
        <v>3</v>
      </c>
      <c r="AI94" s="87"/>
      <c r="AJ94" s="87"/>
      <c r="AK94" s="87"/>
      <c r="AL94" s="87"/>
      <c r="AM94" s="87"/>
      <c r="AN94" s="87"/>
      <c r="AO94" s="87">
        <v>2</v>
      </c>
      <c r="AP94" s="87"/>
      <c r="AQ94" s="87">
        <v>1</v>
      </c>
      <c r="AR94" s="87"/>
      <c r="AS94" s="87"/>
      <c r="AT94" s="87"/>
      <c r="AU94" s="87"/>
      <c r="AV94" s="87"/>
      <c r="AW94" s="88" t="str">
        <f>HYPERLINK("http://www.openstreetmap.org/?mlat=32.6527&amp;mlon=44.4086&amp;zoom=12#map=12/32.6527/44.4086","Maplink1")</f>
        <v>Maplink1</v>
      </c>
      <c r="AX94" s="88" t="str">
        <f>HYPERLINK("https://www.google.iq/maps/search/+32.6527,44.4086/@32.6527,44.4086,14z?hl=en","Maplink2")</f>
        <v>Maplink2</v>
      </c>
      <c r="AY94" s="88" t="str">
        <f>HYPERLINK("http://www.bing.com/maps/?lvl=14&amp;sty=h&amp;cp=32.6527~44.4086&amp;sp=point.32.6527_44.4086","Maplink3")</f>
        <v>Maplink3</v>
      </c>
      <c r="AZ94" s="76"/>
    </row>
    <row r="95" spans="1:52" x14ac:dyDescent="0.25">
      <c r="A95" s="86">
        <v>26094</v>
      </c>
      <c r="B95" s="87" t="s">
        <v>13</v>
      </c>
      <c r="C95" s="87" t="s">
        <v>177</v>
      </c>
      <c r="D95" s="87" t="s">
        <v>216</v>
      </c>
      <c r="E95" s="87" t="s">
        <v>217</v>
      </c>
      <c r="F95" s="87">
        <v>32.661644688300001</v>
      </c>
      <c r="G95" s="87">
        <v>44.400338834999999</v>
      </c>
      <c r="H95" s="86">
        <v>5</v>
      </c>
      <c r="I95" s="86">
        <v>30</v>
      </c>
      <c r="J95" s="87">
        <v>5</v>
      </c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>
        <v>5</v>
      </c>
      <c r="AI95" s="87"/>
      <c r="AJ95" s="87"/>
      <c r="AK95" s="87"/>
      <c r="AL95" s="87"/>
      <c r="AM95" s="87"/>
      <c r="AN95" s="87"/>
      <c r="AO95" s="87"/>
      <c r="AP95" s="87"/>
      <c r="AQ95" s="87">
        <v>5</v>
      </c>
      <c r="AR95" s="87"/>
      <c r="AS95" s="87"/>
      <c r="AT95" s="87"/>
      <c r="AU95" s="87"/>
      <c r="AV95" s="87"/>
      <c r="AW95" s="88" t="str">
        <f>HYPERLINK("http://www.openstreetmap.org/?mlat=32.6616&amp;mlon=44.4003&amp;zoom=12#map=12/32.6616/44.4003","Maplink1")</f>
        <v>Maplink1</v>
      </c>
      <c r="AX95" s="88" t="str">
        <f>HYPERLINK("https://www.google.iq/maps/search/+32.6616,44.4003/@32.6616,44.4003,14z?hl=en","Maplink2")</f>
        <v>Maplink2</v>
      </c>
      <c r="AY95" s="88" t="str">
        <f>HYPERLINK("http://www.bing.com/maps/?lvl=14&amp;sty=h&amp;cp=32.6616~44.4003&amp;sp=point.32.6616_44.4003","Maplink3")</f>
        <v>Maplink3</v>
      </c>
      <c r="AZ95" s="76"/>
    </row>
    <row r="96" spans="1:52" x14ac:dyDescent="0.25">
      <c r="A96" s="86">
        <v>29511</v>
      </c>
      <c r="B96" s="87" t="s">
        <v>13</v>
      </c>
      <c r="C96" s="87" t="s">
        <v>177</v>
      </c>
      <c r="D96" s="87" t="s">
        <v>218</v>
      </c>
      <c r="E96" s="87" t="s">
        <v>219</v>
      </c>
      <c r="F96" s="87">
        <v>32.542203122799997</v>
      </c>
      <c r="G96" s="87">
        <v>44.549807563199998</v>
      </c>
      <c r="H96" s="86">
        <v>3</v>
      </c>
      <c r="I96" s="86">
        <v>18</v>
      </c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>
        <v>3</v>
      </c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>
        <v>3</v>
      </c>
      <c r="AI96" s="87"/>
      <c r="AJ96" s="87"/>
      <c r="AK96" s="87"/>
      <c r="AL96" s="87"/>
      <c r="AM96" s="87"/>
      <c r="AN96" s="87"/>
      <c r="AO96" s="87">
        <v>3</v>
      </c>
      <c r="AP96" s="87"/>
      <c r="AQ96" s="87"/>
      <c r="AR96" s="87"/>
      <c r="AS96" s="87"/>
      <c r="AT96" s="87"/>
      <c r="AU96" s="87"/>
      <c r="AV96" s="87"/>
      <c r="AW96" s="88" t="str">
        <f>HYPERLINK("http://www.openstreetmap.org/?mlat=32.5422&amp;mlon=44.5498&amp;zoom=12#map=12/32.5422/44.5498","Maplink1")</f>
        <v>Maplink1</v>
      </c>
      <c r="AX96" s="88" t="str">
        <f>HYPERLINK("https://www.google.iq/maps/search/+32.5422,44.5498/@32.5422,44.5498,14z?hl=en","Maplink2")</f>
        <v>Maplink2</v>
      </c>
      <c r="AY96" s="88" t="str">
        <f>HYPERLINK("http://www.bing.com/maps/?lvl=14&amp;sty=h&amp;cp=32.5422~44.5498&amp;sp=point.32.5422_44.5498","Maplink3")</f>
        <v>Maplink3</v>
      </c>
      <c r="AZ96" s="76"/>
    </row>
    <row r="97" spans="1:52" x14ac:dyDescent="0.25">
      <c r="A97" s="86">
        <v>29510</v>
      </c>
      <c r="B97" s="87" t="s">
        <v>13</v>
      </c>
      <c r="C97" s="87" t="s">
        <v>177</v>
      </c>
      <c r="D97" s="87" t="s">
        <v>220</v>
      </c>
      <c r="E97" s="87" t="s">
        <v>221</v>
      </c>
      <c r="F97" s="87">
        <v>32.541051979800002</v>
      </c>
      <c r="G97" s="87">
        <v>44.544099920199997</v>
      </c>
      <c r="H97" s="86">
        <v>3</v>
      </c>
      <c r="I97" s="86">
        <v>18</v>
      </c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>
        <v>3</v>
      </c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>
        <v>3</v>
      </c>
      <c r="AI97" s="87"/>
      <c r="AJ97" s="87"/>
      <c r="AK97" s="87"/>
      <c r="AL97" s="87"/>
      <c r="AM97" s="87"/>
      <c r="AN97" s="87"/>
      <c r="AO97" s="87">
        <v>2</v>
      </c>
      <c r="AP97" s="87"/>
      <c r="AQ97" s="87"/>
      <c r="AR97" s="87"/>
      <c r="AS97" s="87"/>
      <c r="AT97" s="87">
        <v>1</v>
      </c>
      <c r="AU97" s="87"/>
      <c r="AV97" s="87"/>
      <c r="AW97" s="88" t="str">
        <f>HYPERLINK("http://www.openstreetmap.org/?mlat=32.5411&amp;mlon=44.5441&amp;zoom=12#map=12/32.5411/44.5441","Maplink1")</f>
        <v>Maplink1</v>
      </c>
      <c r="AX97" s="88" t="str">
        <f>HYPERLINK("https://www.google.iq/maps/search/+32.5411,44.5441/@32.5411,44.5441,14z?hl=en","Maplink2")</f>
        <v>Maplink2</v>
      </c>
      <c r="AY97" s="88" t="str">
        <f>HYPERLINK("http://www.bing.com/maps/?lvl=14&amp;sty=h&amp;cp=32.5411~44.5441&amp;sp=point.32.5411_44.5441","Maplink3")</f>
        <v>Maplink3</v>
      </c>
      <c r="AZ97" s="76"/>
    </row>
    <row r="98" spans="1:52" x14ac:dyDescent="0.25">
      <c r="A98" s="86">
        <v>29518</v>
      </c>
      <c r="B98" s="87" t="s">
        <v>13</v>
      </c>
      <c r="C98" s="87" t="s">
        <v>177</v>
      </c>
      <c r="D98" s="87" t="s">
        <v>222</v>
      </c>
      <c r="E98" s="87" t="s">
        <v>223</v>
      </c>
      <c r="F98" s="87">
        <v>32.542059007100001</v>
      </c>
      <c r="G98" s="87">
        <v>44.549499189999999</v>
      </c>
      <c r="H98" s="86">
        <v>2</v>
      </c>
      <c r="I98" s="86">
        <v>12</v>
      </c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>
        <v>2</v>
      </c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>
        <v>2</v>
      </c>
      <c r="AI98" s="87"/>
      <c r="AJ98" s="87"/>
      <c r="AK98" s="87"/>
      <c r="AL98" s="87"/>
      <c r="AM98" s="87"/>
      <c r="AN98" s="87"/>
      <c r="AO98" s="87">
        <v>2</v>
      </c>
      <c r="AP98" s="87"/>
      <c r="AQ98" s="87"/>
      <c r="AR98" s="87"/>
      <c r="AS98" s="87"/>
      <c r="AT98" s="87"/>
      <c r="AU98" s="87"/>
      <c r="AV98" s="87"/>
      <c r="AW98" s="88" t="str">
        <f>HYPERLINK("http://www.openstreetmap.org/?mlat=32.5421&amp;mlon=44.5495&amp;zoom=12#map=12/32.5421/44.5495","Maplink1")</f>
        <v>Maplink1</v>
      </c>
      <c r="AX98" s="88" t="str">
        <f>HYPERLINK("https://www.google.iq/maps/search/+32.5421,44.5495/@32.5421,44.5495,14z?hl=en","Maplink2")</f>
        <v>Maplink2</v>
      </c>
      <c r="AY98" s="88" t="str">
        <f>HYPERLINK("http://www.bing.com/maps/?lvl=14&amp;sty=h&amp;cp=32.5421~44.5495&amp;sp=point.32.5421_44.5495","Maplink3")</f>
        <v>Maplink3</v>
      </c>
      <c r="AZ98" s="76"/>
    </row>
    <row r="99" spans="1:52" x14ac:dyDescent="0.25">
      <c r="A99" s="86">
        <v>26096</v>
      </c>
      <c r="B99" s="87" t="s">
        <v>13</v>
      </c>
      <c r="C99" s="87" t="s">
        <v>177</v>
      </c>
      <c r="D99" s="87" t="s">
        <v>224</v>
      </c>
      <c r="E99" s="87" t="s">
        <v>225</v>
      </c>
      <c r="F99" s="87">
        <v>32.647753963100001</v>
      </c>
      <c r="G99" s="87">
        <v>44.4086858828</v>
      </c>
      <c r="H99" s="86">
        <v>2</v>
      </c>
      <c r="I99" s="86">
        <v>12</v>
      </c>
      <c r="J99" s="87">
        <v>2</v>
      </c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>
        <v>2</v>
      </c>
      <c r="AI99" s="87"/>
      <c r="AJ99" s="87"/>
      <c r="AK99" s="87"/>
      <c r="AL99" s="87"/>
      <c r="AM99" s="87"/>
      <c r="AN99" s="87"/>
      <c r="AO99" s="87"/>
      <c r="AP99" s="87"/>
      <c r="AQ99" s="87"/>
      <c r="AR99" s="87">
        <v>2</v>
      </c>
      <c r="AS99" s="87"/>
      <c r="AT99" s="87"/>
      <c r="AU99" s="87"/>
      <c r="AV99" s="87"/>
      <c r="AW99" s="88" t="str">
        <f>HYPERLINK("http://www.openstreetmap.org/?mlat=32.6478&amp;mlon=44.4087&amp;zoom=12#map=12/32.6478/44.4087","Maplink1")</f>
        <v>Maplink1</v>
      </c>
      <c r="AX99" s="88" t="str">
        <f>HYPERLINK("https://www.google.iq/maps/search/+32.6478,44.4087/@32.6478,44.4087,14z?hl=en","Maplink2")</f>
        <v>Maplink2</v>
      </c>
      <c r="AY99" s="88" t="str">
        <f>HYPERLINK("http://www.bing.com/maps/?lvl=14&amp;sty=h&amp;cp=32.6478~44.4087&amp;sp=point.32.6478_44.4087","Maplink3")</f>
        <v>Maplink3</v>
      </c>
      <c r="AZ99" s="76"/>
    </row>
    <row r="100" spans="1:52" x14ac:dyDescent="0.25">
      <c r="A100" s="86">
        <v>7128</v>
      </c>
      <c r="B100" s="87" t="s">
        <v>13</v>
      </c>
      <c r="C100" s="87" t="s">
        <v>226</v>
      </c>
      <c r="D100" s="87" t="s">
        <v>227</v>
      </c>
      <c r="E100" s="87" t="s">
        <v>228</v>
      </c>
      <c r="F100" s="87">
        <v>32.805263613699999</v>
      </c>
      <c r="G100" s="87">
        <v>44.302759999999999</v>
      </c>
      <c r="H100" s="86">
        <v>95</v>
      </c>
      <c r="I100" s="86">
        <v>570</v>
      </c>
      <c r="J100" s="87"/>
      <c r="K100" s="87">
        <v>95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>
        <v>95</v>
      </c>
      <c r="AI100" s="87"/>
      <c r="AJ100" s="87"/>
      <c r="AK100" s="87"/>
      <c r="AL100" s="87"/>
      <c r="AM100" s="87"/>
      <c r="AN100" s="87"/>
      <c r="AO100" s="87">
        <v>65</v>
      </c>
      <c r="AP100" s="87"/>
      <c r="AQ100" s="87">
        <v>30</v>
      </c>
      <c r="AR100" s="87"/>
      <c r="AS100" s="87"/>
      <c r="AT100" s="87"/>
      <c r="AU100" s="87"/>
      <c r="AV100" s="87"/>
      <c r="AW100" s="88" t="str">
        <f>HYPERLINK("http://www.openstreetmap.org/?mlat=32.8053&amp;mlon=44.3028&amp;zoom=12#map=12/32.8053/44.3028","Maplink1")</f>
        <v>Maplink1</v>
      </c>
      <c r="AX100" s="88" t="str">
        <f>HYPERLINK("https://www.google.iq/maps/search/+32.8053,44.3028/@32.8053,44.3028,14z?hl=en","Maplink2")</f>
        <v>Maplink2</v>
      </c>
      <c r="AY100" s="88" t="str">
        <f>HYPERLINK("http://www.bing.com/maps/?lvl=14&amp;sty=h&amp;cp=32.8053~44.3028&amp;sp=point.32.8053_44.3028","Maplink3")</f>
        <v>Maplink3</v>
      </c>
      <c r="AZ100" s="76"/>
    </row>
    <row r="101" spans="1:52" x14ac:dyDescent="0.25">
      <c r="A101" s="86">
        <v>24957</v>
      </c>
      <c r="B101" s="87" t="s">
        <v>13</v>
      </c>
      <c r="C101" s="87" t="s">
        <v>226</v>
      </c>
      <c r="D101" s="87" t="s">
        <v>229</v>
      </c>
      <c r="E101" s="87" t="s">
        <v>230</v>
      </c>
      <c r="F101" s="87">
        <v>32.804897657600002</v>
      </c>
      <c r="G101" s="87">
        <v>44.2690663423</v>
      </c>
      <c r="H101" s="86">
        <v>45</v>
      </c>
      <c r="I101" s="86">
        <v>270</v>
      </c>
      <c r="J101" s="87"/>
      <c r="K101" s="87">
        <v>45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>
        <v>45</v>
      </c>
      <c r="AI101" s="87"/>
      <c r="AJ101" s="87"/>
      <c r="AK101" s="87"/>
      <c r="AL101" s="87"/>
      <c r="AM101" s="87"/>
      <c r="AN101" s="87"/>
      <c r="AO101" s="87">
        <v>39</v>
      </c>
      <c r="AP101" s="87">
        <v>6</v>
      </c>
      <c r="AQ101" s="87"/>
      <c r="AR101" s="87"/>
      <c r="AS101" s="87"/>
      <c r="AT101" s="87"/>
      <c r="AU101" s="87"/>
      <c r="AV101" s="87"/>
      <c r="AW101" s="88" t="str">
        <f>HYPERLINK("http://www.openstreetmap.org/?mlat=32.8049&amp;mlon=44.2691&amp;zoom=12#map=12/32.8049/44.2691","Maplink1")</f>
        <v>Maplink1</v>
      </c>
      <c r="AX101" s="88" t="str">
        <f>HYPERLINK("https://www.google.iq/maps/search/+32.8049,44.2691/@32.8049,44.2691,14z?hl=en","Maplink2")</f>
        <v>Maplink2</v>
      </c>
      <c r="AY101" s="88" t="str">
        <f>HYPERLINK("http://www.bing.com/maps/?lvl=14&amp;sty=h&amp;cp=32.8049~44.2691&amp;sp=point.32.8049_44.2691","Maplink3")</f>
        <v>Maplink3</v>
      </c>
      <c r="AZ101" s="76"/>
    </row>
    <row r="102" spans="1:52" x14ac:dyDescent="0.25">
      <c r="A102" s="86">
        <v>28454</v>
      </c>
      <c r="B102" s="87" t="s">
        <v>13</v>
      </c>
      <c r="C102" s="87" t="s">
        <v>226</v>
      </c>
      <c r="D102" s="87" t="s">
        <v>231</v>
      </c>
      <c r="E102" s="87" t="s">
        <v>232</v>
      </c>
      <c r="F102" s="87">
        <v>32.791018652699996</v>
      </c>
      <c r="G102" s="87">
        <v>44.294883450699999</v>
      </c>
      <c r="H102" s="86">
        <v>8</v>
      </c>
      <c r="I102" s="86">
        <v>48</v>
      </c>
      <c r="J102" s="87"/>
      <c r="K102" s="87">
        <v>3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>
        <v>5</v>
      </c>
      <c r="W102" s="87"/>
      <c r="X102" s="87"/>
      <c r="Y102" s="87"/>
      <c r="Z102" s="87"/>
      <c r="AA102" s="87"/>
      <c r="AB102" s="87"/>
      <c r="AC102" s="87">
        <v>8</v>
      </c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>
        <v>5</v>
      </c>
      <c r="AP102" s="87">
        <v>3</v>
      </c>
      <c r="AQ102" s="87"/>
      <c r="AR102" s="87"/>
      <c r="AS102" s="87"/>
      <c r="AT102" s="87"/>
      <c r="AU102" s="87"/>
      <c r="AV102" s="87"/>
      <c r="AW102" s="88" t="str">
        <f>HYPERLINK("http://www.openstreetmap.org/?mlat=32.791&amp;mlon=44.2949&amp;zoom=12#map=12/32.791/44.2949","Maplink1")</f>
        <v>Maplink1</v>
      </c>
      <c r="AX102" s="88" t="str">
        <f>HYPERLINK("https://www.google.iq/maps/search/+32.791,44.2949/@32.791,44.2949,14z?hl=en","Maplink2")</f>
        <v>Maplink2</v>
      </c>
      <c r="AY102" s="88" t="str">
        <f>HYPERLINK("http://www.bing.com/maps/?lvl=14&amp;sty=h&amp;cp=32.791~44.2949&amp;sp=point.32.791_44.2949","Maplink3")</f>
        <v>Maplink3</v>
      </c>
      <c r="AZ102" s="76"/>
    </row>
    <row r="103" spans="1:52" x14ac:dyDescent="0.25">
      <c r="A103" s="86">
        <v>24168</v>
      </c>
      <c r="B103" s="87" t="s">
        <v>13</v>
      </c>
      <c r="C103" s="87" t="s">
        <v>226</v>
      </c>
      <c r="D103" s="87" t="s">
        <v>233</v>
      </c>
      <c r="E103" s="87" t="s">
        <v>234</v>
      </c>
      <c r="F103" s="87">
        <v>32.783976038299997</v>
      </c>
      <c r="G103" s="87">
        <v>44.266800291099997</v>
      </c>
      <c r="H103" s="86">
        <v>65</v>
      </c>
      <c r="I103" s="86">
        <v>390</v>
      </c>
      <c r="J103" s="87">
        <v>5</v>
      </c>
      <c r="K103" s="87">
        <v>58</v>
      </c>
      <c r="L103" s="87"/>
      <c r="M103" s="87"/>
      <c r="N103" s="87"/>
      <c r="O103" s="87"/>
      <c r="P103" s="87"/>
      <c r="Q103" s="87"/>
      <c r="R103" s="87">
        <v>2</v>
      </c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>
        <v>45</v>
      </c>
      <c r="AI103" s="87"/>
      <c r="AJ103" s="87"/>
      <c r="AK103" s="87"/>
      <c r="AL103" s="87">
        <v>20</v>
      </c>
      <c r="AM103" s="87"/>
      <c r="AN103" s="87"/>
      <c r="AO103" s="87">
        <v>60</v>
      </c>
      <c r="AP103" s="87">
        <v>5</v>
      </c>
      <c r="AQ103" s="87"/>
      <c r="AR103" s="87"/>
      <c r="AS103" s="87"/>
      <c r="AT103" s="87"/>
      <c r="AU103" s="87"/>
      <c r="AV103" s="87"/>
      <c r="AW103" s="88" t="str">
        <f>HYPERLINK("http://www.openstreetmap.org/?mlat=32.784&amp;mlon=44.2668&amp;zoom=12#map=12/32.784/44.2668","Maplink1")</f>
        <v>Maplink1</v>
      </c>
      <c r="AX103" s="88" t="str">
        <f>HYPERLINK("https://www.google.iq/maps/search/+32.784,44.2668/@32.784,44.2668,14z?hl=en","Maplink2")</f>
        <v>Maplink2</v>
      </c>
      <c r="AY103" s="88" t="str">
        <f>HYPERLINK("http://www.bing.com/maps/?lvl=14&amp;sty=h&amp;cp=32.784~44.2668&amp;sp=point.32.784_44.2668","Maplink3")</f>
        <v>Maplink3</v>
      </c>
      <c r="AZ103" s="76"/>
    </row>
    <row r="104" spans="1:52" x14ac:dyDescent="0.25">
      <c r="A104" s="86">
        <v>24164</v>
      </c>
      <c r="B104" s="87" t="s">
        <v>13</v>
      </c>
      <c r="C104" s="87" t="s">
        <v>226</v>
      </c>
      <c r="D104" s="87" t="s">
        <v>235</v>
      </c>
      <c r="E104" s="87" t="s">
        <v>236</v>
      </c>
      <c r="F104" s="87">
        <v>32.796775487399998</v>
      </c>
      <c r="G104" s="87">
        <v>44.272218473499997</v>
      </c>
      <c r="H104" s="86">
        <v>65</v>
      </c>
      <c r="I104" s="86">
        <v>390</v>
      </c>
      <c r="J104" s="87"/>
      <c r="K104" s="87">
        <v>65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>
        <v>59</v>
      </c>
      <c r="AI104" s="87"/>
      <c r="AJ104" s="87"/>
      <c r="AK104" s="87"/>
      <c r="AL104" s="87">
        <v>6</v>
      </c>
      <c r="AM104" s="87"/>
      <c r="AN104" s="87"/>
      <c r="AO104" s="87">
        <v>65</v>
      </c>
      <c r="AP104" s="87"/>
      <c r="AQ104" s="87"/>
      <c r="AR104" s="87"/>
      <c r="AS104" s="87"/>
      <c r="AT104" s="87"/>
      <c r="AU104" s="87"/>
      <c r="AV104" s="87"/>
      <c r="AW104" s="88" t="str">
        <f>HYPERLINK("http://www.openstreetmap.org/?mlat=32.7968&amp;mlon=44.2722&amp;zoom=12#map=12/32.7968/44.2722","Maplink1")</f>
        <v>Maplink1</v>
      </c>
      <c r="AX104" s="88" t="str">
        <f>HYPERLINK("https://www.google.iq/maps/search/+32.7968,44.2722/@32.7968,44.2722,14z?hl=en","Maplink2")</f>
        <v>Maplink2</v>
      </c>
      <c r="AY104" s="88" t="str">
        <f>HYPERLINK("http://www.bing.com/maps/?lvl=14&amp;sty=h&amp;cp=32.7968~44.2722&amp;sp=point.32.7968_44.2722","Maplink3")</f>
        <v>Maplink3</v>
      </c>
      <c r="AZ104" s="76"/>
    </row>
    <row r="105" spans="1:52" x14ac:dyDescent="0.25">
      <c r="A105" s="86">
        <v>26117</v>
      </c>
      <c r="B105" s="87" t="s">
        <v>13</v>
      </c>
      <c r="C105" s="87" t="s">
        <v>226</v>
      </c>
      <c r="D105" s="87" t="s">
        <v>237</v>
      </c>
      <c r="E105" s="87" t="s">
        <v>238</v>
      </c>
      <c r="F105" s="87">
        <v>32.801389755499997</v>
      </c>
      <c r="G105" s="87">
        <v>44.275055194799997</v>
      </c>
      <c r="H105" s="86">
        <v>103</v>
      </c>
      <c r="I105" s="86">
        <v>618</v>
      </c>
      <c r="J105" s="87"/>
      <c r="K105" s="87">
        <v>103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>
        <v>103</v>
      </c>
      <c r="AI105" s="87"/>
      <c r="AJ105" s="87"/>
      <c r="AK105" s="87"/>
      <c r="AL105" s="87"/>
      <c r="AM105" s="87"/>
      <c r="AN105" s="87"/>
      <c r="AO105" s="87">
        <v>103</v>
      </c>
      <c r="AP105" s="87"/>
      <c r="AQ105" s="87"/>
      <c r="AR105" s="87"/>
      <c r="AS105" s="87"/>
      <c r="AT105" s="87"/>
      <c r="AU105" s="87"/>
      <c r="AV105" s="87"/>
      <c r="AW105" s="88" t="str">
        <f>HYPERLINK("http://www.openstreetmap.org/?mlat=32.8014&amp;mlon=44.2751&amp;zoom=12#map=12/32.8014/44.2751","Maplink1")</f>
        <v>Maplink1</v>
      </c>
      <c r="AX105" s="88" t="str">
        <f>HYPERLINK("https://www.google.iq/maps/search/+32.8014,44.2751/@32.8014,44.2751,14z?hl=en","Maplink2")</f>
        <v>Maplink2</v>
      </c>
      <c r="AY105" s="88" t="str">
        <f>HYPERLINK("http://www.bing.com/maps/?lvl=14&amp;sty=h&amp;cp=32.8014~44.2751&amp;sp=point.32.8014_44.2751","Maplink3")</f>
        <v>Maplink3</v>
      </c>
      <c r="AZ105" s="76"/>
    </row>
    <row r="106" spans="1:52" x14ac:dyDescent="0.25">
      <c r="A106" s="86">
        <v>7126</v>
      </c>
      <c r="B106" s="87" t="s">
        <v>13</v>
      </c>
      <c r="C106" s="87" t="s">
        <v>226</v>
      </c>
      <c r="D106" s="87" t="s">
        <v>239</v>
      </c>
      <c r="E106" s="87" t="s">
        <v>240</v>
      </c>
      <c r="F106" s="87">
        <v>32.813930024599998</v>
      </c>
      <c r="G106" s="87">
        <v>44.264282932900002</v>
      </c>
      <c r="H106" s="86">
        <v>110</v>
      </c>
      <c r="I106" s="86">
        <v>660</v>
      </c>
      <c r="J106" s="87"/>
      <c r="K106" s="87">
        <v>107</v>
      </c>
      <c r="L106" s="87"/>
      <c r="M106" s="87"/>
      <c r="N106" s="87"/>
      <c r="O106" s="87">
        <v>3</v>
      </c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>
        <v>85</v>
      </c>
      <c r="AI106" s="87"/>
      <c r="AJ106" s="87"/>
      <c r="AK106" s="87"/>
      <c r="AL106" s="87">
        <v>25</v>
      </c>
      <c r="AM106" s="87"/>
      <c r="AN106" s="87"/>
      <c r="AO106" s="87">
        <v>107</v>
      </c>
      <c r="AP106" s="87"/>
      <c r="AQ106" s="87">
        <v>3</v>
      </c>
      <c r="AR106" s="87"/>
      <c r="AS106" s="87"/>
      <c r="AT106" s="87"/>
      <c r="AU106" s="87"/>
      <c r="AV106" s="87"/>
      <c r="AW106" s="88" t="str">
        <f>HYPERLINK("http://www.openstreetmap.org/?mlat=32.8139&amp;mlon=44.2643&amp;zoom=12#map=12/32.8139/44.2643","Maplink1")</f>
        <v>Maplink1</v>
      </c>
      <c r="AX106" s="88" t="str">
        <f>HYPERLINK("https://www.google.iq/maps/search/+32.8139,44.2643/@32.8139,44.2643,14z?hl=en","Maplink2")</f>
        <v>Maplink2</v>
      </c>
      <c r="AY106" s="88" t="str">
        <f>HYPERLINK("http://www.bing.com/maps/?lvl=14&amp;sty=h&amp;cp=32.8139~44.2643&amp;sp=point.32.8139_44.2643","Maplink3")</f>
        <v>Maplink3</v>
      </c>
      <c r="AZ106" s="76"/>
    </row>
    <row r="107" spans="1:52" x14ac:dyDescent="0.25">
      <c r="A107" s="86">
        <v>24163</v>
      </c>
      <c r="B107" s="87" t="s">
        <v>13</v>
      </c>
      <c r="C107" s="87" t="s">
        <v>226</v>
      </c>
      <c r="D107" s="87" t="s">
        <v>241</v>
      </c>
      <c r="E107" s="87" t="s">
        <v>242</v>
      </c>
      <c r="F107" s="87">
        <v>32.811121783700003</v>
      </c>
      <c r="G107" s="87">
        <v>44.266001532300002</v>
      </c>
      <c r="H107" s="86">
        <v>25</v>
      </c>
      <c r="I107" s="86">
        <v>150</v>
      </c>
      <c r="J107" s="87"/>
      <c r="K107" s="87">
        <v>25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>
        <v>25</v>
      </c>
      <c r="AI107" s="87"/>
      <c r="AJ107" s="87"/>
      <c r="AK107" s="87"/>
      <c r="AL107" s="87"/>
      <c r="AM107" s="87"/>
      <c r="AN107" s="87"/>
      <c r="AO107" s="87">
        <v>25</v>
      </c>
      <c r="AP107" s="87"/>
      <c r="AQ107" s="87"/>
      <c r="AR107" s="87"/>
      <c r="AS107" s="87"/>
      <c r="AT107" s="87"/>
      <c r="AU107" s="87"/>
      <c r="AV107" s="87"/>
      <c r="AW107" s="88" t="str">
        <f>HYPERLINK("http://www.openstreetmap.org/?mlat=32.8111&amp;mlon=44.266&amp;zoom=12#map=12/32.8111/44.266","Maplink1")</f>
        <v>Maplink1</v>
      </c>
      <c r="AX107" s="88" t="str">
        <f>HYPERLINK("https://www.google.iq/maps/search/+32.8111,44.266/@32.8111,44.266,14z?hl=en","Maplink2")</f>
        <v>Maplink2</v>
      </c>
      <c r="AY107" s="88" t="str">
        <f>HYPERLINK("http://www.bing.com/maps/?lvl=14&amp;sty=h&amp;cp=32.8111~44.266&amp;sp=point.32.8111_44.266","Maplink3")</f>
        <v>Maplink3</v>
      </c>
      <c r="AZ107" s="76"/>
    </row>
    <row r="108" spans="1:52" x14ac:dyDescent="0.25">
      <c r="A108" s="86">
        <v>24165</v>
      </c>
      <c r="B108" s="87" t="s">
        <v>13</v>
      </c>
      <c r="C108" s="87" t="s">
        <v>226</v>
      </c>
      <c r="D108" s="87" t="s">
        <v>243</v>
      </c>
      <c r="E108" s="87" t="s">
        <v>244</v>
      </c>
      <c r="F108" s="87">
        <v>32.807511828300001</v>
      </c>
      <c r="G108" s="87">
        <v>44.267487218500001</v>
      </c>
      <c r="H108" s="86">
        <v>94</v>
      </c>
      <c r="I108" s="86">
        <v>564</v>
      </c>
      <c r="J108" s="87"/>
      <c r="K108" s="87">
        <v>94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>
        <v>54</v>
      </c>
      <c r="AD108" s="87"/>
      <c r="AE108" s="87"/>
      <c r="AF108" s="87"/>
      <c r="AG108" s="87"/>
      <c r="AH108" s="87">
        <v>40</v>
      </c>
      <c r="AI108" s="87"/>
      <c r="AJ108" s="87"/>
      <c r="AK108" s="87"/>
      <c r="AL108" s="87"/>
      <c r="AM108" s="87"/>
      <c r="AN108" s="87">
        <v>30</v>
      </c>
      <c r="AO108" s="87">
        <v>64</v>
      </c>
      <c r="AP108" s="87"/>
      <c r="AQ108" s="87"/>
      <c r="AR108" s="87"/>
      <c r="AS108" s="87"/>
      <c r="AT108" s="87"/>
      <c r="AU108" s="87"/>
      <c r="AV108" s="87"/>
      <c r="AW108" s="88" t="str">
        <f>HYPERLINK("http://www.openstreetmap.org/?mlat=32.8075&amp;mlon=44.2675&amp;zoom=12#map=12/32.8075/44.2675","Maplink1")</f>
        <v>Maplink1</v>
      </c>
      <c r="AX108" s="88" t="str">
        <f>HYPERLINK("https://www.google.iq/maps/search/+32.8075,44.2675/@32.8075,44.2675,14z?hl=en","Maplink2")</f>
        <v>Maplink2</v>
      </c>
      <c r="AY108" s="88" t="str">
        <f>HYPERLINK("http://www.bing.com/maps/?lvl=14&amp;sty=h&amp;cp=32.8075~44.2675&amp;sp=point.32.8075_44.2675","Maplink3")</f>
        <v>Maplink3</v>
      </c>
      <c r="AZ108" s="76"/>
    </row>
    <row r="109" spans="1:52" x14ac:dyDescent="0.25">
      <c r="A109" s="86">
        <v>24296</v>
      </c>
      <c r="B109" s="87" t="s">
        <v>13</v>
      </c>
      <c r="C109" s="87" t="s">
        <v>226</v>
      </c>
      <c r="D109" s="87" t="s">
        <v>245</v>
      </c>
      <c r="E109" s="87" t="s">
        <v>246</v>
      </c>
      <c r="F109" s="87">
        <v>32.877830000000003</v>
      </c>
      <c r="G109" s="87">
        <v>44.415480000000002</v>
      </c>
      <c r="H109" s="86">
        <v>34</v>
      </c>
      <c r="I109" s="86">
        <v>204</v>
      </c>
      <c r="J109" s="87"/>
      <c r="K109" s="87">
        <v>34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>
        <v>34</v>
      </c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>
        <v>34</v>
      </c>
      <c r="AP109" s="87"/>
      <c r="AQ109" s="87"/>
      <c r="AR109" s="87"/>
      <c r="AS109" s="87"/>
      <c r="AT109" s="87"/>
      <c r="AU109" s="87"/>
      <c r="AV109" s="87"/>
      <c r="AW109" s="88" t="str">
        <f>HYPERLINK("http://www.openstreetmap.org/?mlat=32.8778&amp;mlon=44.4155&amp;zoom=12#map=12/32.8778/44.4155","Maplink1")</f>
        <v>Maplink1</v>
      </c>
      <c r="AX109" s="88" t="str">
        <f>HYPERLINK("https://www.google.iq/maps/search/+32.8778,44.4155/@32.8778,44.4155,14z?hl=en","Maplink2")</f>
        <v>Maplink2</v>
      </c>
      <c r="AY109" s="88" t="str">
        <f>HYPERLINK("http://www.bing.com/maps/?lvl=14&amp;sty=h&amp;cp=32.8778~44.4155&amp;sp=point.32.8778_44.4155","Maplink3")</f>
        <v>Maplink3</v>
      </c>
      <c r="AZ109" s="76"/>
    </row>
    <row r="110" spans="1:52" x14ac:dyDescent="0.25">
      <c r="A110" s="86">
        <v>26118</v>
      </c>
      <c r="B110" s="87" t="s">
        <v>13</v>
      </c>
      <c r="C110" s="87" t="s">
        <v>226</v>
      </c>
      <c r="D110" s="87" t="s">
        <v>182</v>
      </c>
      <c r="E110" s="87" t="s">
        <v>247</v>
      </c>
      <c r="F110" s="87">
        <v>32.709736132700002</v>
      </c>
      <c r="G110" s="87">
        <v>44.268628561100002</v>
      </c>
      <c r="H110" s="86">
        <v>3</v>
      </c>
      <c r="I110" s="86">
        <v>18</v>
      </c>
      <c r="J110" s="87"/>
      <c r="K110" s="87">
        <v>3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>
        <v>3</v>
      </c>
      <c r="AI110" s="87"/>
      <c r="AJ110" s="87"/>
      <c r="AK110" s="87"/>
      <c r="AL110" s="87"/>
      <c r="AM110" s="87"/>
      <c r="AN110" s="87"/>
      <c r="AO110" s="87">
        <v>3</v>
      </c>
      <c r="AP110" s="87"/>
      <c r="AQ110" s="87"/>
      <c r="AR110" s="87"/>
      <c r="AS110" s="87"/>
      <c r="AT110" s="87"/>
      <c r="AU110" s="87"/>
      <c r="AV110" s="87"/>
      <c r="AW110" s="88" t="str">
        <f>HYPERLINK("http://www.openstreetmap.org/?mlat=32.7097&amp;mlon=44.2686&amp;zoom=12#map=12/32.7097/44.2686","Maplink1")</f>
        <v>Maplink1</v>
      </c>
      <c r="AX110" s="88" t="str">
        <f>HYPERLINK("https://www.google.iq/maps/search/+32.7097,44.2686/@32.7097,44.2686,14z?hl=en","Maplink2")</f>
        <v>Maplink2</v>
      </c>
      <c r="AY110" s="88" t="str">
        <f>HYPERLINK("http://www.bing.com/maps/?lvl=14&amp;sty=h&amp;cp=32.7097~44.2686&amp;sp=point.32.7097_44.2686","Maplink3")</f>
        <v>Maplink3</v>
      </c>
      <c r="AZ110" s="76"/>
    </row>
    <row r="111" spans="1:52" x14ac:dyDescent="0.25">
      <c r="A111" s="86">
        <v>26098</v>
      </c>
      <c r="B111" s="87" t="s">
        <v>13</v>
      </c>
      <c r="C111" s="87" t="s">
        <v>226</v>
      </c>
      <c r="D111" s="87" t="s">
        <v>248</v>
      </c>
      <c r="E111" s="87" t="s">
        <v>249</v>
      </c>
      <c r="F111" s="87">
        <v>32.8880746221</v>
      </c>
      <c r="G111" s="87">
        <v>44.347643352399999</v>
      </c>
      <c r="H111" s="86">
        <v>18</v>
      </c>
      <c r="I111" s="86">
        <v>108</v>
      </c>
      <c r="J111" s="87"/>
      <c r="K111" s="87">
        <v>18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>
        <v>18</v>
      </c>
      <c r="AI111" s="87"/>
      <c r="AJ111" s="87"/>
      <c r="AK111" s="87"/>
      <c r="AL111" s="87"/>
      <c r="AM111" s="87"/>
      <c r="AN111" s="87"/>
      <c r="AO111" s="87">
        <v>18</v>
      </c>
      <c r="AP111" s="87"/>
      <c r="AQ111" s="87"/>
      <c r="AR111" s="87"/>
      <c r="AS111" s="87"/>
      <c r="AT111" s="87"/>
      <c r="AU111" s="87"/>
      <c r="AV111" s="87"/>
      <c r="AW111" s="88" t="str">
        <f>HYPERLINK("http://www.openstreetmap.org/?mlat=32.8881&amp;mlon=44.3476&amp;zoom=12#map=12/32.8881/44.3476","Maplink1")</f>
        <v>Maplink1</v>
      </c>
      <c r="AX111" s="88" t="str">
        <f>HYPERLINK("https://www.google.iq/maps/search/+32.8881,44.3476/@32.8881,44.3476,14z?hl=en","Maplink2")</f>
        <v>Maplink2</v>
      </c>
      <c r="AY111" s="88" t="str">
        <f>HYPERLINK("http://www.bing.com/maps/?lvl=14&amp;sty=h&amp;cp=32.8881~44.3476&amp;sp=point.32.8881_44.3476","Maplink3")</f>
        <v>Maplink3</v>
      </c>
      <c r="AZ111" s="76"/>
    </row>
    <row r="112" spans="1:52" x14ac:dyDescent="0.25">
      <c r="A112" s="86">
        <v>25613</v>
      </c>
      <c r="B112" s="87" t="s">
        <v>13</v>
      </c>
      <c r="C112" s="87" t="s">
        <v>226</v>
      </c>
      <c r="D112" s="87" t="s">
        <v>250</v>
      </c>
      <c r="E112" s="87" t="s">
        <v>251</v>
      </c>
      <c r="F112" s="87">
        <v>32.884296748300002</v>
      </c>
      <c r="G112" s="87">
        <v>44.386538272999999</v>
      </c>
      <c r="H112" s="86">
        <v>22</v>
      </c>
      <c r="I112" s="86">
        <v>132</v>
      </c>
      <c r="J112" s="87"/>
      <c r="K112" s="87">
        <v>22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>
        <v>22</v>
      </c>
      <c r="AI112" s="87"/>
      <c r="AJ112" s="87"/>
      <c r="AK112" s="87"/>
      <c r="AL112" s="87"/>
      <c r="AM112" s="87"/>
      <c r="AN112" s="87"/>
      <c r="AO112" s="87">
        <v>22</v>
      </c>
      <c r="AP112" s="87"/>
      <c r="AQ112" s="87"/>
      <c r="AR112" s="87"/>
      <c r="AS112" s="87"/>
      <c r="AT112" s="87"/>
      <c r="AU112" s="87"/>
      <c r="AV112" s="87"/>
      <c r="AW112" s="88" t="str">
        <f>HYPERLINK("http://www.openstreetmap.org/?mlat=32.8843&amp;mlon=44.3865&amp;zoom=12#map=12/32.8843/44.3865","Maplink1")</f>
        <v>Maplink1</v>
      </c>
      <c r="AX112" s="88" t="str">
        <f>HYPERLINK("https://www.google.iq/maps/search/+32.8843,44.3865/@32.8843,44.3865,14z?hl=en","Maplink2")</f>
        <v>Maplink2</v>
      </c>
      <c r="AY112" s="88" t="str">
        <f>HYPERLINK("http://www.bing.com/maps/?lvl=14&amp;sty=h&amp;cp=32.8843~44.3865&amp;sp=point.32.8843_44.3865","Maplink3")</f>
        <v>Maplink3</v>
      </c>
      <c r="AZ112" s="76"/>
    </row>
    <row r="113" spans="1:52" x14ac:dyDescent="0.25">
      <c r="A113" s="86">
        <v>25768</v>
      </c>
      <c r="B113" s="87" t="s">
        <v>13</v>
      </c>
      <c r="C113" s="87" t="s">
        <v>226</v>
      </c>
      <c r="D113" s="87" t="s">
        <v>252</v>
      </c>
      <c r="E113" s="87" t="s">
        <v>253</v>
      </c>
      <c r="F113" s="87">
        <v>32.885757522799999</v>
      </c>
      <c r="G113" s="87">
        <v>44.347535989199997</v>
      </c>
      <c r="H113" s="86">
        <v>53</v>
      </c>
      <c r="I113" s="86">
        <v>318</v>
      </c>
      <c r="J113" s="87"/>
      <c r="K113" s="87">
        <v>53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>
        <v>53</v>
      </c>
      <c r="AI113" s="87"/>
      <c r="AJ113" s="87"/>
      <c r="AK113" s="87"/>
      <c r="AL113" s="87"/>
      <c r="AM113" s="87"/>
      <c r="AN113" s="87"/>
      <c r="AO113" s="87">
        <v>53</v>
      </c>
      <c r="AP113" s="87"/>
      <c r="AQ113" s="87"/>
      <c r="AR113" s="87"/>
      <c r="AS113" s="87"/>
      <c r="AT113" s="87"/>
      <c r="AU113" s="87"/>
      <c r="AV113" s="87"/>
      <c r="AW113" s="88" t="str">
        <f>HYPERLINK("http://www.openstreetmap.org/?mlat=32.8858&amp;mlon=44.3475&amp;zoom=12#map=12/32.8858/44.3475","Maplink1")</f>
        <v>Maplink1</v>
      </c>
      <c r="AX113" s="88" t="str">
        <f>HYPERLINK("https://www.google.iq/maps/search/+32.8858,44.3475/@32.8858,44.3475,14z?hl=en","Maplink2")</f>
        <v>Maplink2</v>
      </c>
      <c r="AY113" s="88" t="str">
        <f>HYPERLINK("http://www.bing.com/maps/?lvl=14&amp;sty=h&amp;cp=32.8858~44.3475&amp;sp=point.32.8858_44.3475","Maplink3")</f>
        <v>Maplink3</v>
      </c>
      <c r="AZ113" s="76"/>
    </row>
    <row r="114" spans="1:52" x14ac:dyDescent="0.25">
      <c r="A114" s="86">
        <v>24652</v>
      </c>
      <c r="B114" s="87" t="s">
        <v>13</v>
      </c>
      <c r="C114" s="87" t="s">
        <v>226</v>
      </c>
      <c r="D114" s="87" t="s">
        <v>254</v>
      </c>
      <c r="E114" s="87" t="s">
        <v>255</v>
      </c>
      <c r="F114" s="87">
        <v>32.927199999999999</v>
      </c>
      <c r="G114" s="87">
        <v>44.350200000000001</v>
      </c>
      <c r="H114" s="86">
        <v>37</v>
      </c>
      <c r="I114" s="86">
        <v>222</v>
      </c>
      <c r="J114" s="87"/>
      <c r="K114" s="87">
        <v>37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>
        <v>37</v>
      </c>
      <c r="AI114" s="87"/>
      <c r="AJ114" s="87"/>
      <c r="AK114" s="87"/>
      <c r="AL114" s="87"/>
      <c r="AM114" s="87"/>
      <c r="AN114" s="87"/>
      <c r="AO114" s="87">
        <v>37</v>
      </c>
      <c r="AP114" s="87"/>
      <c r="AQ114" s="87"/>
      <c r="AR114" s="87"/>
      <c r="AS114" s="87"/>
      <c r="AT114" s="87"/>
      <c r="AU114" s="87"/>
      <c r="AV114" s="87"/>
      <c r="AW114" s="88" t="str">
        <f>HYPERLINK("http://www.openstreetmap.org/?mlat=32.9272&amp;mlon=44.3502&amp;zoom=12#map=12/32.9272/44.3502","Maplink1")</f>
        <v>Maplink1</v>
      </c>
      <c r="AX114" s="88" t="str">
        <f>HYPERLINK("https://www.google.iq/maps/search/+32.9272,44.3502/@32.9272,44.3502,14z?hl=en","Maplink2")</f>
        <v>Maplink2</v>
      </c>
      <c r="AY114" s="88" t="str">
        <f>HYPERLINK("http://www.bing.com/maps/?lvl=14&amp;sty=h&amp;cp=32.9272~44.3502&amp;sp=point.32.9272_44.3502","Maplink3")</f>
        <v>Maplink3</v>
      </c>
      <c r="AZ114" s="76"/>
    </row>
    <row r="115" spans="1:52" x14ac:dyDescent="0.25">
      <c r="A115" s="86">
        <v>24166</v>
      </c>
      <c r="B115" s="87" t="s">
        <v>13</v>
      </c>
      <c r="C115" s="87" t="s">
        <v>226</v>
      </c>
      <c r="D115" s="87" t="s">
        <v>256</v>
      </c>
      <c r="E115" s="87" t="s">
        <v>257</v>
      </c>
      <c r="F115" s="87">
        <v>32.778224311499997</v>
      </c>
      <c r="G115" s="87">
        <v>44.287022479100003</v>
      </c>
      <c r="H115" s="86">
        <v>9</v>
      </c>
      <c r="I115" s="86">
        <v>54</v>
      </c>
      <c r="J115" s="87">
        <v>1</v>
      </c>
      <c r="K115" s="87">
        <v>8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>
        <v>9</v>
      </c>
      <c r="AI115" s="87"/>
      <c r="AJ115" s="87"/>
      <c r="AK115" s="87"/>
      <c r="AL115" s="87"/>
      <c r="AM115" s="87"/>
      <c r="AN115" s="87"/>
      <c r="AO115" s="87">
        <v>8</v>
      </c>
      <c r="AP115" s="87"/>
      <c r="AQ115" s="87">
        <v>1</v>
      </c>
      <c r="AR115" s="87"/>
      <c r="AS115" s="87"/>
      <c r="AT115" s="87"/>
      <c r="AU115" s="87"/>
      <c r="AV115" s="87"/>
      <c r="AW115" s="88" t="str">
        <f>HYPERLINK("http://www.openstreetmap.org/?mlat=32.7782&amp;mlon=44.287&amp;zoom=12#map=12/32.7782/44.287","Maplink1")</f>
        <v>Maplink1</v>
      </c>
      <c r="AX115" s="88" t="str">
        <f>HYPERLINK("https://www.google.iq/maps/search/+32.7782,44.287/@32.7782,44.287,14z?hl=en","Maplink2")</f>
        <v>Maplink2</v>
      </c>
      <c r="AY115" s="88" t="str">
        <f>HYPERLINK("http://www.bing.com/maps/?lvl=14&amp;sty=h&amp;cp=32.7782~44.287&amp;sp=point.32.7782_44.287","Maplink3")</f>
        <v>Maplink3</v>
      </c>
      <c r="AZ115" s="76"/>
    </row>
    <row r="116" spans="1:52" x14ac:dyDescent="0.25">
      <c r="A116" s="86">
        <v>24569</v>
      </c>
      <c r="B116" s="87" t="s">
        <v>13</v>
      </c>
      <c r="C116" s="87" t="s">
        <v>226</v>
      </c>
      <c r="D116" s="87" t="s">
        <v>258</v>
      </c>
      <c r="E116" s="87" t="s">
        <v>259</v>
      </c>
      <c r="F116" s="87">
        <v>32.783691138199998</v>
      </c>
      <c r="G116" s="87">
        <v>44.292997274100003</v>
      </c>
      <c r="H116" s="86">
        <v>4</v>
      </c>
      <c r="I116" s="86">
        <v>24</v>
      </c>
      <c r="J116" s="87"/>
      <c r="K116" s="87">
        <v>4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>
        <v>4</v>
      </c>
      <c r="AI116" s="87"/>
      <c r="AJ116" s="87"/>
      <c r="AK116" s="87"/>
      <c r="AL116" s="87"/>
      <c r="AM116" s="87"/>
      <c r="AN116" s="87"/>
      <c r="AO116" s="87"/>
      <c r="AP116" s="87">
        <v>4</v>
      </c>
      <c r="AQ116" s="87"/>
      <c r="AR116" s="87"/>
      <c r="AS116" s="87"/>
      <c r="AT116" s="87"/>
      <c r="AU116" s="87"/>
      <c r="AV116" s="87"/>
      <c r="AW116" s="88" t="str">
        <f>HYPERLINK("http://www.openstreetmap.org/?mlat=32.7837&amp;mlon=44.293&amp;zoom=12#map=12/32.7837/44.293","Maplink1")</f>
        <v>Maplink1</v>
      </c>
      <c r="AX116" s="88" t="str">
        <f>HYPERLINK("https://www.google.iq/maps/search/+32.7837,44.293/@32.7837,44.293,14z?hl=en","Maplink2")</f>
        <v>Maplink2</v>
      </c>
      <c r="AY116" s="88" t="str">
        <f>HYPERLINK("http://www.bing.com/maps/?lvl=14&amp;sty=h&amp;cp=32.7837~44.293&amp;sp=point.32.7837_44.293","Maplink3")</f>
        <v>Maplink3</v>
      </c>
      <c r="AZ116" s="76"/>
    </row>
    <row r="117" spans="1:52" x14ac:dyDescent="0.25">
      <c r="A117" s="86">
        <v>7220</v>
      </c>
      <c r="B117" s="87" t="s">
        <v>13</v>
      </c>
      <c r="C117" s="87" t="s">
        <v>226</v>
      </c>
      <c r="D117" s="87" t="s">
        <v>260</v>
      </c>
      <c r="E117" s="87" t="s">
        <v>261</v>
      </c>
      <c r="F117" s="87">
        <v>32.785397490800001</v>
      </c>
      <c r="G117" s="87">
        <v>44.284177911900002</v>
      </c>
      <c r="H117" s="86">
        <v>33</v>
      </c>
      <c r="I117" s="86">
        <v>198</v>
      </c>
      <c r="J117" s="87"/>
      <c r="K117" s="87">
        <v>33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>
        <v>33</v>
      </c>
      <c r="AI117" s="87"/>
      <c r="AJ117" s="87"/>
      <c r="AK117" s="87"/>
      <c r="AL117" s="87"/>
      <c r="AM117" s="87"/>
      <c r="AN117" s="87"/>
      <c r="AO117" s="87">
        <v>33</v>
      </c>
      <c r="AP117" s="87"/>
      <c r="AQ117" s="87"/>
      <c r="AR117" s="87"/>
      <c r="AS117" s="87"/>
      <c r="AT117" s="87"/>
      <c r="AU117" s="87"/>
      <c r="AV117" s="87"/>
      <c r="AW117" s="88" t="str">
        <f>HYPERLINK("http://www.openstreetmap.org/?mlat=32.7854&amp;mlon=44.2842&amp;zoom=12#map=12/32.7854/44.2842","Maplink1")</f>
        <v>Maplink1</v>
      </c>
      <c r="AX117" s="88" t="str">
        <f>HYPERLINK("https://www.google.iq/maps/search/+32.7854,44.2842/@32.7854,44.2842,14z?hl=en","Maplink2")</f>
        <v>Maplink2</v>
      </c>
      <c r="AY117" s="88" t="str">
        <f>HYPERLINK("http://www.bing.com/maps/?lvl=14&amp;sty=h&amp;cp=32.7854~44.2842&amp;sp=point.32.7854_44.2842","Maplink3")</f>
        <v>Maplink3</v>
      </c>
      <c r="AZ117" s="76"/>
    </row>
    <row r="118" spans="1:52" x14ac:dyDescent="0.25">
      <c r="A118" s="86">
        <v>6376</v>
      </c>
      <c r="B118" s="87" t="s">
        <v>13</v>
      </c>
      <c r="C118" s="87" t="s">
        <v>226</v>
      </c>
      <c r="D118" s="87" t="s">
        <v>262</v>
      </c>
      <c r="E118" s="87" t="s">
        <v>263</v>
      </c>
      <c r="F118" s="87">
        <v>32.702132130000003</v>
      </c>
      <c r="G118" s="87">
        <v>44.322929999999999</v>
      </c>
      <c r="H118" s="86">
        <v>17</v>
      </c>
      <c r="I118" s="86">
        <v>102</v>
      </c>
      <c r="J118" s="87"/>
      <c r="K118" s="87">
        <v>7</v>
      </c>
      <c r="L118" s="87">
        <v>10</v>
      </c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>
        <v>17</v>
      </c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>
        <v>7</v>
      </c>
      <c r="AP118" s="87">
        <v>10</v>
      </c>
      <c r="AQ118" s="87"/>
      <c r="AR118" s="87"/>
      <c r="AS118" s="87"/>
      <c r="AT118" s="87"/>
      <c r="AU118" s="87"/>
      <c r="AV118" s="87"/>
      <c r="AW118" s="88" t="str">
        <f>HYPERLINK("http://www.openstreetmap.org/?mlat=32.7021&amp;mlon=44.3229&amp;zoom=12#map=12/32.7021/44.3229","Maplink1")</f>
        <v>Maplink1</v>
      </c>
      <c r="AX118" s="88" t="str">
        <f>HYPERLINK("https://www.google.iq/maps/search/+32.7021,44.3229/@32.7021,44.3229,14z?hl=en","Maplink2")</f>
        <v>Maplink2</v>
      </c>
      <c r="AY118" s="88" t="str">
        <f>HYPERLINK("http://www.bing.com/maps/?lvl=14&amp;sty=h&amp;cp=32.7021~44.3229&amp;sp=point.32.7021_44.3229","Maplink3")</f>
        <v>Maplink3</v>
      </c>
      <c r="AZ118" s="76"/>
    </row>
    <row r="119" spans="1:52" x14ac:dyDescent="0.25">
      <c r="A119" s="86">
        <v>26097</v>
      </c>
      <c r="B119" s="87" t="s">
        <v>13</v>
      </c>
      <c r="C119" s="87" t="s">
        <v>226</v>
      </c>
      <c r="D119" s="87" t="s">
        <v>264</v>
      </c>
      <c r="E119" s="87" t="s">
        <v>265</v>
      </c>
      <c r="F119" s="87">
        <v>32.783302098500002</v>
      </c>
      <c r="G119" s="87">
        <v>44.296903063999999</v>
      </c>
      <c r="H119" s="86">
        <v>1</v>
      </c>
      <c r="I119" s="86">
        <v>6</v>
      </c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>
        <v>1</v>
      </c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>
        <v>1</v>
      </c>
      <c r="AI119" s="87"/>
      <c r="AJ119" s="87"/>
      <c r="AK119" s="87"/>
      <c r="AL119" s="87"/>
      <c r="AM119" s="87"/>
      <c r="AN119" s="87"/>
      <c r="AO119" s="87">
        <v>1</v>
      </c>
      <c r="AP119" s="87"/>
      <c r="AQ119" s="87"/>
      <c r="AR119" s="87"/>
      <c r="AS119" s="87"/>
      <c r="AT119" s="87"/>
      <c r="AU119" s="87"/>
      <c r="AV119" s="87"/>
      <c r="AW119" s="88" t="str">
        <f>HYPERLINK("http://www.openstreetmap.org/?mlat=32.7833&amp;mlon=44.2969&amp;zoom=12#map=12/32.7833/44.2969","Maplink1")</f>
        <v>Maplink1</v>
      </c>
      <c r="AX119" s="88" t="str">
        <f>HYPERLINK("https://www.google.iq/maps/search/+32.7833,44.2969/@32.7833,44.2969,14z?hl=en","Maplink2")</f>
        <v>Maplink2</v>
      </c>
      <c r="AY119" s="88" t="str">
        <f>HYPERLINK("http://www.bing.com/maps/?lvl=14&amp;sty=h&amp;cp=32.7833~44.2969&amp;sp=point.32.7833_44.2969","Maplink3")</f>
        <v>Maplink3</v>
      </c>
      <c r="AZ119" s="76"/>
    </row>
    <row r="120" spans="1:52" x14ac:dyDescent="0.25">
      <c r="A120" s="86">
        <v>24649</v>
      </c>
      <c r="B120" s="87" t="s">
        <v>13</v>
      </c>
      <c r="C120" s="87" t="s">
        <v>226</v>
      </c>
      <c r="D120" s="87" t="s">
        <v>266</v>
      </c>
      <c r="E120" s="87" t="s">
        <v>267</v>
      </c>
      <c r="F120" s="87">
        <v>32.886041390099997</v>
      </c>
      <c r="G120" s="87">
        <v>44.389040000000001</v>
      </c>
      <c r="H120" s="86">
        <v>102</v>
      </c>
      <c r="I120" s="86">
        <v>612</v>
      </c>
      <c r="J120" s="87"/>
      <c r="K120" s="87">
        <v>102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>
        <v>102</v>
      </c>
      <c r="AI120" s="87"/>
      <c r="AJ120" s="87"/>
      <c r="AK120" s="87"/>
      <c r="AL120" s="87"/>
      <c r="AM120" s="87"/>
      <c r="AN120" s="87"/>
      <c r="AO120" s="87">
        <v>102</v>
      </c>
      <c r="AP120" s="87"/>
      <c r="AQ120" s="87"/>
      <c r="AR120" s="87"/>
      <c r="AS120" s="87"/>
      <c r="AT120" s="87"/>
      <c r="AU120" s="87"/>
      <c r="AV120" s="87"/>
      <c r="AW120" s="88" t="str">
        <f>HYPERLINK("http://www.openstreetmap.org/?mlat=32.886&amp;mlon=44.389&amp;zoom=12#map=12/32.886/44.389","Maplink1")</f>
        <v>Maplink1</v>
      </c>
      <c r="AX120" s="88" t="str">
        <f>HYPERLINK("https://www.google.iq/maps/search/+32.886,44.389/@32.886,44.389,14z?hl=en","Maplink2")</f>
        <v>Maplink2</v>
      </c>
      <c r="AY120" s="88" t="str">
        <f>HYPERLINK("http://www.bing.com/maps/?lvl=14&amp;sty=h&amp;cp=32.886~44.389&amp;sp=point.32.886_44.389","Maplink3")</f>
        <v>Maplink3</v>
      </c>
      <c r="AZ120" s="76"/>
    </row>
    <row r="121" spans="1:52" x14ac:dyDescent="0.25">
      <c r="A121" s="86">
        <v>24177</v>
      </c>
      <c r="B121" s="87" t="s">
        <v>13</v>
      </c>
      <c r="C121" s="87" t="s">
        <v>226</v>
      </c>
      <c r="D121" s="87" t="s">
        <v>268</v>
      </c>
      <c r="E121" s="87" t="s">
        <v>269</v>
      </c>
      <c r="F121" s="87">
        <v>32.7881563141</v>
      </c>
      <c r="G121" s="87">
        <v>44.2737293235</v>
      </c>
      <c r="H121" s="86">
        <v>69</v>
      </c>
      <c r="I121" s="86">
        <v>414</v>
      </c>
      <c r="J121" s="87"/>
      <c r="K121" s="87">
        <v>69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>
        <v>59</v>
      </c>
      <c r="AI121" s="87"/>
      <c r="AJ121" s="87"/>
      <c r="AK121" s="87"/>
      <c r="AL121" s="87">
        <v>10</v>
      </c>
      <c r="AM121" s="87"/>
      <c r="AN121" s="87"/>
      <c r="AO121" s="87">
        <v>69</v>
      </c>
      <c r="AP121" s="87"/>
      <c r="AQ121" s="87"/>
      <c r="AR121" s="87"/>
      <c r="AS121" s="87"/>
      <c r="AT121" s="87"/>
      <c r="AU121" s="87"/>
      <c r="AV121" s="87"/>
      <c r="AW121" s="88" t="str">
        <f>HYPERLINK("http://www.openstreetmap.org/?mlat=32.7882&amp;mlon=44.2737&amp;zoom=12#map=12/32.7882/44.2737","Maplink1")</f>
        <v>Maplink1</v>
      </c>
      <c r="AX121" s="88" t="str">
        <f>HYPERLINK("https://www.google.iq/maps/search/+32.7882,44.2737/@32.7882,44.2737,14z?hl=en","Maplink2")</f>
        <v>Maplink2</v>
      </c>
      <c r="AY121" s="88" t="str">
        <f>HYPERLINK("http://www.bing.com/maps/?lvl=14&amp;sty=h&amp;cp=32.7882~44.2737&amp;sp=point.32.7882_44.2737","Maplink3")</f>
        <v>Maplink3</v>
      </c>
      <c r="AZ121" s="76"/>
    </row>
    <row r="122" spans="1:52" x14ac:dyDescent="0.25">
      <c r="A122" s="86">
        <v>24707</v>
      </c>
      <c r="B122" s="87" t="s">
        <v>13</v>
      </c>
      <c r="C122" s="87" t="s">
        <v>226</v>
      </c>
      <c r="D122" s="87" t="s">
        <v>270</v>
      </c>
      <c r="E122" s="87" t="s">
        <v>271</v>
      </c>
      <c r="F122" s="87">
        <v>32.790553043199999</v>
      </c>
      <c r="G122" s="87">
        <v>44.277224777800001</v>
      </c>
      <c r="H122" s="86">
        <v>237</v>
      </c>
      <c r="I122" s="86">
        <v>1422</v>
      </c>
      <c r="J122" s="87"/>
      <c r="K122" s="87">
        <v>237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>
        <v>230</v>
      </c>
      <c r="AI122" s="87"/>
      <c r="AJ122" s="87"/>
      <c r="AK122" s="87"/>
      <c r="AL122" s="87">
        <v>7</v>
      </c>
      <c r="AM122" s="87"/>
      <c r="AN122" s="87"/>
      <c r="AO122" s="87">
        <v>237</v>
      </c>
      <c r="AP122" s="87"/>
      <c r="AQ122" s="87"/>
      <c r="AR122" s="87"/>
      <c r="AS122" s="87"/>
      <c r="AT122" s="87"/>
      <c r="AU122" s="87"/>
      <c r="AV122" s="87"/>
      <c r="AW122" s="88" t="str">
        <f>HYPERLINK("http://www.openstreetmap.org/?mlat=32.7906&amp;mlon=44.2772&amp;zoom=12#map=12/32.7906/44.2772","Maplink1")</f>
        <v>Maplink1</v>
      </c>
      <c r="AX122" s="88" t="str">
        <f>HYPERLINK("https://www.google.iq/maps/search/+32.7906,44.2772/@32.7906,44.2772,14z?hl=en","Maplink2")</f>
        <v>Maplink2</v>
      </c>
      <c r="AY122" s="88" t="str">
        <f>HYPERLINK("http://www.bing.com/maps/?lvl=14&amp;sty=h&amp;cp=32.7906~44.2772&amp;sp=point.32.7906_44.2772","Maplink3")</f>
        <v>Maplink3</v>
      </c>
      <c r="AZ122" s="76"/>
    </row>
    <row r="123" spans="1:52" x14ac:dyDescent="0.25">
      <c r="A123" s="86">
        <v>24959</v>
      </c>
      <c r="B123" s="87" t="s">
        <v>13</v>
      </c>
      <c r="C123" s="87" t="s">
        <v>226</v>
      </c>
      <c r="D123" s="87" t="s">
        <v>272</v>
      </c>
      <c r="E123" s="87" t="s">
        <v>273</v>
      </c>
      <c r="F123" s="87">
        <v>32.778785254200002</v>
      </c>
      <c r="G123" s="87">
        <v>44.284484269499998</v>
      </c>
      <c r="H123" s="86">
        <v>25</v>
      </c>
      <c r="I123" s="86">
        <v>150</v>
      </c>
      <c r="J123" s="87"/>
      <c r="K123" s="87">
        <v>25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>
        <v>25</v>
      </c>
      <c r="AI123" s="87"/>
      <c r="AJ123" s="87"/>
      <c r="AK123" s="87"/>
      <c r="AL123" s="87"/>
      <c r="AM123" s="87"/>
      <c r="AN123" s="87"/>
      <c r="AO123" s="87"/>
      <c r="AP123" s="87">
        <v>25</v>
      </c>
      <c r="AQ123" s="87"/>
      <c r="AR123" s="87"/>
      <c r="AS123" s="87"/>
      <c r="AT123" s="87"/>
      <c r="AU123" s="87"/>
      <c r="AV123" s="87"/>
      <c r="AW123" s="88" t="str">
        <f>HYPERLINK("http://www.openstreetmap.org/?mlat=32.7788&amp;mlon=44.2845&amp;zoom=12#map=12/32.7788/44.2845","Maplink1")</f>
        <v>Maplink1</v>
      </c>
      <c r="AX123" s="88" t="str">
        <f>HYPERLINK("https://www.google.iq/maps/search/+32.7788,44.2845/@32.7788,44.2845,14z?hl=en","Maplink2")</f>
        <v>Maplink2</v>
      </c>
      <c r="AY123" s="88" t="str">
        <f>HYPERLINK("http://www.bing.com/maps/?lvl=14&amp;sty=h&amp;cp=32.7788~44.2845&amp;sp=point.32.7788_44.2845","Maplink3")</f>
        <v>Maplink3</v>
      </c>
      <c r="AZ123" s="76"/>
    </row>
    <row r="124" spans="1:52" x14ac:dyDescent="0.25">
      <c r="A124" s="86">
        <v>26125</v>
      </c>
      <c r="B124" s="87" t="s">
        <v>13</v>
      </c>
      <c r="C124" s="87" t="s">
        <v>226</v>
      </c>
      <c r="D124" s="87" t="s">
        <v>274</v>
      </c>
      <c r="E124" s="87" t="s">
        <v>275</v>
      </c>
      <c r="F124" s="87">
        <v>32.78810361</v>
      </c>
      <c r="G124" s="87">
        <v>44.267386271200003</v>
      </c>
      <c r="H124" s="86">
        <v>65</v>
      </c>
      <c r="I124" s="86">
        <v>390</v>
      </c>
      <c r="J124" s="87"/>
      <c r="K124" s="87">
        <v>65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>
        <v>65</v>
      </c>
      <c r="AI124" s="87"/>
      <c r="AJ124" s="87"/>
      <c r="AK124" s="87"/>
      <c r="AL124" s="87"/>
      <c r="AM124" s="87"/>
      <c r="AN124" s="87"/>
      <c r="AO124" s="87">
        <v>65</v>
      </c>
      <c r="AP124" s="87"/>
      <c r="AQ124" s="87"/>
      <c r="AR124" s="87"/>
      <c r="AS124" s="87"/>
      <c r="AT124" s="87"/>
      <c r="AU124" s="87"/>
      <c r="AV124" s="87"/>
      <c r="AW124" s="88" t="str">
        <f>HYPERLINK("http://www.openstreetmap.org/?mlat=32.7881&amp;mlon=44.2674&amp;zoom=12#map=12/32.7881/44.2674","Maplink1")</f>
        <v>Maplink1</v>
      </c>
      <c r="AX124" s="88" t="str">
        <f>HYPERLINK("https://www.google.iq/maps/search/+32.7881,44.2674/@32.7881,44.2674,14z?hl=en","Maplink2")</f>
        <v>Maplink2</v>
      </c>
      <c r="AY124" s="88" t="str">
        <f>HYPERLINK("http://www.bing.com/maps/?lvl=14&amp;sty=h&amp;cp=32.7881~44.2674&amp;sp=point.32.7881_44.2674","Maplink3")</f>
        <v>Maplink3</v>
      </c>
      <c r="AZ124" s="76"/>
    </row>
    <row r="125" spans="1:52" x14ac:dyDescent="0.25">
      <c r="A125" s="86">
        <v>26119</v>
      </c>
      <c r="B125" s="87" t="s">
        <v>13</v>
      </c>
      <c r="C125" s="87" t="s">
        <v>226</v>
      </c>
      <c r="D125" s="87" t="s">
        <v>276</v>
      </c>
      <c r="E125" s="87" t="s">
        <v>277</v>
      </c>
      <c r="F125" s="87">
        <v>32.782668578100001</v>
      </c>
      <c r="G125" s="87">
        <v>44.265773852499997</v>
      </c>
      <c r="H125" s="86">
        <v>47</v>
      </c>
      <c r="I125" s="86">
        <v>282</v>
      </c>
      <c r="J125" s="87">
        <v>1</v>
      </c>
      <c r="K125" s="87">
        <v>46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>
        <v>47</v>
      </c>
      <c r="AI125" s="87"/>
      <c r="AJ125" s="87"/>
      <c r="AK125" s="87"/>
      <c r="AL125" s="87"/>
      <c r="AM125" s="87"/>
      <c r="AN125" s="87"/>
      <c r="AO125" s="87">
        <v>46</v>
      </c>
      <c r="AP125" s="87"/>
      <c r="AQ125" s="87">
        <v>1</v>
      </c>
      <c r="AR125" s="87"/>
      <c r="AS125" s="87"/>
      <c r="AT125" s="87"/>
      <c r="AU125" s="87"/>
      <c r="AV125" s="87"/>
      <c r="AW125" s="88" t="str">
        <f>HYPERLINK("http://www.openstreetmap.org/?mlat=32.7827&amp;mlon=44.2658&amp;zoom=12#map=12/32.7827/44.2658","Maplink1")</f>
        <v>Maplink1</v>
      </c>
      <c r="AX125" s="88" t="str">
        <f>HYPERLINK("https://www.google.iq/maps/search/+32.7827,44.2658/@32.7827,44.2658,14z?hl=en","Maplink2")</f>
        <v>Maplink2</v>
      </c>
      <c r="AY125" s="88" t="str">
        <f>HYPERLINK("http://www.bing.com/maps/?lvl=14&amp;sty=h&amp;cp=32.7827~44.2658&amp;sp=point.32.7827_44.2658","Maplink3")</f>
        <v>Maplink3</v>
      </c>
      <c r="AZ125" s="76"/>
    </row>
    <row r="126" spans="1:52" x14ac:dyDescent="0.25">
      <c r="A126" s="86">
        <v>24169</v>
      </c>
      <c r="B126" s="87" t="s">
        <v>13</v>
      </c>
      <c r="C126" s="87" t="s">
        <v>226</v>
      </c>
      <c r="D126" s="87" t="s">
        <v>278</v>
      </c>
      <c r="E126" s="87" t="s">
        <v>279</v>
      </c>
      <c r="F126" s="87">
        <v>32.777330942299997</v>
      </c>
      <c r="G126" s="87">
        <v>44.264013349899997</v>
      </c>
      <c r="H126" s="86">
        <v>77</v>
      </c>
      <c r="I126" s="86">
        <v>462</v>
      </c>
      <c r="J126" s="87">
        <v>1</v>
      </c>
      <c r="K126" s="87">
        <v>76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>
        <v>77</v>
      </c>
      <c r="AI126" s="87"/>
      <c r="AJ126" s="87"/>
      <c r="AK126" s="87"/>
      <c r="AL126" s="87"/>
      <c r="AM126" s="87"/>
      <c r="AN126" s="87"/>
      <c r="AO126" s="87">
        <v>76</v>
      </c>
      <c r="AP126" s="87"/>
      <c r="AQ126" s="87">
        <v>1</v>
      </c>
      <c r="AR126" s="87"/>
      <c r="AS126" s="87"/>
      <c r="AT126" s="87"/>
      <c r="AU126" s="87"/>
      <c r="AV126" s="87"/>
      <c r="AW126" s="88" t="str">
        <f>HYPERLINK("http://www.openstreetmap.org/?mlat=32.7773&amp;mlon=44.264&amp;zoom=12#map=12/32.7773/44.264","Maplink1")</f>
        <v>Maplink1</v>
      </c>
      <c r="AX126" s="88" t="str">
        <f>HYPERLINK("https://www.google.iq/maps/search/+32.7773,44.264/@32.7773,44.264,14z?hl=en","Maplink2")</f>
        <v>Maplink2</v>
      </c>
      <c r="AY126" s="88" t="str">
        <f>HYPERLINK("http://www.bing.com/maps/?lvl=14&amp;sty=h&amp;cp=32.7773~44.264&amp;sp=point.32.7773_44.264","Maplink3")</f>
        <v>Maplink3</v>
      </c>
      <c r="AZ126" s="76"/>
    </row>
    <row r="127" spans="1:52" x14ac:dyDescent="0.25">
      <c r="A127" s="86">
        <v>29582</v>
      </c>
      <c r="B127" s="87" t="s">
        <v>13</v>
      </c>
      <c r="C127" s="87" t="s">
        <v>226</v>
      </c>
      <c r="D127" s="87" t="s">
        <v>280</v>
      </c>
      <c r="E127" s="87" t="s">
        <v>281</v>
      </c>
      <c r="F127" s="87">
        <v>32.788030717700003</v>
      </c>
      <c r="G127" s="87">
        <v>44.267977281199997</v>
      </c>
      <c r="H127" s="86">
        <v>92</v>
      </c>
      <c r="I127" s="86">
        <v>552</v>
      </c>
      <c r="J127" s="87"/>
      <c r="K127" s="87">
        <v>92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>
        <v>90</v>
      </c>
      <c r="AI127" s="87"/>
      <c r="AJ127" s="87"/>
      <c r="AK127" s="87"/>
      <c r="AL127" s="87">
        <v>2</v>
      </c>
      <c r="AM127" s="87"/>
      <c r="AN127" s="87"/>
      <c r="AO127" s="87">
        <v>77</v>
      </c>
      <c r="AP127" s="87">
        <v>15</v>
      </c>
      <c r="AQ127" s="87"/>
      <c r="AR127" s="87"/>
      <c r="AS127" s="87"/>
      <c r="AT127" s="87"/>
      <c r="AU127" s="87"/>
      <c r="AV127" s="87"/>
      <c r="AW127" s="88" t="str">
        <f>HYPERLINK("http://www.openstreetmap.org/?mlat=32.788&amp;mlon=44.268&amp;zoom=12#map=12/32.788/44.268","Maplink1")</f>
        <v>Maplink1</v>
      </c>
      <c r="AX127" s="88" t="str">
        <f>HYPERLINK("https://www.google.iq/maps/search/+32.788,44.268/@32.788,44.268,14z?hl=en","Maplink2")</f>
        <v>Maplink2</v>
      </c>
      <c r="AY127" s="88" t="str">
        <f>HYPERLINK("http://www.bing.com/maps/?lvl=14&amp;sty=h&amp;cp=32.788~44.268&amp;sp=point.32.788_44.268","Maplink3")</f>
        <v>Maplink3</v>
      </c>
      <c r="AZ127" s="76"/>
    </row>
    <row r="128" spans="1:52" x14ac:dyDescent="0.25">
      <c r="A128" s="86">
        <v>24982</v>
      </c>
      <c r="B128" s="87" t="s">
        <v>13</v>
      </c>
      <c r="C128" s="87" t="s">
        <v>226</v>
      </c>
      <c r="D128" s="87" t="s">
        <v>282</v>
      </c>
      <c r="E128" s="87" t="s">
        <v>283</v>
      </c>
      <c r="F128" s="87">
        <v>32.786327894400003</v>
      </c>
      <c r="G128" s="87">
        <v>44.267096456499999</v>
      </c>
      <c r="H128" s="86">
        <v>155</v>
      </c>
      <c r="I128" s="86">
        <v>930</v>
      </c>
      <c r="J128" s="87"/>
      <c r="K128" s="87">
        <v>155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>
        <v>155</v>
      </c>
      <c r="AI128" s="87"/>
      <c r="AJ128" s="87"/>
      <c r="AK128" s="87"/>
      <c r="AL128" s="87"/>
      <c r="AM128" s="87"/>
      <c r="AN128" s="87"/>
      <c r="AO128" s="87">
        <v>75</v>
      </c>
      <c r="AP128" s="87">
        <v>80</v>
      </c>
      <c r="AQ128" s="87"/>
      <c r="AR128" s="87"/>
      <c r="AS128" s="87"/>
      <c r="AT128" s="87"/>
      <c r="AU128" s="87"/>
      <c r="AV128" s="87"/>
      <c r="AW128" s="88" t="str">
        <f>HYPERLINK("http://www.openstreetmap.org/?mlat=32.7863&amp;mlon=44.2671&amp;zoom=12#map=12/32.7863/44.2671","Maplink1")</f>
        <v>Maplink1</v>
      </c>
      <c r="AX128" s="88" t="str">
        <f>HYPERLINK("https://www.google.iq/maps/search/+32.7863,44.2671/@32.7863,44.2671,14z?hl=en","Maplink2")</f>
        <v>Maplink2</v>
      </c>
      <c r="AY128" s="88" t="str">
        <f>HYPERLINK("http://www.bing.com/maps/?lvl=14&amp;sty=h&amp;cp=32.7863~44.2671&amp;sp=point.32.7863_44.2671","Maplink3")</f>
        <v>Maplink3</v>
      </c>
      <c r="AZ128" s="76"/>
    </row>
    <row r="129" spans="1:52" x14ac:dyDescent="0.25">
      <c r="A129" s="86">
        <v>24171</v>
      </c>
      <c r="B129" s="87" t="s">
        <v>13</v>
      </c>
      <c r="C129" s="87" t="s">
        <v>226</v>
      </c>
      <c r="D129" s="87" t="s">
        <v>284</v>
      </c>
      <c r="E129" s="87" t="s">
        <v>285</v>
      </c>
      <c r="F129" s="87">
        <v>32.783550357599999</v>
      </c>
      <c r="G129" s="87">
        <v>44.266418986200001</v>
      </c>
      <c r="H129" s="86">
        <v>145</v>
      </c>
      <c r="I129" s="86">
        <v>870</v>
      </c>
      <c r="J129" s="87"/>
      <c r="K129" s="87">
        <v>145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>
        <v>145</v>
      </c>
      <c r="AI129" s="87"/>
      <c r="AJ129" s="87"/>
      <c r="AK129" s="87"/>
      <c r="AL129" s="87"/>
      <c r="AM129" s="87"/>
      <c r="AN129" s="87"/>
      <c r="AO129" s="87">
        <v>77</v>
      </c>
      <c r="AP129" s="87">
        <v>68</v>
      </c>
      <c r="AQ129" s="87"/>
      <c r="AR129" s="87"/>
      <c r="AS129" s="87"/>
      <c r="AT129" s="87"/>
      <c r="AU129" s="87"/>
      <c r="AV129" s="87"/>
      <c r="AW129" s="88" t="str">
        <f>HYPERLINK("http://www.openstreetmap.org/?mlat=32.7836&amp;mlon=44.2664&amp;zoom=12#map=12/32.7836/44.2664","Maplink1")</f>
        <v>Maplink1</v>
      </c>
      <c r="AX129" s="88" t="str">
        <f>HYPERLINK("https://www.google.iq/maps/search/+32.7836,44.2664/@32.7836,44.2664,14z?hl=en","Maplink2")</f>
        <v>Maplink2</v>
      </c>
      <c r="AY129" s="88" t="str">
        <f>HYPERLINK("http://www.bing.com/maps/?lvl=14&amp;sty=h&amp;cp=32.7836~44.2664&amp;sp=point.32.7836_44.2664","Maplink3")</f>
        <v>Maplink3</v>
      </c>
      <c r="AZ129" s="76"/>
    </row>
    <row r="130" spans="1:52" x14ac:dyDescent="0.25">
      <c r="A130" s="86">
        <v>27308</v>
      </c>
      <c r="B130" s="87" t="s">
        <v>13</v>
      </c>
      <c r="C130" s="87" t="s">
        <v>226</v>
      </c>
      <c r="D130" s="87" t="s">
        <v>286</v>
      </c>
      <c r="E130" s="87" t="s">
        <v>287</v>
      </c>
      <c r="F130" s="87">
        <v>32.749229257300001</v>
      </c>
      <c r="G130" s="87">
        <v>44.276110253600002</v>
      </c>
      <c r="H130" s="86">
        <v>8</v>
      </c>
      <c r="I130" s="86">
        <v>48</v>
      </c>
      <c r="J130" s="87"/>
      <c r="K130" s="87">
        <v>8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>
        <v>8</v>
      </c>
      <c r="AI130" s="87"/>
      <c r="AJ130" s="87"/>
      <c r="AK130" s="87"/>
      <c r="AL130" s="87"/>
      <c r="AM130" s="87"/>
      <c r="AN130" s="87"/>
      <c r="AO130" s="87">
        <v>8</v>
      </c>
      <c r="AP130" s="87"/>
      <c r="AQ130" s="87"/>
      <c r="AR130" s="87"/>
      <c r="AS130" s="87"/>
      <c r="AT130" s="87"/>
      <c r="AU130" s="87"/>
      <c r="AV130" s="87"/>
      <c r="AW130" s="88" t="str">
        <f>HYPERLINK("http://www.openstreetmap.org/?mlat=32.7492&amp;mlon=44.2761&amp;zoom=12#map=12/32.7492/44.2761","Maplink1")</f>
        <v>Maplink1</v>
      </c>
      <c r="AX130" s="88" t="str">
        <f>HYPERLINK("https://www.google.iq/maps/search/+32.7492,44.2761/@32.7492,44.2761,14z?hl=en","Maplink2")</f>
        <v>Maplink2</v>
      </c>
      <c r="AY130" s="88" t="str">
        <f>HYPERLINK("http://www.bing.com/maps/?lvl=14&amp;sty=h&amp;cp=32.7492~44.2761&amp;sp=point.32.7492_44.2761","Maplink3")</f>
        <v>Maplink3</v>
      </c>
      <c r="AZ130" s="76"/>
    </row>
    <row r="131" spans="1:52" x14ac:dyDescent="0.25">
      <c r="A131" s="86">
        <v>7218</v>
      </c>
      <c r="B131" s="87" t="s">
        <v>13</v>
      </c>
      <c r="C131" s="87" t="s">
        <v>226</v>
      </c>
      <c r="D131" s="87" t="s">
        <v>69</v>
      </c>
      <c r="E131" s="87" t="s">
        <v>70</v>
      </c>
      <c r="F131" s="87">
        <v>32.701810802899999</v>
      </c>
      <c r="G131" s="87">
        <v>44.270040285699999</v>
      </c>
      <c r="H131" s="86">
        <v>2</v>
      </c>
      <c r="I131" s="86">
        <v>12</v>
      </c>
      <c r="J131" s="87"/>
      <c r="K131" s="87">
        <v>2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>
        <v>2</v>
      </c>
      <c r="AI131" s="87"/>
      <c r="AJ131" s="87"/>
      <c r="AK131" s="87"/>
      <c r="AL131" s="87"/>
      <c r="AM131" s="87"/>
      <c r="AN131" s="87"/>
      <c r="AO131" s="87">
        <v>2</v>
      </c>
      <c r="AP131" s="87"/>
      <c r="AQ131" s="87"/>
      <c r="AR131" s="87"/>
      <c r="AS131" s="87"/>
      <c r="AT131" s="87"/>
      <c r="AU131" s="87"/>
      <c r="AV131" s="87"/>
      <c r="AW131" s="88" t="str">
        <f>HYPERLINK("http://www.openstreetmap.org/?mlat=32.7018&amp;mlon=44.27&amp;zoom=12#map=12/32.7018/44.27","Maplink1")</f>
        <v>Maplink1</v>
      </c>
      <c r="AX131" s="88" t="str">
        <f>HYPERLINK("https://www.google.iq/maps/search/+32.7018,44.27/@32.7018,44.27,14z?hl=en","Maplink2")</f>
        <v>Maplink2</v>
      </c>
      <c r="AY131" s="88" t="str">
        <f>HYPERLINK("http://www.bing.com/maps/?lvl=14&amp;sty=h&amp;cp=32.7018~44.27&amp;sp=point.32.7018_44.27","Maplink3")</f>
        <v>Maplink3</v>
      </c>
      <c r="AZ131" s="76"/>
    </row>
    <row r="132" spans="1:52" x14ac:dyDescent="0.25">
      <c r="A132" s="86">
        <v>24648</v>
      </c>
      <c r="B132" s="87" t="s">
        <v>13</v>
      </c>
      <c r="C132" s="87" t="s">
        <v>226</v>
      </c>
      <c r="D132" s="87" t="s">
        <v>288</v>
      </c>
      <c r="E132" s="87" t="s">
        <v>289</v>
      </c>
      <c r="F132" s="87">
        <v>32.878730440299996</v>
      </c>
      <c r="G132" s="87">
        <v>44.383865463100001</v>
      </c>
      <c r="H132" s="86">
        <v>2</v>
      </c>
      <c r="I132" s="86">
        <v>12</v>
      </c>
      <c r="J132" s="87"/>
      <c r="K132" s="87">
        <v>2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>
        <v>2</v>
      </c>
      <c r="AI132" s="87"/>
      <c r="AJ132" s="87"/>
      <c r="AK132" s="87"/>
      <c r="AL132" s="87"/>
      <c r="AM132" s="87"/>
      <c r="AN132" s="87"/>
      <c r="AO132" s="87">
        <v>2</v>
      </c>
      <c r="AP132" s="87"/>
      <c r="AQ132" s="87"/>
      <c r="AR132" s="87"/>
      <c r="AS132" s="87"/>
      <c r="AT132" s="87"/>
      <c r="AU132" s="87"/>
      <c r="AV132" s="87"/>
      <c r="AW132" s="88" t="str">
        <f>HYPERLINK("http://www.openstreetmap.org/?mlat=32.8787&amp;mlon=44.3839&amp;zoom=12#map=12/32.8787/44.3839","Maplink1")</f>
        <v>Maplink1</v>
      </c>
      <c r="AX132" s="88" t="str">
        <f>HYPERLINK("https://www.google.iq/maps/search/+32.8787,44.3839/@32.8787,44.3839,14z?hl=en","Maplink2")</f>
        <v>Maplink2</v>
      </c>
      <c r="AY132" s="88" t="str">
        <f>HYPERLINK("http://www.bing.com/maps/?lvl=14&amp;sty=h&amp;cp=32.8787~44.3839&amp;sp=point.32.8787_44.3839","Maplink3")</f>
        <v>Maplink3</v>
      </c>
      <c r="AZ132" s="76"/>
    </row>
    <row r="133" spans="1:52" x14ac:dyDescent="0.25">
      <c r="A133" s="86">
        <v>24706</v>
      </c>
      <c r="B133" s="87" t="s">
        <v>13</v>
      </c>
      <c r="C133" s="87" t="s">
        <v>226</v>
      </c>
      <c r="D133" s="87" t="s">
        <v>290</v>
      </c>
      <c r="E133" s="87" t="s">
        <v>291</v>
      </c>
      <c r="F133" s="87">
        <v>32.707716463499999</v>
      </c>
      <c r="G133" s="87">
        <v>44.270245839399998</v>
      </c>
      <c r="H133" s="86">
        <v>6</v>
      </c>
      <c r="I133" s="86">
        <v>36</v>
      </c>
      <c r="J133" s="87"/>
      <c r="K133" s="87">
        <v>6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>
        <v>6</v>
      </c>
      <c r="AI133" s="87"/>
      <c r="AJ133" s="87"/>
      <c r="AK133" s="87"/>
      <c r="AL133" s="87"/>
      <c r="AM133" s="87"/>
      <c r="AN133" s="87"/>
      <c r="AO133" s="87">
        <v>6</v>
      </c>
      <c r="AP133" s="87"/>
      <c r="AQ133" s="87"/>
      <c r="AR133" s="87"/>
      <c r="AS133" s="87"/>
      <c r="AT133" s="87"/>
      <c r="AU133" s="87"/>
      <c r="AV133" s="87"/>
      <c r="AW133" s="88" t="str">
        <f>HYPERLINK("http://www.openstreetmap.org/?mlat=32.7077&amp;mlon=44.2702&amp;zoom=12#map=12/32.7077/44.2702","Maplink1")</f>
        <v>Maplink1</v>
      </c>
      <c r="AX133" s="88" t="str">
        <f>HYPERLINK("https://www.google.iq/maps/search/+32.7077,44.2702/@32.7077,44.2702,14z?hl=en","Maplink2")</f>
        <v>Maplink2</v>
      </c>
      <c r="AY133" s="88" t="str">
        <f>HYPERLINK("http://www.bing.com/maps/?lvl=14&amp;sty=h&amp;cp=32.7077~44.2702&amp;sp=point.32.7077_44.2702","Maplink3")</f>
        <v>Maplink3</v>
      </c>
      <c r="AZ133" s="76"/>
    </row>
    <row r="134" spans="1:52" x14ac:dyDescent="0.25">
      <c r="A134" s="86">
        <v>24170</v>
      </c>
      <c r="B134" s="87" t="s">
        <v>13</v>
      </c>
      <c r="C134" s="87" t="s">
        <v>226</v>
      </c>
      <c r="D134" s="87" t="s">
        <v>117</v>
      </c>
      <c r="E134" s="87" t="s">
        <v>118</v>
      </c>
      <c r="F134" s="87">
        <v>32.7869417024</v>
      </c>
      <c r="G134" s="87">
        <v>44.275270024999998</v>
      </c>
      <c r="H134" s="86">
        <v>17</v>
      </c>
      <c r="I134" s="86">
        <v>102</v>
      </c>
      <c r="J134" s="87"/>
      <c r="K134" s="87">
        <v>17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>
        <v>17</v>
      </c>
      <c r="AI134" s="87"/>
      <c r="AJ134" s="87"/>
      <c r="AK134" s="87"/>
      <c r="AL134" s="87"/>
      <c r="AM134" s="87"/>
      <c r="AN134" s="87"/>
      <c r="AO134" s="87">
        <v>17</v>
      </c>
      <c r="AP134" s="87"/>
      <c r="AQ134" s="87"/>
      <c r="AR134" s="87"/>
      <c r="AS134" s="87"/>
      <c r="AT134" s="87"/>
      <c r="AU134" s="87"/>
      <c r="AV134" s="87"/>
      <c r="AW134" s="88" t="str">
        <f>HYPERLINK("http://www.openstreetmap.org/?mlat=32.7869&amp;mlon=44.2753&amp;zoom=12#map=12/32.7869/44.2753","Maplink1")</f>
        <v>Maplink1</v>
      </c>
      <c r="AX134" s="88" t="str">
        <f>HYPERLINK("https://www.google.iq/maps/search/+32.7869,44.2753/@32.7869,44.2753,14z?hl=en","Maplink2")</f>
        <v>Maplink2</v>
      </c>
      <c r="AY134" s="88" t="str">
        <f>HYPERLINK("http://www.bing.com/maps/?lvl=14&amp;sty=h&amp;cp=32.7869~44.2753&amp;sp=point.32.7869_44.2753","Maplink3")</f>
        <v>Maplink3</v>
      </c>
      <c r="AZ134" s="76"/>
    </row>
    <row r="135" spans="1:52" x14ac:dyDescent="0.25">
      <c r="A135" s="86">
        <v>24653</v>
      </c>
      <c r="B135" s="87" t="s">
        <v>13</v>
      </c>
      <c r="C135" s="87" t="s">
        <v>226</v>
      </c>
      <c r="D135" s="87" t="s">
        <v>292</v>
      </c>
      <c r="E135" s="87" t="s">
        <v>293</v>
      </c>
      <c r="F135" s="87">
        <v>32.875757195699997</v>
      </c>
      <c r="G135" s="87">
        <v>44.386249999999997</v>
      </c>
      <c r="H135" s="86">
        <v>17</v>
      </c>
      <c r="I135" s="86">
        <v>102</v>
      </c>
      <c r="J135" s="87"/>
      <c r="K135" s="87">
        <v>17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>
        <v>17</v>
      </c>
      <c r="AI135" s="87"/>
      <c r="AJ135" s="87"/>
      <c r="AK135" s="87"/>
      <c r="AL135" s="87"/>
      <c r="AM135" s="87"/>
      <c r="AN135" s="87"/>
      <c r="AO135" s="87"/>
      <c r="AP135" s="87">
        <v>17</v>
      </c>
      <c r="AQ135" s="87"/>
      <c r="AR135" s="87"/>
      <c r="AS135" s="87"/>
      <c r="AT135" s="87"/>
      <c r="AU135" s="87"/>
      <c r="AV135" s="87"/>
      <c r="AW135" s="88" t="str">
        <f>HYPERLINK("http://www.openstreetmap.org/?mlat=32.8758&amp;mlon=44.3862&amp;zoom=12#map=12/32.8758/44.3862","Maplink1")</f>
        <v>Maplink1</v>
      </c>
      <c r="AX135" s="88" t="str">
        <f>HYPERLINK("https://www.google.iq/maps/search/+32.8758,44.3862/@32.8758,44.3862,14z?hl=en","Maplink2")</f>
        <v>Maplink2</v>
      </c>
      <c r="AY135" s="88" t="str">
        <f>HYPERLINK("http://www.bing.com/maps/?lvl=14&amp;sty=h&amp;cp=32.8758~44.3862&amp;sp=point.32.8758_44.3862","Maplink3")</f>
        <v>Maplink3</v>
      </c>
      <c r="AZ135" s="76"/>
    </row>
    <row r="136" spans="1:52" x14ac:dyDescent="0.25">
      <c r="A136" s="86">
        <v>6951</v>
      </c>
      <c r="B136" s="87" t="s">
        <v>13</v>
      </c>
      <c r="C136" s="87" t="s">
        <v>226</v>
      </c>
      <c r="D136" s="87" t="s">
        <v>216</v>
      </c>
      <c r="E136" s="87" t="s">
        <v>294</v>
      </c>
      <c r="F136" s="87">
        <v>32.7754051004</v>
      </c>
      <c r="G136" s="87">
        <v>44.288528563200003</v>
      </c>
      <c r="H136" s="86">
        <v>8</v>
      </c>
      <c r="I136" s="86">
        <v>48</v>
      </c>
      <c r="J136" s="87"/>
      <c r="K136" s="87">
        <v>8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>
        <v>8</v>
      </c>
      <c r="AI136" s="87"/>
      <c r="AJ136" s="87"/>
      <c r="AK136" s="87"/>
      <c r="AL136" s="87"/>
      <c r="AM136" s="87"/>
      <c r="AN136" s="87"/>
      <c r="AO136" s="87"/>
      <c r="AP136" s="87">
        <v>8</v>
      </c>
      <c r="AQ136" s="87"/>
      <c r="AR136" s="87"/>
      <c r="AS136" s="87"/>
      <c r="AT136" s="87"/>
      <c r="AU136" s="87"/>
      <c r="AV136" s="87"/>
      <c r="AW136" s="88" t="str">
        <f>HYPERLINK("http://www.openstreetmap.org/?mlat=32.7754&amp;mlon=44.2885&amp;zoom=12#map=12/32.7754/44.2885","Maplink1")</f>
        <v>Maplink1</v>
      </c>
      <c r="AX136" s="88" t="str">
        <f>HYPERLINK("https://www.google.iq/maps/search/+32.7754,44.2885/@32.7754,44.2885,14z?hl=en","Maplink2")</f>
        <v>Maplink2</v>
      </c>
      <c r="AY136" s="88" t="str">
        <f>HYPERLINK("http://www.bing.com/maps/?lvl=14&amp;sty=h&amp;cp=32.7754~44.2885&amp;sp=point.32.7754_44.2885","Maplink3")</f>
        <v>Maplink3</v>
      </c>
      <c r="AZ136" s="76"/>
    </row>
    <row r="137" spans="1:52" x14ac:dyDescent="0.25">
      <c r="A137" s="86">
        <v>7196</v>
      </c>
      <c r="B137" s="87" t="s">
        <v>13</v>
      </c>
      <c r="C137" s="87" t="s">
        <v>226</v>
      </c>
      <c r="D137" s="87" t="s">
        <v>295</v>
      </c>
      <c r="E137" s="87" t="s">
        <v>296</v>
      </c>
      <c r="F137" s="87">
        <v>32.754816814599998</v>
      </c>
      <c r="G137" s="87">
        <v>44.280373250899999</v>
      </c>
      <c r="H137" s="86">
        <v>28</v>
      </c>
      <c r="I137" s="86">
        <v>168</v>
      </c>
      <c r="J137" s="87"/>
      <c r="K137" s="87">
        <v>28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>
        <v>28</v>
      </c>
      <c r="AI137" s="87"/>
      <c r="AJ137" s="87"/>
      <c r="AK137" s="87"/>
      <c r="AL137" s="87"/>
      <c r="AM137" s="87"/>
      <c r="AN137" s="87"/>
      <c r="AO137" s="87">
        <v>28</v>
      </c>
      <c r="AP137" s="87"/>
      <c r="AQ137" s="87"/>
      <c r="AR137" s="87"/>
      <c r="AS137" s="87"/>
      <c r="AT137" s="87"/>
      <c r="AU137" s="87"/>
      <c r="AV137" s="87"/>
      <c r="AW137" s="88" t="str">
        <f>HYPERLINK("http://www.openstreetmap.org/?mlat=32.7548&amp;mlon=44.2804&amp;zoom=12#map=12/32.7548/44.2804","Maplink1")</f>
        <v>Maplink1</v>
      </c>
      <c r="AX137" s="88" t="str">
        <f>HYPERLINK("https://www.google.iq/maps/search/+32.7548,44.2804/@32.7548,44.2804,14z?hl=en","Maplink2")</f>
        <v>Maplink2</v>
      </c>
      <c r="AY137" s="88" t="str">
        <f>HYPERLINK("http://www.bing.com/maps/?lvl=14&amp;sty=h&amp;cp=32.7548~44.2804&amp;sp=point.32.7548_44.2804","Maplink3")</f>
        <v>Maplink3</v>
      </c>
      <c r="AZ137" s="76"/>
    </row>
    <row r="138" spans="1:52" x14ac:dyDescent="0.25">
      <c r="A138" s="86">
        <v>24984</v>
      </c>
      <c r="B138" s="87" t="s">
        <v>13</v>
      </c>
      <c r="C138" s="87" t="s">
        <v>226</v>
      </c>
      <c r="D138" s="87" t="s">
        <v>297</v>
      </c>
      <c r="E138" s="87" t="s">
        <v>298</v>
      </c>
      <c r="F138" s="87">
        <v>32.882900990400003</v>
      </c>
      <c r="G138" s="87">
        <v>44.341907311900002</v>
      </c>
      <c r="H138" s="86">
        <v>129</v>
      </c>
      <c r="I138" s="86">
        <v>774</v>
      </c>
      <c r="J138" s="87"/>
      <c r="K138" s="87">
        <v>129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>
        <v>129</v>
      </c>
      <c r="AI138" s="87"/>
      <c r="AJ138" s="87"/>
      <c r="AK138" s="87"/>
      <c r="AL138" s="87"/>
      <c r="AM138" s="87"/>
      <c r="AN138" s="87"/>
      <c r="AO138" s="87">
        <v>129</v>
      </c>
      <c r="AP138" s="87"/>
      <c r="AQ138" s="87"/>
      <c r="AR138" s="87"/>
      <c r="AS138" s="87"/>
      <c r="AT138" s="87"/>
      <c r="AU138" s="87"/>
      <c r="AV138" s="87"/>
      <c r="AW138" s="88" t="str">
        <f>HYPERLINK("http://www.openstreetmap.org/?mlat=32.8829&amp;mlon=44.3419&amp;zoom=12#map=12/32.8829/44.3419","Maplink1")</f>
        <v>Maplink1</v>
      </c>
      <c r="AX138" s="88" t="str">
        <f>HYPERLINK("https://www.google.iq/maps/search/+32.8829,44.3419/@32.8829,44.3419,14z?hl=en","Maplink2")</f>
        <v>Maplink2</v>
      </c>
      <c r="AY138" s="88" t="str">
        <f>HYPERLINK("http://www.bing.com/maps/?lvl=14&amp;sty=h&amp;cp=32.8829~44.3419&amp;sp=point.32.8829_44.3419","Maplink3")</f>
        <v>Maplink3</v>
      </c>
      <c r="AZ138" s="76"/>
    </row>
    <row r="139" spans="1:52" x14ac:dyDescent="0.25">
      <c r="A139" s="86">
        <v>24654</v>
      </c>
      <c r="B139" s="87" t="s">
        <v>13</v>
      </c>
      <c r="C139" s="87" t="s">
        <v>226</v>
      </c>
      <c r="D139" s="87" t="s">
        <v>299</v>
      </c>
      <c r="E139" s="87" t="s">
        <v>300</v>
      </c>
      <c r="F139" s="87">
        <v>32.890041123899998</v>
      </c>
      <c r="G139" s="87">
        <v>44.350543588599997</v>
      </c>
      <c r="H139" s="86">
        <v>7</v>
      </c>
      <c r="I139" s="86">
        <v>42</v>
      </c>
      <c r="J139" s="87"/>
      <c r="K139" s="87">
        <v>2</v>
      </c>
      <c r="L139" s="87">
        <v>5</v>
      </c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>
        <v>7</v>
      </c>
      <c r="AI139" s="87"/>
      <c r="AJ139" s="87"/>
      <c r="AK139" s="87"/>
      <c r="AL139" s="87"/>
      <c r="AM139" s="87"/>
      <c r="AN139" s="87"/>
      <c r="AO139" s="87">
        <v>7</v>
      </c>
      <c r="AP139" s="87"/>
      <c r="AQ139" s="87"/>
      <c r="AR139" s="87"/>
      <c r="AS139" s="87"/>
      <c r="AT139" s="87"/>
      <c r="AU139" s="87"/>
      <c r="AV139" s="87"/>
      <c r="AW139" s="88" t="str">
        <f>HYPERLINK("http://www.openstreetmap.org/?mlat=32.89&amp;mlon=44.3505&amp;zoom=12#map=12/32.89/44.3505","Maplink1")</f>
        <v>Maplink1</v>
      </c>
      <c r="AX139" s="88" t="str">
        <f>HYPERLINK("https://www.google.iq/maps/search/+32.89,44.3505/@32.89,44.3505,14z?hl=en","Maplink2")</f>
        <v>Maplink2</v>
      </c>
      <c r="AY139" s="88" t="str">
        <f>HYPERLINK("http://www.bing.com/maps/?lvl=14&amp;sty=h&amp;cp=32.89~44.3505&amp;sp=point.32.89_44.3505","Maplink3")</f>
        <v>Maplink3</v>
      </c>
      <c r="AZ139" s="76"/>
    </row>
    <row r="140" spans="1:52" x14ac:dyDescent="0.25">
      <c r="A140" s="86">
        <v>6955</v>
      </c>
      <c r="B140" s="87" t="s">
        <v>13</v>
      </c>
      <c r="C140" s="87" t="s">
        <v>226</v>
      </c>
      <c r="D140" s="87" t="s">
        <v>301</v>
      </c>
      <c r="E140" s="87" t="s">
        <v>208</v>
      </c>
      <c r="F140" s="87">
        <v>32.877336188199997</v>
      </c>
      <c r="G140" s="87">
        <v>44.383501304900001</v>
      </c>
      <c r="H140" s="86">
        <v>37</v>
      </c>
      <c r="I140" s="86">
        <v>222</v>
      </c>
      <c r="J140" s="87"/>
      <c r="K140" s="87">
        <v>37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>
        <v>37</v>
      </c>
      <c r="AI140" s="87"/>
      <c r="AJ140" s="87"/>
      <c r="AK140" s="87"/>
      <c r="AL140" s="87"/>
      <c r="AM140" s="87"/>
      <c r="AN140" s="87"/>
      <c r="AO140" s="87"/>
      <c r="AP140" s="87">
        <v>37</v>
      </c>
      <c r="AQ140" s="87"/>
      <c r="AR140" s="87"/>
      <c r="AS140" s="87"/>
      <c r="AT140" s="87"/>
      <c r="AU140" s="87"/>
      <c r="AV140" s="87"/>
      <c r="AW140" s="88" t="str">
        <f>HYPERLINK("http://www.openstreetmap.org/?mlat=32.8773&amp;mlon=44.3835&amp;zoom=12#map=12/32.8773/44.3835","Maplink1")</f>
        <v>Maplink1</v>
      </c>
      <c r="AX140" s="88" t="str">
        <f>HYPERLINK("https://www.google.iq/maps/search/+32.8773,44.3835/@32.8773,44.3835,14z?hl=en","Maplink2")</f>
        <v>Maplink2</v>
      </c>
      <c r="AY140" s="88" t="str">
        <f>HYPERLINK("http://www.bing.com/maps/?lvl=14&amp;sty=h&amp;cp=32.8773~44.3835&amp;sp=point.32.8773_44.3835","Maplink3")</f>
        <v>Maplink3</v>
      </c>
      <c r="AZ140" s="76"/>
    </row>
    <row r="141" spans="1:52" x14ac:dyDescent="0.25">
      <c r="A141" s="86">
        <v>24985</v>
      </c>
      <c r="B141" s="87" t="s">
        <v>13</v>
      </c>
      <c r="C141" s="87" t="s">
        <v>226</v>
      </c>
      <c r="D141" s="87" t="s">
        <v>302</v>
      </c>
      <c r="E141" s="87" t="s">
        <v>303</v>
      </c>
      <c r="F141" s="87">
        <v>32.882584833000003</v>
      </c>
      <c r="G141" s="87">
        <v>44.348093646099997</v>
      </c>
      <c r="H141" s="86">
        <v>88</v>
      </c>
      <c r="I141" s="86">
        <v>528</v>
      </c>
      <c r="J141" s="87"/>
      <c r="K141" s="87">
        <v>88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>
        <v>88</v>
      </c>
      <c r="AI141" s="87"/>
      <c r="AJ141" s="87"/>
      <c r="AK141" s="87"/>
      <c r="AL141" s="87"/>
      <c r="AM141" s="87"/>
      <c r="AN141" s="87"/>
      <c r="AO141" s="87">
        <v>88</v>
      </c>
      <c r="AP141" s="87"/>
      <c r="AQ141" s="87"/>
      <c r="AR141" s="87"/>
      <c r="AS141" s="87"/>
      <c r="AT141" s="87"/>
      <c r="AU141" s="87"/>
      <c r="AV141" s="87"/>
      <c r="AW141" s="88" t="str">
        <f>HYPERLINK("http://www.openstreetmap.org/?mlat=32.8826&amp;mlon=44.3481&amp;zoom=12#map=12/32.8826/44.3481","Maplink1")</f>
        <v>Maplink1</v>
      </c>
      <c r="AX141" s="88" t="str">
        <f>HYPERLINK("https://www.google.iq/maps/search/+32.8826,44.3481/@32.8826,44.3481,14z?hl=en","Maplink2")</f>
        <v>Maplink2</v>
      </c>
      <c r="AY141" s="88" t="str">
        <f>HYPERLINK("http://www.bing.com/maps/?lvl=14&amp;sty=h&amp;cp=32.8826~44.3481&amp;sp=point.32.8826_44.3481","Maplink3")</f>
        <v>Maplink3</v>
      </c>
      <c r="AZ141" s="76"/>
    </row>
    <row r="142" spans="1:52" x14ac:dyDescent="0.25">
      <c r="A142" s="86">
        <v>24983</v>
      </c>
      <c r="B142" s="87" t="s">
        <v>13</v>
      </c>
      <c r="C142" s="87" t="s">
        <v>226</v>
      </c>
      <c r="D142" s="87" t="s">
        <v>304</v>
      </c>
      <c r="E142" s="87" t="s">
        <v>305</v>
      </c>
      <c r="F142" s="87">
        <v>32.789729635400001</v>
      </c>
      <c r="G142" s="87">
        <v>44.265534151600001</v>
      </c>
      <c r="H142" s="86">
        <v>125</v>
      </c>
      <c r="I142" s="86">
        <v>750</v>
      </c>
      <c r="J142" s="87"/>
      <c r="K142" s="87">
        <v>125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>
        <v>125</v>
      </c>
      <c r="AI142" s="87"/>
      <c r="AJ142" s="87"/>
      <c r="AK142" s="87"/>
      <c r="AL142" s="87"/>
      <c r="AM142" s="87"/>
      <c r="AN142" s="87"/>
      <c r="AO142" s="87"/>
      <c r="AP142" s="87">
        <v>125</v>
      </c>
      <c r="AQ142" s="87"/>
      <c r="AR142" s="87"/>
      <c r="AS142" s="87"/>
      <c r="AT142" s="87"/>
      <c r="AU142" s="87"/>
      <c r="AV142" s="87"/>
      <c r="AW142" s="88" t="str">
        <f>HYPERLINK("http://www.openstreetmap.org/?mlat=32.7897&amp;mlon=44.2655&amp;zoom=12#map=12/32.7897/44.2655","Maplink1")</f>
        <v>Maplink1</v>
      </c>
      <c r="AX142" s="88" t="str">
        <f>HYPERLINK("https://www.google.iq/maps/search/+32.7897,44.2655/@32.7897,44.2655,14z?hl=en","Maplink2")</f>
        <v>Maplink2</v>
      </c>
      <c r="AY142" s="88" t="str">
        <f>HYPERLINK("http://www.bing.com/maps/?lvl=14&amp;sty=h&amp;cp=32.7897~44.2655&amp;sp=point.32.7897_44.2655","Maplink3")</f>
        <v>Maplink3</v>
      </c>
      <c r="AZ142" s="76"/>
    </row>
    <row r="143" spans="1:52" x14ac:dyDescent="0.25">
      <c r="A143" s="86">
        <v>27370</v>
      </c>
      <c r="B143" s="87" t="s">
        <v>13</v>
      </c>
      <c r="C143" s="87" t="s">
        <v>226</v>
      </c>
      <c r="D143" s="87" t="s">
        <v>306</v>
      </c>
      <c r="E143" s="87" t="s">
        <v>307</v>
      </c>
      <c r="F143" s="87">
        <v>32.711929329500002</v>
      </c>
      <c r="G143" s="87">
        <v>44.275007596999998</v>
      </c>
      <c r="H143" s="86">
        <v>1</v>
      </c>
      <c r="I143" s="86">
        <v>6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>
        <v>1</v>
      </c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>
        <v>1</v>
      </c>
      <c r="AI143" s="87"/>
      <c r="AJ143" s="87"/>
      <c r="AK143" s="87"/>
      <c r="AL143" s="87"/>
      <c r="AM143" s="87"/>
      <c r="AN143" s="87"/>
      <c r="AO143" s="87"/>
      <c r="AP143" s="87">
        <v>1</v>
      </c>
      <c r="AQ143" s="87"/>
      <c r="AR143" s="87"/>
      <c r="AS143" s="87"/>
      <c r="AT143" s="87"/>
      <c r="AU143" s="87"/>
      <c r="AV143" s="87"/>
      <c r="AW143" s="88" t="str">
        <f>HYPERLINK("http://www.openstreetmap.org/?mlat=32.7119&amp;mlon=44.275&amp;zoom=12#map=12/32.7119/44.275","Maplink1")</f>
        <v>Maplink1</v>
      </c>
      <c r="AX143" s="88" t="str">
        <f>HYPERLINK("https://www.google.iq/maps/search/+32.7119,44.275/@32.7119,44.275,14z?hl=en","Maplink2")</f>
        <v>Maplink2</v>
      </c>
      <c r="AY143" s="88" t="str">
        <f>HYPERLINK("http://www.bing.com/maps/?lvl=14&amp;sty=h&amp;cp=32.7119~44.275&amp;sp=point.32.7119_44.275","Maplink3")</f>
        <v>Maplink3</v>
      </c>
      <c r="AZ143" s="76"/>
    </row>
    <row r="144" spans="1:52" x14ac:dyDescent="0.25">
      <c r="A144" s="86">
        <v>24955</v>
      </c>
      <c r="B144" s="87" t="s">
        <v>13</v>
      </c>
      <c r="C144" s="87" t="s">
        <v>226</v>
      </c>
      <c r="D144" s="87" t="s">
        <v>308</v>
      </c>
      <c r="E144" s="87" t="s">
        <v>309</v>
      </c>
      <c r="F144" s="87">
        <v>32.766590609399998</v>
      </c>
      <c r="G144" s="87">
        <v>44.288396259400002</v>
      </c>
      <c r="H144" s="86">
        <v>21</v>
      </c>
      <c r="I144" s="86">
        <v>126</v>
      </c>
      <c r="J144" s="87"/>
      <c r="K144" s="87">
        <v>21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>
        <v>21</v>
      </c>
      <c r="AI144" s="87"/>
      <c r="AJ144" s="87"/>
      <c r="AK144" s="87"/>
      <c r="AL144" s="87"/>
      <c r="AM144" s="87"/>
      <c r="AN144" s="87"/>
      <c r="AO144" s="87"/>
      <c r="AP144" s="87">
        <v>21</v>
      </c>
      <c r="AQ144" s="87"/>
      <c r="AR144" s="87"/>
      <c r="AS144" s="87"/>
      <c r="AT144" s="87"/>
      <c r="AU144" s="87"/>
      <c r="AV144" s="87"/>
      <c r="AW144" s="88" t="str">
        <f>HYPERLINK("http://www.openstreetmap.org/?mlat=32.7666&amp;mlon=44.2884&amp;zoom=12#map=12/32.7666/44.2884","Maplink1")</f>
        <v>Maplink1</v>
      </c>
      <c r="AX144" s="88" t="str">
        <f>HYPERLINK("https://www.google.iq/maps/search/+32.7666,44.2884/@32.7666,44.2884,14z?hl=en","Maplink2")</f>
        <v>Maplink2</v>
      </c>
      <c r="AY144" s="88" t="str">
        <f>HYPERLINK("http://www.bing.com/maps/?lvl=14&amp;sty=h&amp;cp=32.7666~44.2884&amp;sp=point.32.7666_44.2884","Maplink3")</f>
        <v>Maplink3</v>
      </c>
      <c r="AZ144" s="76"/>
    </row>
    <row r="145" spans="1:52" x14ac:dyDescent="0.25">
      <c r="A145" s="86">
        <v>24956</v>
      </c>
      <c r="B145" s="87" t="s">
        <v>13</v>
      </c>
      <c r="C145" s="87" t="s">
        <v>226</v>
      </c>
      <c r="D145" s="87" t="s">
        <v>310</v>
      </c>
      <c r="E145" s="87" t="s">
        <v>311</v>
      </c>
      <c r="F145" s="87">
        <v>32.764323681599997</v>
      </c>
      <c r="G145" s="87">
        <v>44.285928720299999</v>
      </c>
      <c r="H145" s="86">
        <v>2</v>
      </c>
      <c r="I145" s="86">
        <v>12</v>
      </c>
      <c r="J145" s="87"/>
      <c r="K145" s="87">
        <v>2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>
        <v>2</v>
      </c>
      <c r="AI145" s="87"/>
      <c r="AJ145" s="87"/>
      <c r="AK145" s="87"/>
      <c r="AL145" s="87"/>
      <c r="AM145" s="87"/>
      <c r="AN145" s="87"/>
      <c r="AO145" s="87"/>
      <c r="AP145" s="87">
        <v>2</v>
      </c>
      <c r="AQ145" s="87"/>
      <c r="AR145" s="87"/>
      <c r="AS145" s="87"/>
      <c r="AT145" s="87"/>
      <c r="AU145" s="87"/>
      <c r="AV145" s="87"/>
      <c r="AW145" s="88" t="str">
        <f>HYPERLINK("http://www.openstreetmap.org/?mlat=32.7643&amp;mlon=44.2859&amp;zoom=12#map=12/32.7643/44.2859","Maplink1")</f>
        <v>Maplink1</v>
      </c>
      <c r="AX145" s="88" t="str">
        <f>HYPERLINK("https://www.google.iq/maps/search/+32.7643,44.2859/@32.7643,44.2859,14z?hl=en","Maplink2")</f>
        <v>Maplink2</v>
      </c>
      <c r="AY145" s="88" t="str">
        <f>HYPERLINK("http://www.bing.com/maps/?lvl=14&amp;sty=h&amp;cp=32.7643~44.2859&amp;sp=point.32.7643_44.2859","Maplink3")</f>
        <v>Maplink3</v>
      </c>
      <c r="AZ145" s="76"/>
    </row>
    <row r="146" spans="1:52" x14ac:dyDescent="0.25">
      <c r="A146" s="86">
        <v>24981</v>
      </c>
      <c r="B146" s="87" t="s">
        <v>13</v>
      </c>
      <c r="C146" s="87" t="s">
        <v>226</v>
      </c>
      <c r="D146" s="87" t="s">
        <v>312</v>
      </c>
      <c r="E146" s="87" t="s">
        <v>313</v>
      </c>
      <c r="F146" s="87">
        <v>32.760869291500001</v>
      </c>
      <c r="G146" s="87">
        <v>44.2830022642</v>
      </c>
      <c r="H146" s="86">
        <v>2</v>
      </c>
      <c r="I146" s="86">
        <v>12</v>
      </c>
      <c r="J146" s="87"/>
      <c r="K146" s="87">
        <v>2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>
        <v>2</v>
      </c>
      <c r="AI146" s="87"/>
      <c r="AJ146" s="87"/>
      <c r="AK146" s="87"/>
      <c r="AL146" s="87"/>
      <c r="AM146" s="87"/>
      <c r="AN146" s="87"/>
      <c r="AO146" s="87">
        <v>1</v>
      </c>
      <c r="AP146" s="87">
        <v>1</v>
      </c>
      <c r="AQ146" s="87"/>
      <c r="AR146" s="87"/>
      <c r="AS146" s="87"/>
      <c r="AT146" s="87"/>
      <c r="AU146" s="87"/>
      <c r="AV146" s="87"/>
      <c r="AW146" s="88" t="str">
        <f>HYPERLINK("http://www.openstreetmap.org/?mlat=32.7609&amp;mlon=44.283&amp;zoom=12#map=12/32.7609/44.283","Maplink1")</f>
        <v>Maplink1</v>
      </c>
      <c r="AX146" s="88" t="str">
        <f>HYPERLINK("https://www.google.iq/maps/search/+32.7609,44.283/@32.7609,44.283,14z?hl=en","Maplink2")</f>
        <v>Maplink2</v>
      </c>
      <c r="AY146" s="88" t="str">
        <f>HYPERLINK("http://www.bing.com/maps/?lvl=14&amp;sty=h&amp;cp=32.7609~44.283&amp;sp=point.32.7609_44.283","Maplink3")</f>
        <v>Maplink3</v>
      </c>
      <c r="AZ146" s="76"/>
    </row>
    <row r="147" spans="1:52" x14ac:dyDescent="0.25">
      <c r="A147" s="86">
        <v>7149</v>
      </c>
      <c r="B147" s="87" t="s">
        <v>13</v>
      </c>
      <c r="C147" s="87" t="s">
        <v>226</v>
      </c>
      <c r="D147" s="87" t="s">
        <v>314</v>
      </c>
      <c r="E147" s="87" t="s">
        <v>315</v>
      </c>
      <c r="F147" s="87">
        <v>32.868589483299999</v>
      </c>
      <c r="G147" s="87">
        <v>44.34216</v>
      </c>
      <c r="H147" s="86">
        <v>18</v>
      </c>
      <c r="I147" s="86">
        <v>108</v>
      </c>
      <c r="J147" s="87"/>
      <c r="K147" s="87">
        <v>18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>
        <v>18</v>
      </c>
      <c r="AI147" s="87"/>
      <c r="AJ147" s="87"/>
      <c r="AK147" s="87"/>
      <c r="AL147" s="87"/>
      <c r="AM147" s="87"/>
      <c r="AN147" s="87"/>
      <c r="AO147" s="87">
        <v>16</v>
      </c>
      <c r="AP147" s="87">
        <v>2</v>
      </c>
      <c r="AQ147" s="87"/>
      <c r="AR147" s="87"/>
      <c r="AS147" s="87"/>
      <c r="AT147" s="87"/>
      <c r="AU147" s="87"/>
      <c r="AV147" s="87"/>
      <c r="AW147" s="88" t="str">
        <f>HYPERLINK("http://www.openstreetmap.org/?mlat=32.8686&amp;mlon=44.3422&amp;zoom=12#map=12/32.8686/44.3422","Maplink1")</f>
        <v>Maplink1</v>
      </c>
      <c r="AX147" s="88" t="str">
        <f>HYPERLINK("https://www.google.iq/maps/search/+32.8686,44.3422/@32.8686,44.3422,14z?hl=en","Maplink2")</f>
        <v>Maplink2</v>
      </c>
      <c r="AY147" s="88" t="str">
        <f>HYPERLINK("http://www.bing.com/maps/?lvl=14&amp;sty=h&amp;cp=32.8686~44.3422&amp;sp=point.32.8686_44.3422","Maplink3")</f>
        <v>Maplink3</v>
      </c>
      <c r="AZ147" s="76"/>
    </row>
    <row r="148" spans="1:52" x14ac:dyDescent="0.25">
      <c r="A148" s="86">
        <v>7132</v>
      </c>
      <c r="B148" s="87" t="s">
        <v>13</v>
      </c>
      <c r="C148" s="87" t="s">
        <v>226</v>
      </c>
      <c r="D148" s="87" t="s">
        <v>316</v>
      </c>
      <c r="E148" s="87" t="s">
        <v>317</v>
      </c>
      <c r="F148" s="87">
        <v>32.781754875499999</v>
      </c>
      <c r="G148" s="87">
        <v>44.266607828600002</v>
      </c>
      <c r="H148" s="86">
        <v>47</v>
      </c>
      <c r="I148" s="86">
        <v>282</v>
      </c>
      <c r="J148" s="87"/>
      <c r="K148" s="87">
        <v>47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>
        <v>41</v>
      </c>
      <c r="AI148" s="87"/>
      <c r="AJ148" s="87"/>
      <c r="AK148" s="87"/>
      <c r="AL148" s="87">
        <v>6</v>
      </c>
      <c r="AM148" s="87"/>
      <c r="AN148" s="87"/>
      <c r="AO148" s="87">
        <v>47</v>
      </c>
      <c r="AP148" s="87"/>
      <c r="AQ148" s="87"/>
      <c r="AR148" s="87"/>
      <c r="AS148" s="87"/>
      <c r="AT148" s="87"/>
      <c r="AU148" s="87"/>
      <c r="AV148" s="87"/>
      <c r="AW148" s="88" t="str">
        <f>HYPERLINK("http://www.openstreetmap.org/?mlat=32.7818&amp;mlon=44.2666&amp;zoom=12#map=12/32.7818/44.2666","Maplink1")</f>
        <v>Maplink1</v>
      </c>
      <c r="AX148" s="88" t="str">
        <f>HYPERLINK("https://www.google.iq/maps/search/+32.7818,44.2666/@32.7818,44.2666,14z?hl=en","Maplink2")</f>
        <v>Maplink2</v>
      </c>
      <c r="AY148" s="88" t="str">
        <f>HYPERLINK("http://www.bing.com/maps/?lvl=14&amp;sty=h&amp;cp=32.7818~44.2666&amp;sp=point.32.7818_44.2666","Maplink3")</f>
        <v>Maplink3</v>
      </c>
      <c r="AZ148" s="76"/>
    </row>
    <row r="149" spans="1:52" x14ac:dyDescent="0.25">
      <c r="A149" s="86">
        <v>27371</v>
      </c>
      <c r="B149" s="87" t="s">
        <v>13</v>
      </c>
      <c r="C149" s="87" t="s">
        <v>226</v>
      </c>
      <c r="D149" s="87" t="s">
        <v>318</v>
      </c>
      <c r="E149" s="87" t="s">
        <v>319</v>
      </c>
      <c r="F149" s="87">
        <v>32.721225714699997</v>
      </c>
      <c r="G149" s="87">
        <v>44.281696056999998</v>
      </c>
      <c r="H149" s="86">
        <v>2</v>
      </c>
      <c r="I149" s="86">
        <v>12</v>
      </c>
      <c r="J149" s="87"/>
      <c r="K149" s="87">
        <v>2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>
        <v>2</v>
      </c>
      <c r="AI149" s="87"/>
      <c r="AJ149" s="87"/>
      <c r="AK149" s="87"/>
      <c r="AL149" s="87"/>
      <c r="AM149" s="87"/>
      <c r="AN149" s="87"/>
      <c r="AO149" s="87">
        <v>2</v>
      </c>
      <c r="AP149" s="87"/>
      <c r="AQ149" s="87"/>
      <c r="AR149" s="87"/>
      <c r="AS149" s="87"/>
      <c r="AT149" s="87"/>
      <c r="AU149" s="87"/>
      <c r="AV149" s="87"/>
      <c r="AW149" s="88" t="str">
        <f>HYPERLINK("http://www.openstreetmap.org/?mlat=32.7212&amp;mlon=44.2817&amp;zoom=12#map=12/32.7212/44.2817","Maplink1")</f>
        <v>Maplink1</v>
      </c>
      <c r="AX149" s="88" t="str">
        <f>HYPERLINK("https://www.google.iq/maps/search/+32.7212,44.2817/@32.7212,44.2817,14z?hl=en","Maplink2")</f>
        <v>Maplink2</v>
      </c>
      <c r="AY149" s="88" t="str">
        <f>HYPERLINK("http://www.bing.com/maps/?lvl=14&amp;sty=h&amp;cp=32.7212~44.2817&amp;sp=point.32.7212_44.2817","Maplink3")</f>
        <v>Maplink3</v>
      </c>
      <c r="AZ149" s="76"/>
    </row>
    <row r="150" spans="1:52" x14ac:dyDescent="0.25">
      <c r="A150" s="86">
        <v>6950</v>
      </c>
      <c r="B150" s="87" t="s">
        <v>13</v>
      </c>
      <c r="C150" s="87" t="s">
        <v>226</v>
      </c>
      <c r="D150" s="87" t="s">
        <v>320</v>
      </c>
      <c r="E150" s="87" t="s">
        <v>321</v>
      </c>
      <c r="F150" s="87">
        <v>32.712590392599999</v>
      </c>
      <c r="G150" s="87">
        <v>44.277633626399997</v>
      </c>
      <c r="H150" s="86">
        <v>2</v>
      </c>
      <c r="I150" s="86">
        <v>12</v>
      </c>
      <c r="J150" s="87">
        <v>1</v>
      </c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>
        <v>1</v>
      </c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>
        <v>2</v>
      </c>
      <c r="AI150" s="87"/>
      <c r="AJ150" s="87"/>
      <c r="AK150" s="87"/>
      <c r="AL150" s="87"/>
      <c r="AM150" s="87"/>
      <c r="AN150" s="87"/>
      <c r="AO150" s="87"/>
      <c r="AP150" s="87">
        <v>1</v>
      </c>
      <c r="AQ150" s="87">
        <v>1</v>
      </c>
      <c r="AR150" s="87"/>
      <c r="AS150" s="87"/>
      <c r="AT150" s="87"/>
      <c r="AU150" s="87"/>
      <c r="AV150" s="87"/>
      <c r="AW150" s="88" t="str">
        <f>HYPERLINK("http://www.openstreetmap.org/?mlat=32.7126&amp;mlon=44.2776&amp;zoom=12#map=12/32.7126/44.2776","Maplink1")</f>
        <v>Maplink1</v>
      </c>
      <c r="AX150" s="88" t="str">
        <f>HYPERLINK("https://www.google.iq/maps/search/+32.7126,44.2776/@32.7126,44.2776,14z?hl=en","Maplink2")</f>
        <v>Maplink2</v>
      </c>
      <c r="AY150" s="88" t="str">
        <f>HYPERLINK("http://www.bing.com/maps/?lvl=14&amp;sty=h&amp;cp=32.7126~44.2776&amp;sp=point.32.7126_44.2776","Maplink3")</f>
        <v>Maplink3</v>
      </c>
      <c r="AZ150" s="76"/>
    </row>
    <row r="151" spans="1:52" x14ac:dyDescent="0.25">
      <c r="A151" s="86">
        <v>24172</v>
      </c>
      <c r="B151" s="87" t="s">
        <v>13</v>
      </c>
      <c r="C151" s="87" t="s">
        <v>226</v>
      </c>
      <c r="D151" s="87" t="s">
        <v>322</v>
      </c>
      <c r="E151" s="87" t="s">
        <v>323</v>
      </c>
      <c r="F151" s="87">
        <v>32.713351120699997</v>
      </c>
      <c r="G151" s="87">
        <v>44.292693975600002</v>
      </c>
      <c r="H151" s="86">
        <v>23</v>
      </c>
      <c r="I151" s="86">
        <v>138</v>
      </c>
      <c r="J151" s="87"/>
      <c r="K151" s="87">
        <v>22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>
        <v>1</v>
      </c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>
        <v>23</v>
      </c>
      <c r="AI151" s="87"/>
      <c r="AJ151" s="87"/>
      <c r="AK151" s="87"/>
      <c r="AL151" s="87"/>
      <c r="AM151" s="87"/>
      <c r="AN151" s="87"/>
      <c r="AO151" s="87">
        <v>1</v>
      </c>
      <c r="AP151" s="87">
        <v>22</v>
      </c>
      <c r="AQ151" s="87"/>
      <c r="AR151" s="87"/>
      <c r="AS151" s="87"/>
      <c r="AT151" s="87"/>
      <c r="AU151" s="87"/>
      <c r="AV151" s="87"/>
      <c r="AW151" s="88" t="str">
        <f>HYPERLINK("http://www.openstreetmap.org/?mlat=32.7134&amp;mlon=44.2927&amp;zoom=12#map=12/32.7134/44.2927","Maplink1")</f>
        <v>Maplink1</v>
      </c>
      <c r="AX151" s="88" t="str">
        <f>HYPERLINK("https://www.google.iq/maps/search/+32.7134,44.2927/@32.7134,44.2927,14z?hl=en","Maplink2")</f>
        <v>Maplink2</v>
      </c>
      <c r="AY151" s="88" t="str">
        <f>HYPERLINK("http://www.bing.com/maps/?lvl=14&amp;sty=h&amp;cp=32.7134~44.2927&amp;sp=point.32.7134_44.2927","Maplink3")</f>
        <v>Maplink3</v>
      </c>
      <c r="AZ151" s="76"/>
    </row>
    <row r="152" spans="1:52" x14ac:dyDescent="0.25">
      <c r="A152" s="86">
        <v>24954</v>
      </c>
      <c r="B152" s="87" t="s">
        <v>13</v>
      </c>
      <c r="C152" s="87" t="s">
        <v>226</v>
      </c>
      <c r="D152" s="87" t="s">
        <v>324</v>
      </c>
      <c r="E152" s="87" t="s">
        <v>325</v>
      </c>
      <c r="F152" s="87">
        <v>32.7764225321</v>
      </c>
      <c r="G152" s="87">
        <v>44.284462703599999</v>
      </c>
      <c r="H152" s="86">
        <v>32</v>
      </c>
      <c r="I152" s="86">
        <v>192</v>
      </c>
      <c r="J152" s="87"/>
      <c r="K152" s="87">
        <v>32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>
        <v>32</v>
      </c>
      <c r="AI152" s="87"/>
      <c r="AJ152" s="87"/>
      <c r="AK152" s="87"/>
      <c r="AL152" s="87"/>
      <c r="AM152" s="87"/>
      <c r="AN152" s="87"/>
      <c r="AO152" s="87"/>
      <c r="AP152" s="87">
        <v>32</v>
      </c>
      <c r="AQ152" s="87"/>
      <c r="AR152" s="87"/>
      <c r="AS152" s="87"/>
      <c r="AT152" s="87"/>
      <c r="AU152" s="87"/>
      <c r="AV152" s="87"/>
      <c r="AW152" s="88" t="str">
        <f>HYPERLINK("http://www.openstreetmap.org/?mlat=32.7764&amp;mlon=44.2845&amp;zoom=12#map=12/32.7764/44.2845","Maplink1")</f>
        <v>Maplink1</v>
      </c>
      <c r="AX152" s="88" t="str">
        <f>HYPERLINK("https://www.google.iq/maps/search/+32.7764,44.2845/@32.7764,44.2845,14z?hl=en","Maplink2")</f>
        <v>Maplink2</v>
      </c>
      <c r="AY152" s="88" t="str">
        <f>HYPERLINK("http://www.bing.com/maps/?lvl=14&amp;sty=h&amp;cp=32.7764~44.2845&amp;sp=point.32.7764_44.2845","Maplink3")</f>
        <v>Maplink3</v>
      </c>
      <c r="AZ152" s="76"/>
    </row>
    <row r="153" spans="1:52" x14ac:dyDescent="0.25">
      <c r="A153" s="86">
        <v>24646</v>
      </c>
      <c r="B153" s="87" t="s">
        <v>13</v>
      </c>
      <c r="C153" s="87" t="s">
        <v>326</v>
      </c>
      <c r="D153" s="87" t="s">
        <v>327</v>
      </c>
      <c r="E153" s="87" t="s">
        <v>328</v>
      </c>
      <c r="F153" s="87">
        <v>32.382471188700002</v>
      </c>
      <c r="G153" s="87">
        <v>44.536021573500001</v>
      </c>
      <c r="H153" s="86">
        <v>1</v>
      </c>
      <c r="I153" s="86">
        <v>6</v>
      </c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>
        <v>1</v>
      </c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>
        <v>1</v>
      </c>
      <c r="AI153" s="87"/>
      <c r="AJ153" s="87"/>
      <c r="AK153" s="87"/>
      <c r="AL153" s="87"/>
      <c r="AM153" s="87"/>
      <c r="AN153" s="87"/>
      <c r="AO153" s="87">
        <v>1</v>
      </c>
      <c r="AP153" s="87"/>
      <c r="AQ153" s="87"/>
      <c r="AR153" s="87"/>
      <c r="AS153" s="87"/>
      <c r="AT153" s="87"/>
      <c r="AU153" s="87"/>
      <c r="AV153" s="87"/>
      <c r="AW153" s="88" t="str">
        <f>HYPERLINK("http://www.openstreetmap.org/?mlat=32.3825&amp;mlon=44.536&amp;zoom=12#map=12/32.3825/44.536","Maplink1")</f>
        <v>Maplink1</v>
      </c>
      <c r="AX153" s="88" t="str">
        <f>HYPERLINK("https://www.google.iq/maps/search/+32.3825,44.536/@32.3825,44.536,14z?hl=en","Maplink2")</f>
        <v>Maplink2</v>
      </c>
      <c r="AY153" s="88" t="str">
        <f>HYPERLINK("http://www.bing.com/maps/?lvl=14&amp;sty=h&amp;cp=32.3825~44.536&amp;sp=point.32.3825_44.536","Maplink3")</f>
        <v>Maplink3</v>
      </c>
      <c r="AZ153" s="76"/>
    </row>
    <row r="154" spans="1:52" x14ac:dyDescent="0.25">
      <c r="A154" s="86">
        <v>24270</v>
      </c>
      <c r="B154" s="87" t="s">
        <v>13</v>
      </c>
      <c r="C154" s="87" t="s">
        <v>326</v>
      </c>
      <c r="D154" s="87" t="s">
        <v>329</v>
      </c>
      <c r="E154" s="87" t="s">
        <v>330</v>
      </c>
      <c r="F154" s="87">
        <v>32.400943272500001</v>
      </c>
      <c r="G154" s="87">
        <v>44.673756167699999</v>
      </c>
      <c r="H154" s="86">
        <v>10</v>
      </c>
      <c r="I154" s="86">
        <v>60</v>
      </c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>
        <v>10</v>
      </c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>
        <v>10</v>
      </c>
      <c r="AI154" s="87"/>
      <c r="AJ154" s="87"/>
      <c r="AK154" s="87"/>
      <c r="AL154" s="87"/>
      <c r="AM154" s="87"/>
      <c r="AN154" s="87"/>
      <c r="AO154" s="87">
        <v>10</v>
      </c>
      <c r="AP154" s="87"/>
      <c r="AQ154" s="87"/>
      <c r="AR154" s="87"/>
      <c r="AS154" s="87"/>
      <c r="AT154" s="87"/>
      <c r="AU154" s="87"/>
      <c r="AV154" s="87"/>
      <c r="AW154" s="88" t="str">
        <f>HYPERLINK("http://www.openstreetmap.org/?mlat=32.4009&amp;mlon=44.6738&amp;zoom=12#map=12/32.4009/44.6738","Maplink1")</f>
        <v>Maplink1</v>
      </c>
      <c r="AX154" s="88" t="str">
        <f>HYPERLINK("https://www.google.iq/maps/search/+32.4009,44.6738/@32.4009,44.6738,14z?hl=en","Maplink2")</f>
        <v>Maplink2</v>
      </c>
      <c r="AY154" s="88" t="str">
        <f>HYPERLINK("http://www.bing.com/maps/?lvl=14&amp;sty=h&amp;cp=32.4009~44.6738&amp;sp=point.32.4009_44.6738","Maplink3")</f>
        <v>Maplink3</v>
      </c>
      <c r="AZ154" s="76"/>
    </row>
    <row r="155" spans="1:52" x14ac:dyDescent="0.25">
      <c r="A155" s="86">
        <v>25896</v>
      </c>
      <c r="B155" s="87" t="s">
        <v>13</v>
      </c>
      <c r="C155" s="87" t="s">
        <v>326</v>
      </c>
      <c r="D155" s="87" t="s">
        <v>331</v>
      </c>
      <c r="E155" s="87" t="s">
        <v>332</v>
      </c>
      <c r="F155" s="87">
        <v>32.397943420499999</v>
      </c>
      <c r="G155" s="87">
        <v>44.674481241199999</v>
      </c>
      <c r="H155" s="86">
        <v>2</v>
      </c>
      <c r="I155" s="86">
        <v>12</v>
      </c>
      <c r="J155" s="87">
        <v>2</v>
      </c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>
        <v>2</v>
      </c>
      <c r="AI155" s="87"/>
      <c r="AJ155" s="87"/>
      <c r="AK155" s="87"/>
      <c r="AL155" s="87"/>
      <c r="AM155" s="87"/>
      <c r="AN155" s="87"/>
      <c r="AO155" s="87"/>
      <c r="AP155" s="87"/>
      <c r="AQ155" s="87">
        <v>2</v>
      </c>
      <c r="AR155" s="87"/>
      <c r="AS155" s="87"/>
      <c r="AT155" s="87"/>
      <c r="AU155" s="87"/>
      <c r="AV155" s="87"/>
      <c r="AW155" s="88" t="str">
        <f>HYPERLINK("http://www.openstreetmap.org/?mlat=32.3979&amp;mlon=44.6745&amp;zoom=12#map=12/32.3979/44.6745","Maplink1")</f>
        <v>Maplink1</v>
      </c>
      <c r="AX155" s="88" t="str">
        <f>HYPERLINK("https://www.google.iq/maps/search/+32.3979,44.6745/@32.3979,44.6745,14z?hl=en","Maplink2")</f>
        <v>Maplink2</v>
      </c>
      <c r="AY155" s="88" t="str">
        <f>HYPERLINK("http://www.bing.com/maps/?lvl=14&amp;sty=h&amp;cp=32.3979~44.6745&amp;sp=point.32.3979_44.6745","Maplink3")</f>
        <v>Maplink3</v>
      </c>
      <c r="AZ155" s="76"/>
    </row>
    <row r="156" spans="1:52" x14ac:dyDescent="0.25">
      <c r="A156" s="86">
        <v>24711</v>
      </c>
      <c r="B156" s="87" t="s">
        <v>13</v>
      </c>
      <c r="C156" s="87" t="s">
        <v>326</v>
      </c>
      <c r="D156" s="87" t="s">
        <v>333</v>
      </c>
      <c r="E156" s="87" t="s">
        <v>334</v>
      </c>
      <c r="F156" s="87">
        <v>32.321777899399997</v>
      </c>
      <c r="G156" s="87">
        <v>44.920468204199999</v>
      </c>
      <c r="H156" s="86">
        <v>3</v>
      </c>
      <c r="I156" s="86">
        <v>18</v>
      </c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>
        <v>3</v>
      </c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>
        <v>3</v>
      </c>
      <c r="AH156" s="87"/>
      <c r="AI156" s="87"/>
      <c r="AJ156" s="87"/>
      <c r="AK156" s="87"/>
      <c r="AL156" s="87"/>
      <c r="AM156" s="87"/>
      <c r="AN156" s="87"/>
      <c r="AO156" s="87">
        <v>3</v>
      </c>
      <c r="AP156" s="87"/>
      <c r="AQ156" s="87"/>
      <c r="AR156" s="87"/>
      <c r="AS156" s="87"/>
      <c r="AT156" s="87"/>
      <c r="AU156" s="87"/>
      <c r="AV156" s="87"/>
      <c r="AW156" s="88" t="str">
        <f>HYPERLINK("http://www.openstreetmap.org/?mlat=32.3218&amp;mlon=44.9205&amp;zoom=12#map=12/32.3218/44.9205","Maplink1")</f>
        <v>Maplink1</v>
      </c>
      <c r="AX156" s="88" t="str">
        <f>HYPERLINK("https://www.google.iq/maps/search/+32.3218,44.9205/@32.3218,44.9205,14z?hl=en","Maplink2")</f>
        <v>Maplink2</v>
      </c>
      <c r="AY156" s="88" t="str">
        <f>HYPERLINK("http://www.bing.com/maps/?lvl=14&amp;sty=h&amp;cp=32.3218~44.9205&amp;sp=point.32.3218_44.9205","Maplink3")</f>
        <v>Maplink3</v>
      </c>
      <c r="AZ156" s="76"/>
    </row>
    <row r="157" spans="1:52" x14ac:dyDescent="0.25">
      <c r="A157" s="86">
        <v>6361</v>
      </c>
      <c r="B157" s="87" t="s">
        <v>13</v>
      </c>
      <c r="C157" s="87" t="s">
        <v>326</v>
      </c>
      <c r="D157" s="87" t="s">
        <v>335</v>
      </c>
      <c r="E157" s="87" t="s">
        <v>336</v>
      </c>
      <c r="F157" s="87">
        <v>32.2996086733</v>
      </c>
      <c r="G157" s="87">
        <v>44.690031824199998</v>
      </c>
      <c r="H157" s="86">
        <v>7</v>
      </c>
      <c r="I157" s="86">
        <v>42</v>
      </c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>
        <v>7</v>
      </c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>
        <v>7</v>
      </c>
      <c r="AI157" s="87"/>
      <c r="AJ157" s="87"/>
      <c r="AK157" s="87"/>
      <c r="AL157" s="87"/>
      <c r="AM157" s="87"/>
      <c r="AN157" s="87"/>
      <c r="AO157" s="87">
        <v>7</v>
      </c>
      <c r="AP157" s="87"/>
      <c r="AQ157" s="87"/>
      <c r="AR157" s="87"/>
      <c r="AS157" s="87"/>
      <c r="AT157" s="87"/>
      <c r="AU157" s="87"/>
      <c r="AV157" s="87"/>
      <c r="AW157" s="88" t="str">
        <f>HYPERLINK("http://www.openstreetmap.org/?mlat=32.2996&amp;mlon=44.69&amp;zoom=12#map=12/32.2996/44.69","Maplink1")</f>
        <v>Maplink1</v>
      </c>
      <c r="AX157" s="88" t="str">
        <f>HYPERLINK("https://www.google.iq/maps/search/+32.2996,44.69/@32.2996,44.69,14z?hl=en","Maplink2")</f>
        <v>Maplink2</v>
      </c>
      <c r="AY157" s="88" t="str">
        <f>HYPERLINK("http://www.bing.com/maps/?lvl=14&amp;sty=h&amp;cp=32.2996~44.69&amp;sp=point.32.2996_44.69","Maplink3")</f>
        <v>Maplink3</v>
      </c>
      <c r="AZ157" s="76"/>
    </row>
    <row r="158" spans="1:52" x14ac:dyDescent="0.25">
      <c r="A158" s="86">
        <v>25594</v>
      </c>
      <c r="B158" s="87" t="s">
        <v>13</v>
      </c>
      <c r="C158" s="87" t="s">
        <v>326</v>
      </c>
      <c r="D158" s="87" t="s">
        <v>337</v>
      </c>
      <c r="E158" s="87" t="s">
        <v>338</v>
      </c>
      <c r="F158" s="87">
        <v>32.321179126899999</v>
      </c>
      <c r="G158" s="87">
        <v>44.911467160000001</v>
      </c>
      <c r="H158" s="86">
        <v>5</v>
      </c>
      <c r="I158" s="86">
        <v>30</v>
      </c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>
        <v>5</v>
      </c>
      <c r="W158" s="87"/>
      <c r="X158" s="87"/>
      <c r="Y158" s="87"/>
      <c r="Z158" s="87"/>
      <c r="AA158" s="87"/>
      <c r="AB158" s="87"/>
      <c r="AC158" s="87">
        <v>1</v>
      </c>
      <c r="AD158" s="87"/>
      <c r="AE158" s="87"/>
      <c r="AF158" s="87"/>
      <c r="AG158" s="87"/>
      <c r="AH158" s="87">
        <v>4</v>
      </c>
      <c r="AI158" s="87"/>
      <c r="AJ158" s="87"/>
      <c r="AK158" s="87"/>
      <c r="AL158" s="87"/>
      <c r="AM158" s="87"/>
      <c r="AN158" s="87"/>
      <c r="AO158" s="87">
        <v>5</v>
      </c>
      <c r="AP158" s="87"/>
      <c r="AQ158" s="87"/>
      <c r="AR158" s="87"/>
      <c r="AS158" s="87"/>
      <c r="AT158" s="87"/>
      <c r="AU158" s="87"/>
      <c r="AV158" s="87"/>
      <c r="AW158" s="88" t="str">
        <f>HYPERLINK("http://www.openstreetmap.org/?mlat=32.3212&amp;mlon=44.9115&amp;zoom=12#map=12/32.3212/44.9115","Maplink1")</f>
        <v>Maplink1</v>
      </c>
      <c r="AX158" s="88" t="str">
        <f>HYPERLINK("https://www.google.iq/maps/search/+32.3212,44.9115/@32.3212,44.9115,14z?hl=en","Maplink2")</f>
        <v>Maplink2</v>
      </c>
      <c r="AY158" s="88" t="str">
        <f>HYPERLINK("http://www.bing.com/maps/?lvl=14&amp;sty=h&amp;cp=32.3212~44.9115&amp;sp=point.32.3212_44.9115","Maplink3")</f>
        <v>Maplink3</v>
      </c>
      <c r="AZ158" s="76"/>
    </row>
    <row r="159" spans="1:52" x14ac:dyDescent="0.25">
      <c r="A159" s="86">
        <v>25589</v>
      </c>
      <c r="B159" s="87" t="s">
        <v>13</v>
      </c>
      <c r="C159" s="87" t="s">
        <v>326</v>
      </c>
      <c r="D159" s="87" t="s">
        <v>339</v>
      </c>
      <c r="E159" s="87" t="s">
        <v>340</v>
      </c>
      <c r="F159" s="87">
        <v>32.354829598400002</v>
      </c>
      <c r="G159" s="87">
        <v>44.815727680000002</v>
      </c>
      <c r="H159" s="86">
        <v>2</v>
      </c>
      <c r="I159" s="86">
        <v>12</v>
      </c>
      <c r="J159" s="87"/>
      <c r="K159" s="87"/>
      <c r="L159" s="87">
        <v>2</v>
      </c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>
        <v>2</v>
      </c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>
        <v>2</v>
      </c>
      <c r="AP159" s="87"/>
      <c r="AQ159" s="87"/>
      <c r="AR159" s="87"/>
      <c r="AS159" s="87"/>
      <c r="AT159" s="87"/>
      <c r="AU159" s="87"/>
      <c r="AV159" s="87"/>
      <c r="AW159" s="88" t="str">
        <f>HYPERLINK("http://www.openstreetmap.org/?mlat=32.3548&amp;mlon=44.8157&amp;zoom=12#map=12/32.3548/44.8157","Maplink1")</f>
        <v>Maplink1</v>
      </c>
      <c r="AX159" s="88" t="str">
        <f>HYPERLINK("https://www.google.iq/maps/search/+32.3548,44.8157/@32.3548,44.8157,14z?hl=en","Maplink2")</f>
        <v>Maplink2</v>
      </c>
      <c r="AY159" s="88" t="str">
        <f>HYPERLINK("http://www.bing.com/maps/?lvl=14&amp;sty=h&amp;cp=32.3548~44.8157&amp;sp=point.32.3548_44.8157","Maplink3")</f>
        <v>Maplink3</v>
      </c>
      <c r="AZ159" s="76"/>
    </row>
    <row r="160" spans="1:52" x14ac:dyDescent="0.25">
      <c r="A160" s="86">
        <v>25598</v>
      </c>
      <c r="B160" s="87" t="s">
        <v>13</v>
      </c>
      <c r="C160" s="87" t="s">
        <v>326</v>
      </c>
      <c r="D160" s="87" t="s">
        <v>341</v>
      </c>
      <c r="E160" s="87" t="s">
        <v>342</v>
      </c>
      <c r="F160" s="87">
        <v>32.189939686599999</v>
      </c>
      <c r="G160" s="87">
        <v>44.709327263699997</v>
      </c>
      <c r="H160" s="86">
        <v>4</v>
      </c>
      <c r="I160" s="86">
        <v>24</v>
      </c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>
        <v>4</v>
      </c>
      <c r="W160" s="87"/>
      <c r="X160" s="87"/>
      <c r="Y160" s="87"/>
      <c r="Z160" s="87"/>
      <c r="AA160" s="87"/>
      <c r="AB160" s="87"/>
      <c r="AC160" s="87">
        <v>4</v>
      </c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>
        <v>4</v>
      </c>
      <c r="AP160" s="87"/>
      <c r="AQ160" s="87"/>
      <c r="AR160" s="87"/>
      <c r="AS160" s="87"/>
      <c r="AT160" s="87"/>
      <c r="AU160" s="87"/>
      <c r="AV160" s="87"/>
      <c r="AW160" s="88" t="str">
        <f>HYPERLINK("http://www.openstreetmap.org/?mlat=32.1899&amp;mlon=44.7093&amp;zoom=12#map=12/32.1899/44.7093","Maplink1")</f>
        <v>Maplink1</v>
      </c>
      <c r="AX160" s="88" t="str">
        <f>HYPERLINK("https://www.google.iq/maps/search/+32.1899,44.7093/@32.1899,44.7093,14z?hl=en","Maplink2")</f>
        <v>Maplink2</v>
      </c>
      <c r="AY160" s="88" t="str">
        <f>HYPERLINK("http://www.bing.com/maps/?lvl=14&amp;sty=h&amp;cp=32.1899~44.7093&amp;sp=point.32.1899_44.7093","Maplink3")</f>
        <v>Maplink3</v>
      </c>
      <c r="AZ160" s="76"/>
    </row>
    <row r="161" spans="1:52" x14ac:dyDescent="0.25">
      <c r="A161" s="86">
        <v>6783</v>
      </c>
      <c r="B161" s="87" t="s">
        <v>13</v>
      </c>
      <c r="C161" s="87" t="s">
        <v>326</v>
      </c>
      <c r="D161" s="87" t="s">
        <v>343</v>
      </c>
      <c r="E161" s="87" t="s">
        <v>344</v>
      </c>
      <c r="F161" s="87">
        <v>32.375015585600003</v>
      </c>
      <c r="G161" s="87">
        <v>44.570788316600002</v>
      </c>
      <c r="H161" s="86">
        <v>1</v>
      </c>
      <c r="I161" s="86">
        <v>6</v>
      </c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>
        <v>1</v>
      </c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>
        <v>1</v>
      </c>
      <c r="AI161" s="87"/>
      <c r="AJ161" s="87"/>
      <c r="AK161" s="87"/>
      <c r="AL161" s="87"/>
      <c r="AM161" s="87"/>
      <c r="AN161" s="87"/>
      <c r="AO161" s="87">
        <v>1</v>
      </c>
      <c r="AP161" s="87"/>
      <c r="AQ161" s="87"/>
      <c r="AR161" s="87"/>
      <c r="AS161" s="87"/>
      <c r="AT161" s="87"/>
      <c r="AU161" s="87"/>
      <c r="AV161" s="87"/>
      <c r="AW161" s="88" t="str">
        <f>HYPERLINK("http://www.openstreetmap.org/?mlat=32.375&amp;mlon=44.5708&amp;zoom=12#map=12/32.375/44.5708","Maplink1")</f>
        <v>Maplink1</v>
      </c>
      <c r="AX161" s="88" t="str">
        <f>HYPERLINK("https://www.google.iq/maps/search/+32.375,44.5708/@32.375,44.5708,14z?hl=en","Maplink2")</f>
        <v>Maplink2</v>
      </c>
      <c r="AY161" s="88" t="str">
        <f>HYPERLINK("http://www.bing.com/maps/?lvl=14&amp;sty=h&amp;cp=32.375~44.5708&amp;sp=point.32.375_44.5708","Maplink3")</f>
        <v>Maplink3</v>
      </c>
      <c r="AZ161" s="76"/>
    </row>
    <row r="162" spans="1:52" x14ac:dyDescent="0.25">
      <c r="A162" s="86">
        <v>24269</v>
      </c>
      <c r="B162" s="87" t="s">
        <v>13</v>
      </c>
      <c r="C162" s="87" t="s">
        <v>326</v>
      </c>
      <c r="D162" s="87" t="s">
        <v>345</v>
      </c>
      <c r="E162" s="87" t="s">
        <v>346</v>
      </c>
      <c r="F162" s="87">
        <v>32.3738713328</v>
      </c>
      <c r="G162" s="87">
        <v>44.6566514521</v>
      </c>
      <c r="H162" s="86">
        <v>1</v>
      </c>
      <c r="I162" s="86">
        <v>6</v>
      </c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>
        <v>1</v>
      </c>
      <c r="Y162" s="87"/>
      <c r="Z162" s="87"/>
      <c r="AA162" s="87"/>
      <c r="AB162" s="87"/>
      <c r="AC162" s="87"/>
      <c r="AD162" s="87"/>
      <c r="AE162" s="87"/>
      <c r="AF162" s="87"/>
      <c r="AG162" s="87"/>
      <c r="AH162" s="87">
        <v>1</v>
      </c>
      <c r="AI162" s="87"/>
      <c r="AJ162" s="87"/>
      <c r="AK162" s="87"/>
      <c r="AL162" s="87"/>
      <c r="AM162" s="87"/>
      <c r="AN162" s="87"/>
      <c r="AO162" s="87"/>
      <c r="AP162" s="87">
        <v>1</v>
      </c>
      <c r="AQ162" s="87"/>
      <c r="AR162" s="87"/>
      <c r="AS162" s="87"/>
      <c r="AT162" s="87"/>
      <c r="AU162" s="87"/>
      <c r="AV162" s="87"/>
      <c r="AW162" s="88" t="str">
        <f>HYPERLINK("http://www.openstreetmap.org/?mlat=32.3739&amp;mlon=44.6567&amp;zoom=12#map=12/32.3739/44.6567","Maplink1")</f>
        <v>Maplink1</v>
      </c>
      <c r="AX162" s="88" t="str">
        <f>HYPERLINK("https://www.google.iq/maps/search/+32.3739,44.6567/@32.3739,44.6567,14z?hl=en","Maplink2")</f>
        <v>Maplink2</v>
      </c>
      <c r="AY162" s="88" t="str">
        <f>HYPERLINK("http://www.bing.com/maps/?lvl=14&amp;sty=h&amp;cp=32.3739~44.6567&amp;sp=point.32.3739_44.6567","Maplink3")</f>
        <v>Maplink3</v>
      </c>
      <c r="AZ162" s="76"/>
    </row>
    <row r="163" spans="1:52" x14ac:dyDescent="0.25">
      <c r="A163" s="86">
        <v>25880</v>
      </c>
      <c r="B163" s="87" t="s">
        <v>13</v>
      </c>
      <c r="C163" s="87" t="s">
        <v>326</v>
      </c>
      <c r="D163" s="87" t="s">
        <v>347</v>
      </c>
      <c r="E163" s="87" t="s">
        <v>348</v>
      </c>
      <c r="F163" s="87">
        <v>32.298437925899997</v>
      </c>
      <c r="G163" s="87">
        <v>44.690274813599999</v>
      </c>
      <c r="H163" s="86">
        <v>4</v>
      </c>
      <c r="I163" s="86">
        <v>24</v>
      </c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>
        <v>4</v>
      </c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>
        <v>4</v>
      </c>
      <c r="AI163" s="87"/>
      <c r="AJ163" s="87"/>
      <c r="AK163" s="87"/>
      <c r="AL163" s="87"/>
      <c r="AM163" s="87"/>
      <c r="AN163" s="87"/>
      <c r="AO163" s="87">
        <v>4</v>
      </c>
      <c r="AP163" s="87"/>
      <c r="AQ163" s="87"/>
      <c r="AR163" s="87"/>
      <c r="AS163" s="87"/>
      <c r="AT163" s="87"/>
      <c r="AU163" s="87"/>
      <c r="AV163" s="87"/>
      <c r="AW163" s="88" t="str">
        <f>HYPERLINK("http://www.openstreetmap.org/?mlat=32.2984&amp;mlon=44.6903&amp;zoom=12#map=12/32.2984/44.6903","Maplink1")</f>
        <v>Maplink1</v>
      </c>
      <c r="AX163" s="88" t="str">
        <f>HYPERLINK("https://www.google.iq/maps/search/+32.2984,44.6903/@32.2984,44.6903,14z?hl=en","Maplink2")</f>
        <v>Maplink2</v>
      </c>
      <c r="AY163" s="88" t="str">
        <f>HYPERLINK("http://www.bing.com/maps/?lvl=14&amp;sty=h&amp;cp=32.2984~44.6903&amp;sp=point.32.2984_44.6903","Maplink3")</f>
        <v>Maplink3</v>
      </c>
      <c r="AZ163" s="76"/>
    </row>
    <row r="164" spans="1:52" x14ac:dyDescent="0.25">
      <c r="A164" s="86">
        <v>6660</v>
      </c>
      <c r="B164" s="87" t="s">
        <v>13</v>
      </c>
      <c r="C164" s="87" t="s">
        <v>326</v>
      </c>
      <c r="D164" s="87" t="s">
        <v>349</v>
      </c>
      <c r="E164" s="87" t="s">
        <v>350</v>
      </c>
      <c r="F164" s="87">
        <v>32.299203785400003</v>
      </c>
      <c r="G164" s="87">
        <v>44.686300084599999</v>
      </c>
      <c r="H164" s="86">
        <v>1</v>
      </c>
      <c r="I164" s="86">
        <v>6</v>
      </c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>
        <v>1</v>
      </c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>
        <v>1</v>
      </c>
      <c r="AI164" s="87"/>
      <c r="AJ164" s="87"/>
      <c r="AK164" s="87"/>
      <c r="AL164" s="87"/>
      <c r="AM164" s="87"/>
      <c r="AN164" s="87"/>
      <c r="AO164" s="87"/>
      <c r="AP164" s="87">
        <v>1</v>
      </c>
      <c r="AQ164" s="87"/>
      <c r="AR164" s="87"/>
      <c r="AS164" s="87"/>
      <c r="AT164" s="87"/>
      <c r="AU164" s="87"/>
      <c r="AV164" s="87"/>
      <c r="AW164" s="88" t="str">
        <f>HYPERLINK("http://www.openstreetmap.org/?mlat=32.2992&amp;mlon=44.6863&amp;zoom=12#map=12/32.2992/44.6863","Maplink1")</f>
        <v>Maplink1</v>
      </c>
      <c r="AX164" s="88" t="str">
        <f>HYPERLINK("https://www.google.iq/maps/search/+32.2992,44.6863/@32.2992,44.6863,14z?hl=en","Maplink2")</f>
        <v>Maplink2</v>
      </c>
      <c r="AY164" s="88" t="str">
        <f>HYPERLINK("http://www.bing.com/maps/?lvl=14&amp;sty=h&amp;cp=32.2992~44.6863&amp;sp=point.32.2992_44.6863","Maplink3")</f>
        <v>Maplink3</v>
      </c>
      <c r="AZ164" s="76"/>
    </row>
    <row r="165" spans="1:52" x14ac:dyDescent="0.25">
      <c r="A165" s="86">
        <v>6711</v>
      </c>
      <c r="B165" s="87" t="s">
        <v>13</v>
      </c>
      <c r="C165" s="87" t="s">
        <v>326</v>
      </c>
      <c r="D165" s="87" t="s">
        <v>351</v>
      </c>
      <c r="E165" s="87" t="s">
        <v>352</v>
      </c>
      <c r="F165" s="87">
        <v>32.325216540699998</v>
      </c>
      <c r="G165" s="87">
        <v>44.918726539300003</v>
      </c>
      <c r="H165" s="86">
        <v>1</v>
      </c>
      <c r="I165" s="86">
        <v>6</v>
      </c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>
        <v>1</v>
      </c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>
        <v>1</v>
      </c>
      <c r="AI165" s="87"/>
      <c r="AJ165" s="87"/>
      <c r="AK165" s="87"/>
      <c r="AL165" s="87"/>
      <c r="AM165" s="87"/>
      <c r="AN165" s="87"/>
      <c r="AO165" s="87">
        <v>1</v>
      </c>
      <c r="AP165" s="87"/>
      <c r="AQ165" s="87"/>
      <c r="AR165" s="87"/>
      <c r="AS165" s="87"/>
      <c r="AT165" s="87"/>
      <c r="AU165" s="87"/>
      <c r="AV165" s="87"/>
      <c r="AW165" s="88" t="str">
        <f>HYPERLINK("http://www.openstreetmap.org/?mlat=32.3252&amp;mlon=44.9187&amp;zoom=12#map=12/32.3252/44.9187","Maplink1")</f>
        <v>Maplink1</v>
      </c>
      <c r="AX165" s="88" t="str">
        <f>HYPERLINK("https://www.google.iq/maps/search/+32.3252,44.9187/@32.3252,44.9187,14z?hl=en","Maplink2")</f>
        <v>Maplink2</v>
      </c>
      <c r="AY165" s="88" t="str">
        <f>HYPERLINK("http://www.bing.com/maps/?lvl=14&amp;sty=h&amp;cp=32.3252~44.9187&amp;sp=point.32.3252_44.9187","Maplink3")</f>
        <v>Maplink3</v>
      </c>
      <c r="AZ165" s="76"/>
    </row>
    <row r="166" spans="1:52" x14ac:dyDescent="0.25">
      <c r="A166" s="86">
        <v>6663</v>
      </c>
      <c r="B166" s="87" t="s">
        <v>13</v>
      </c>
      <c r="C166" s="87" t="s">
        <v>326</v>
      </c>
      <c r="D166" s="87" t="s">
        <v>353</v>
      </c>
      <c r="E166" s="87" t="s">
        <v>354</v>
      </c>
      <c r="F166" s="87">
        <v>32.300470065699997</v>
      </c>
      <c r="G166" s="87">
        <v>44.682980972300001</v>
      </c>
      <c r="H166" s="86">
        <v>2</v>
      </c>
      <c r="I166" s="86">
        <v>12</v>
      </c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>
        <v>2</v>
      </c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>
        <v>2</v>
      </c>
      <c r="AI166" s="87"/>
      <c r="AJ166" s="87"/>
      <c r="AK166" s="87"/>
      <c r="AL166" s="87"/>
      <c r="AM166" s="87"/>
      <c r="AN166" s="87"/>
      <c r="AO166" s="87">
        <v>2</v>
      </c>
      <c r="AP166" s="87"/>
      <c r="AQ166" s="87"/>
      <c r="AR166" s="87"/>
      <c r="AS166" s="87"/>
      <c r="AT166" s="87"/>
      <c r="AU166" s="87"/>
      <c r="AV166" s="87"/>
      <c r="AW166" s="88" t="str">
        <f>HYPERLINK("http://www.openstreetmap.org/?mlat=32.3005&amp;mlon=44.683&amp;zoom=12#map=12/32.3005/44.683","Maplink1")</f>
        <v>Maplink1</v>
      </c>
      <c r="AX166" s="88" t="str">
        <f>HYPERLINK("https://www.google.iq/maps/search/+32.3005,44.683/@32.3005,44.683,14z?hl=en","Maplink2")</f>
        <v>Maplink2</v>
      </c>
      <c r="AY166" s="88" t="str">
        <f>HYPERLINK("http://www.bing.com/maps/?lvl=14&amp;sty=h&amp;cp=32.3005~44.683&amp;sp=point.32.3005_44.683","Maplink3")</f>
        <v>Maplink3</v>
      </c>
      <c r="AZ166" s="76"/>
    </row>
    <row r="167" spans="1:52" x14ac:dyDescent="0.25">
      <c r="A167" s="86">
        <v>7213</v>
      </c>
      <c r="B167" s="87" t="s">
        <v>13</v>
      </c>
      <c r="C167" s="87" t="s">
        <v>326</v>
      </c>
      <c r="D167" s="87" t="s">
        <v>355</v>
      </c>
      <c r="E167" s="87" t="s">
        <v>356</v>
      </c>
      <c r="F167" s="87">
        <v>32.300181073499999</v>
      </c>
      <c r="G167" s="87">
        <v>44.679629903699997</v>
      </c>
      <c r="H167" s="86">
        <v>3</v>
      </c>
      <c r="I167" s="86">
        <v>18</v>
      </c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>
        <v>3</v>
      </c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>
        <v>3</v>
      </c>
      <c r="AI167" s="87"/>
      <c r="AJ167" s="87"/>
      <c r="AK167" s="87"/>
      <c r="AL167" s="87"/>
      <c r="AM167" s="87"/>
      <c r="AN167" s="87"/>
      <c r="AO167" s="87">
        <v>3</v>
      </c>
      <c r="AP167" s="87"/>
      <c r="AQ167" s="87"/>
      <c r="AR167" s="87"/>
      <c r="AS167" s="87"/>
      <c r="AT167" s="87"/>
      <c r="AU167" s="87"/>
      <c r="AV167" s="87"/>
      <c r="AW167" s="88" t="str">
        <f>HYPERLINK("http://www.openstreetmap.org/?mlat=32.3002&amp;mlon=44.6796&amp;zoom=12#map=12/32.3002/44.6796","Maplink1")</f>
        <v>Maplink1</v>
      </c>
      <c r="AX167" s="88" t="str">
        <f>HYPERLINK("https://www.google.iq/maps/search/+32.3002,44.6796/@32.3002,44.6796,14z?hl=en","Maplink2")</f>
        <v>Maplink2</v>
      </c>
      <c r="AY167" s="88" t="str">
        <f>HYPERLINK("http://www.bing.com/maps/?lvl=14&amp;sty=h&amp;cp=32.3002~44.6796&amp;sp=point.32.3002_44.6796","Maplink3")</f>
        <v>Maplink3</v>
      </c>
      <c r="AZ167" s="76"/>
    </row>
    <row r="168" spans="1:52" x14ac:dyDescent="0.25">
      <c r="A168" s="86">
        <v>6673</v>
      </c>
      <c r="B168" s="87" t="s">
        <v>13</v>
      </c>
      <c r="C168" s="87" t="s">
        <v>326</v>
      </c>
      <c r="D168" s="87" t="s">
        <v>357</v>
      </c>
      <c r="E168" s="87" t="s">
        <v>358</v>
      </c>
      <c r="F168" s="87">
        <v>32.298040302399997</v>
      </c>
      <c r="G168" s="87">
        <v>44.684500106800002</v>
      </c>
      <c r="H168" s="86">
        <v>9</v>
      </c>
      <c r="I168" s="86">
        <v>54</v>
      </c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>
        <v>9</v>
      </c>
      <c r="W168" s="87"/>
      <c r="X168" s="87"/>
      <c r="Y168" s="87"/>
      <c r="Z168" s="87"/>
      <c r="AA168" s="87"/>
      <c r="AB168" s="87"/>
      <c r="AC168" s="87">
        <v>9</v>
      </c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>
        <v>9</v>
      </c>
      <c r="AP168" s="87"/>
      <c r="AQ168" s="87"/>
      <c r="AR168" s="87"/>
      <c r="AS168" s="87"/>
      <c r="AT168" s="87"/>
      <c r="AU168" s="87"/>
      <c r="AV168" s="87"/>
      <c r="AW168" s="88" t="str">
        <f>HYPERLINK("http://www.openstreetmap.org/?mlat=32.298&amp;mlon=44.6845&amp;zoom=12#map=12/32.298/44.6845","Maplink1")</f>
        <v>Maplink1</v>
      </c>
      <c r="AX168" s="88" t="str">
        <f>HYPERLINK("https://www.google.iq/maps/search/+32.298,44.6845/@32.298,44.6845,14z?hl=en","Maplink2")</f>
        <v>Maplink2</v>
      </c>
      <c r="AY168" s="88" t="str">
        <f>HYPERLINK("http://www.bing.com/maps/?lvl=14&amp;sty=h&amp;cp=32.298~44.6845&amp;sp=point.32.298_44.6845","Maplink3")</f>
        <v>Maplink3</v>
      </c>
      <c r="AZ168" s="76"/>
    </row>
    <row r="169" spans="1:52" x14ac:dyDescent="0.25">
      <c r="A169" s="86">
        <v>25878</v>
      </c>
      <c r="B169" s="87" t="s">
        <v>13</v>
      </c>
      <c r="C169" s="87" t="s">
        <v>326</v>
      </c>
      <c r="D169" s="87" t="s">
        <v>359</v>
      </c>
      <c r="E169" s="87" t="s">
        <v>360</v>
      </c>
      <c r="F169" s="87">
        <v>32.2977611544</v>
      </c>
      <c r="G169" s="87">
        <v>44.686842738599999</v>
      </c>
      <c r="H169" s="86">
        <v>2</v>
      </c>
      <c r="I169" s="86">
        <v>12</v>
      </c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>
        <v>2</v>
      </c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>
        <v>2</v>
      </c>
      <c r="AI169" s="87"/>
      <c r="AJ169" s="87"/>
      <c r="AK169" s="87"/>
      <c r="AL169" s="87"/>
      <c r="AM169" s="87"/>
      <c r="AN169" s="87"/>
      <c r="AO169" s="87">
        <v>2</v>
      </c>
      <c r="AP169" s="87"/>
      <c r="AQ169" s="87"/>
      <c r="AR169" s="87"/>
      <c r="AS169" s="87"/>
      <c r="AT169" s="87"/>
      <c r="AU169" s="87"/>
      <c r="AV169" s="87"/>
      <c r="AW169" s="88" t="str">
        <f>HYPERLINK("http://www.openstreetmap.org/?mlat=32.2978&amp;mlon=44.6868&amp;zoom=12#map=12/32.2978/44.6868","Maplink1")</f>
        <v>Maplink1</v>
      </c>
      <c r="AX169" s="88" t="str">
        <f>HYPERLINK("https://www.google.iq/maps/search/+32.2978,44.6868/@32.2978,44.6868,14z?hl=en","Maplink2")</f>
        <v>Maplink2</v>
      </c>
      <c r="AY169" s="88" t="str">
        <f>HYPERLINK("http://www.bing.com/maps/?lvl=14&amp;sty=h&amp;cp=32.2978~44.6868&amp;sp=point.32.2978_44.6868","Maplink3")</f>
        <v>Maplink3</v>
      </c>
      <c r="AZ169" s="76"/>
    </row>
    <row r="170" spans="1:52" x14ac:dyDescent="0.25">
      <c r="A170" s="86">
        <v>25600</v>
      </c>
      <c r="B170" s="87" t="s">
        <v>13</v>
      </c>
      <c r="C170" s="87" t="s">
        <v>361</v>
      </c>
      <c r="D170" s="87" t="s">
        <v>362</v>
      </c>
      <c r="E170" s="87" t="s">
        <v>363</v>
      </c>
      <c r="F170" s="87">
        <v>32.535912887599999</v>
      </c>
      <c r="G170" s="87">
        <v>44.325400881699998</v>
      </c>
      <c r="H170" s="86">
        <v>4</v>
      </c>
      <c r="I170" s="86">
        <v>24</v>
      </c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>
        <v>4</v>
      </c>
      <c r="W170" s="87"/>
      <c r="X170" s="87"/>
      <c r="Y170" s="87"/>
      <c r="Z170" s="87"/>
      <c r="AA170" s="87"/>
      <c r="AB170" s="87"/>
      <c r="AC170" s="87">
        <v>4</v>
      </c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>
        <v>4</v>
      </c>
      <c r="AP170" s="87"/>
      <c r="AQ170" s="87"/>
      <c r="AR170" s="87"/>
      <c r="AS170" s="87"/>
      <c r="AT170" s="87"/>
      <c r="AU170" s="87"/>
      <c r="AV170" s="87"/>
      <c r="AW170" s="88" t="str">
        <f>HYPERLINK("http://www.openstreetmap.org/?mlat=32.5359&amp;mlon=44.3254&amp;zoom=12#map=12/32.5359/44.3254","Maplink1")</f>
        <v>Maplink1</v>
      </c>
      <c r="AX170" s="88" t="str">
        <f>HYPERLINK("https://www.google.iq/maps/search/+32.5359,44.3254/@32.5359,44.3254,14z?hl=en","Maplink2")</f>
        <v>Maplink2</v>
      </c>
      <c r="AY170" s="88" t="str">
        <f>HYPERLINK("http://www.bing.com/maps/?lvl=14&amp;sty=h&amp;cp=32.5359~44.3254&amp;sp=point.32.5359_44.3254","Maplink3")</f>
        <v>Maplink3</v>
      </c>
      <c r="AZ170" s="76"/>
    </row>
    <row r="171" spans="1:52" x14ac:dyDescent="0.25">
      <c r="A171" s="86">
        <v>6824</v>
      </c>
      <c r="B171" s="87" t="s">
        <v>13</v>
      </c>
      <c r="C171" s="87" t="s">
        <v>361</v>
      </c>
      <c r="D171" s="87" t="s">
        <v>364</v>
      </c>
      <c r="E171" s="87" t="s">
        <v>365</v>
      </c>
      <c r="F171" s="87">
        <v>32.508858490000001</v>
      </c>
      <c r="G171" s="87">
        <v>44.294942970000001</v>
      </c>
      <c r="H171" s="86">
        <v>2</v>
      </c>
      <c r="I171" s="86">
        <v>12</v>
      </c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>
        <v>2</v>
      </c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>
        <v>2</v>
      </c>
      <c r="AI171" s="87"/>
      <c r="AJ171" s="87"/>
      <c r="AK171" s="87"/>
      <c r="AL171" s="87"/>
      <c r="AM171" s="87"/>
      <c r="AN171" s="87"/>
      <c r="AO171" s="87">
        <v>2</v>
      </c>
      <c r="AP171" s="87"/>
      <c r="AQ171" s="87"/>
      <c r="AR171" s="87"/>
      <c r="AS171" s="87"/>
      <c r="AT171" s="87"/>
      <c r="AU171" s="87"/>
      <c r="AV171" s="87"/>
      <c r="AW171" s="88" t="str">
        <f>HYPERLINK("http://www.openstreetmap.org/?mlat=32.5089&amp;mlon=44.2949&amp;zoom=12#map=12/32.5089/44.2949","Maplink1")</f>
        <v>Maplink1</v>
      </c>
      <c r="AX171" s="88" t="str">
        <f>HYPERLINK("https://www.google.iq/maps/search/+32.5089,44.2949/@32.5089,44.2949,14z?hl=en","Maplink2")</f>
        <v>Maplink2</v>
      </c>
      <c r="AY171" s="88" t="str">
        <f>HYPERLINK("http://www.bing.com/maps/?lvl=14&amp;sty=h&amp;cp=32.5089~44.2949&amp;sp=point.32.5089_44.2949","Maplink3")</f>
        <v>Maplink3</v>
      </c>
      <c r="AZ171" s="76"/>
    </row>
    <row r="172" spans="1:52" x14ac:dyDescent="0.25">
      <c r="A172" s="86">
        <v>24274</v>
      </c>
      <c r="B172" s="87" t="s">
        <v>13</v>
      </c>
      <c r="C172" s="87" t="s">
        <v>361</v>
      </c>
      <c r="D172" s="87" t="s">
        <v>366</v>
      </c>
      <c r="E172" s="87" t="s">
        <v>367</v>
      </c>
      <c r="F172" s="87">
        <v>32.510601830299997</v>
      </c>
      <c r="G172" s="87">
        <v>44.405026450199998</v>
      </c>
      <c r="H172" s="86">
        <v>9</v>
      </c>
      <c r="I172" s="86">
        <v>54</v>
      </c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>
        <v>9</v>
      </c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>
        <v>9</v>
      </c>
      <c r="AI172" s="87"/>
      <c r="AJ172" s="87"/>
      <c r="AK172" s="87"/>
      <c r="AL172" s="87"/>
      <c r="AM172" s="87"/>
      <c r="AN172" s="87"/>
      <c r="AO172" s="87">
        <v>9</v>
      </c>
      <c r="AP172" s="87"/>
      <c r="AQ172" s="87"/>
      <c r="AR172" s="87"/>
      <c r="AS172" s="87"/>
      <c r="AT172" s="87"/>
      <c r="AU172" s="87"/>
      <c r="AV172" s="87"/>
      <c r="AW172" s="88" t="str">
        <f>HYPERLINK("http://www.openstreetmap.org/?mlat=32.5106&amp;mlon=44.405&amp;zoom=12#map=12/32.5106/44.405","Maplink1")</f>
        <v>Maplink1</v>
      </c>
      <c r="AX172" s="88" t="str">
        <f>HYPERLINK("https://www.google.iq/maps/search/+32.5106,44.405/@32.5106,44.405,14z?hl=en","Maplink2")</f>
        <v>Maplink2</v>
      </c>
      <c r="AY172" s="88" t="str">
        <f>HYPERLINK("http://www.bing.com/maps/?lvl=14&amp;sty=h&amp;cp=32.5106~44.405&amp;sp=point.32.5106_44.405","Maplink3")</f>
        <v>Maplink3</v>
      </c>
      <c r="AZ172" s="76"/>
    </row>
    <row r="173" spans="1:52" x14ac:dyDescent="0.25">
      <c r="A173" s="86">
        <v>25877</v>
      </c>
      <c r="B173" s="87" t="s">
        <v>13</v>
      </c>
      <c r="C173" s="87" t="s">
        <v>361</v>
      </c>
      <c r="D173" s="87" t="s">
        <v>368</v>
      </c>
      <c r="E173" s="87" t="s">
        <v>369</v>
      </c>
      <c r="F173" s="87">
        <v>32.489038996200001</v>
      </c>
      <c r="G173" s="87">
        <v>44.455138948699997</v>
      </c>
      <c r="H173" s="86">
        <v>7</v>
      </c>
      <c r="I173" s="86">
        <v>42</v>
      </c>
      <c r="J173" s="87"/>
      <c r="K173" s="87"/>
      <c r="L173" s="87"/>
      <c r="M173" s="87"/>
      <c r="N173" s="87"/>
      <c r="O173" s="87">
        <v>1</v>
      </c>
      <c r="P173" s="87"/>
      <c r="Q173" s="87"/>
      <c r="R173" s="87"/>
      <c r="S173" s="87"/>
      <c r="T173" s="87"/>
      <c r="U173" s="87"/>
      <c r="V173" s="87">
        <v>6</v>
      </c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>
        <v>7</v>
      </c>
      <c r="AI173" s="87"/>
      <c r="AJ173" s="87"/>
      <c r="AK173" s="87"/>
      <c r="AL173" s="87"/>
      <c r="AM173" s="87"/>
      <c r="AN173" s="87"/>
      <c r="AO173" s="87">
        <v>7</v>
      </c>
      <c r="AP173" s="87"/>
      <c r="AQ173" s="87"/>
      <c r="AR173" s="87"/>
      <c r="AS173" s="87"/>
      <c r="AT173" s="87"/>
      <c r="AU173" s="87"/>
      <c r="AV173" s="87"/>
      <c r="AW173" s="88" t="str">
        <f>HYPERLINK("http://www.openstreetmap.org/?mlat=32.489&amp;mlon=44.4551&amp;zoom=12#map=12/32.489/44.4551","Maplink1")</f>
        <v>Maplink1</v>
      </c>
      <c r="AX173" s="88" t="str">
        <f>HYPERLINK("https://www.google.iq/maps/search/+32.489,44.4551/@32.489,44.4551,14z?hl=en","Maplink2")</f>
        <v>Maplink2</v>
      </c>
      <c r="AY173" s="88" t="str">
        <f>HYPERLINK("http://www.bing.com/maps/?lvl=14&amp;sty=h&amp;cp=32.489~44.4551&amp;sp=point.32.489_44.4551","Maplink3")</f>
        <v>Maplink3</v>
      </c>
      <c r="AZ173" s="76"/>
    </row>
    <row r="174" spans="1:52" x14ac:dyDescent="0.25">
      <c r="A174" s="86">
        <v>24788</v>
      </c>
      <c r="B174" s="87" t="s">
        <v>13</v>
      </c>
      <c r="C174" s="87" t="s">
        <v>361</v>
      </c>
      <c r="D174" s="87" t="s">
        <v>370</v>
      </c>
      <c r="E174" s="87" t="s">
        <v>371</v>
      </c>
      <c r="F174" s="87">
        <v>32.452958063499999</v>
      </c>
      <c r="G174" s="87">
        <v>44.3948434299</v>
      </c>
      <c r="H174" s="86">
        <v>4</v>
      </c>
      <c r="I174" s="86">
        <v>24</v>
      </c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>
        <v>4</v>
      </c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>
        <v>4</v>
      </c>
      <c r="AI174" s="87"/>
      <c r="AJ174" s="87"/>
      <c r="AK174" s="87"/>
      <c r="AL174" s="87"/>
      <c r="AM174" s="87"/>
      <c r="AN174" s="87"/>
      <c r="AO174" s="87">
        <v>4</v>
      </c>
      <c r="AP174" s="87"/>
      <c r="AQ174" s="87"/>
      <c r="AR174" s="87"/>
      <c r="AS174" s="87"/>
      <c r="AT174" s="87"/>
      <c r="AU174" s="87"/>
      <c r="AV174" s="87"/>
      <c r="AW174" s="88" t="str">
        <f>HYPERLINK("http://www.openstreetmap.org/?mlat=32.453&amp;mlon=44.3948&amp;zoom=12#map=12/32.453/44.3948","Maplink1")</f>
        <v>Maplink1</v>
      </c>
      <c r="AX174" s="88" t="str">
        <f>HYPERLINK("https://www.google.iq/maps/search/+32.453,44.3948/@32.453,44.3948,14z?hl=en","Maplink2")</f>
        <v>Maplink2</v>
      </c>
      <c r="AY174" s="88" t="str">
        <f>HYPERLINK("http://www.bing.com/maps/?lvl=14&amp;sty=h&amp;cp=32.453~44.3948&amp;sp=point.32.453_44.3948","Maplink3")</f>
        <v>Maplink3</v>
      </c>
      <c r="AZ174" s="76"/>
    </row>
    <row r="175" spans="1:52" x14ac:dyDescent="0.25">
      <c r="A175" s="86">
        <v>24161</v>
      </c>
      <c r="B175" s="87" t="s">
        <v>13</v>
      </c>
      <c r="C175" s="87" t="s">
        <v>361</v>
      </c>
      <c r="D175" s="87" t="s">
        <v>372</v>
      </c>
      <c r="E175" s="87" t="s">
        <v>373</v>
      </c>
      <c r="F175" s="87">
        <v>32.465772065300001</v>
      </c>
      <c r="G175" s="87">
        <v>44.403472344699999</v>
      </c>
      <c r="H175" s="86">
        <v>2</v>
      </c>
      <c r="I175" s="86">
        <v>12</v>
      </c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>
        <v>2</v>
      </c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>
        <v>2</v>
      </c>
      <c r="AI175" s="87"/>
      <c r="AJ175" s="87"/>
      <c r="AK175" s="87"/>
      <c r="AL175" s="87"/>
      <c r="AM175" s="87"/>
      <c r="AN175" s="87"/>
      <c r="AO175" s="87">
        <v>2</v>
      </c>
      <c r="AP175" s="87"/>
      <c r="AQ175" s="87"/>
      <c r="AR175" s="87"/>
      <c r="AS175" s="87"/>
      <c r="AT175" s="87"/>
      <c r="AU175" s="87"/>
      <c r="AV175" s="87"/>
      <c r="AW175" s="88" t="str">
        <f>HYPERLINK("http://www.openstreetmap.org/?mlat=32.4658&amp;mlon=44.4035&amp;zoom=12#map=12/32.4658/44.4035","Maplink1")</f>
        <v>Maplink1</v>
      </c>
      <c r="AX175" s="88" t="str">
        <f>HYPERLINK("https://www.google.iq/maps/search/+32.4658,44.4035/@32.4658,44.4035,14z?hl=en","Maplink2")</f>
        <v>Maplink2</v>
      </c>
      <c r="AY175" s="88" t="str">
        <f>HYPERLINK("http://www.bing.com/maps/?lvl=14&amp;sty=h&amp;cp=32.4658~44.4035&amp;sp=point.32.4658_44.4035","Maplink3")</f>
        <v>Maplink3</v>
      </c>
      <c r="AZ175" s="76"/>
    </row>
    <row r="176" spans="1:52" x14ac:dyDescent="0.25">
      <c r="A176" s="86">
        <v>25875</v>
      </c>
      <c r="B176" s="87" t="s">
        <v>13</v>
      </c>
      <c r="C176" s="87" t="s">
        <v>361</v>
      </c>
      <c r="D176" s="87" t="s">
        <v>374</v>
      </c>
      <c r="E176" s="87" t="s">
        <v>375</v>
      </c>
      <c r="F176" s="87">
        <v>32.493128426299997</v>
      </c>
      <c r="G176" s="87">
        <v>44.460924499800001</v>
      </c>
      <c r="H176" s="86">
        <v>9</v>
      </c>
      <c r="I176" s="86">
        <v>54</v>
      </c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>
        <v>9</v>
      </c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>
        <v>9</v>
      </c>
      <c r="AI176" s="87"/>
      <c r="AJ176" s="87"/>
      <c r="AK176" s="87"/>
      <c r="AL176" s="87"/>
      <c r="AM176" s="87"/>
      <c r="AN176" s="87"/>
      <c r="AO176" s="87">
        <v>9</v>
      </c>
      <c r="AP176" s="87"/>
      <c r="AQ176" s="87"/>
      <c r="AR176" s="87"/>
      <c r="AS176" s="87"/>
      <c r="AT176" s="87"/>
      <c r="AU176" s="87"/>
      <c r="AV176" s="87"/>
      <c r="AW176" s="88" t="str">
        <f>HYPERLINK("http://www.openstreetmap.org/?mlat=32.4931&amp;mlon=44.4609&amp;zoom=12#map=12/32.4931/44.4609","Maplink1")</f>
        <v>Maplink1</v>
      </c>
      <c r="AX176" s="88" t="str">
        <f>HYPERLINK("https://www.google.iq/maps/search/+32.4931,44.4609/@32.4931,44.4609,14z?hl=en","Maplink2")</f>
        <v>Maplink2</v>
      </c>
      <c r="AY176" s="88" t="str">
        <f>HYPERLINK("http://www.bing.com/maps/?lvl=14&amp;sty=h&amp;cp=32.4931~44.4609&amp;sp=point.32.4931_44.4609","Maplink3")</f>
        <v>Maplink3</v>
      </c>
      <c r="AZ176" s="76"/>
    </row>
    <row r="177" spans="1:52" x14ac:dyDescent="0.25">
      <c r="A177" s="86">
        <v>22607</v>
      </c>
      <c r="B177" s="87" t="s">
        <v>13</v>
      </c>
      <c r="C177" s="87" t="s">
        <v>361</v>
      </c>
      <c r="D177" s="87" t="s">
        <v>376</v>
      </c>
      <c r="E177" s="87" t="s">
        <v>377</v>
      </c>
      <c r="F177" s="87">
        <v>32.524068938900001</v>
      </c>
      <c r="G177" s="87">
        <v>44.368263649799999</v>
      </c>
      <c r="H177" s="86">
        <v>6</v>
      </c>
      <c r="I177" s="86">
        <v>36</v>
      </c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>
        <v>6</v>
      </c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>
        <v>6</v>
      </c>
      <c r="AL177" s="87"/>
      <c r="AM177" s="87"/>
      <c r="AN177" s="87"/>
      <c r="AO177" s="87">
        <v>6</v>
      </c>
      <c r="AP177" s="87"/>
      <c r="AQ177" s="87"/>
      <c r="AR177" s="87"/>
      <c r="AS177" s="87"/>
      <c r="AT177" s="87"/>
      <c r="AU177" s="87"/>
      <c r="AV177" s="87"/>
      <c r="AW177" s="88" t="str">
        <f>HYPERLINK("http://www.openstreetmap.org/?mlat=32.5241&amp;mlon=44.3683&amp;zoom=12#map=12/32.5241/44.3683","Maplink1")</f>
        <v>Maplink1</v>
      </c>
      <c r="AX177" s="88" t="str">
        <f>HYPERLINK("https://www.google.iq/maps/search/+32.5241,44.3683/@32.5241,44.3683,14z?hl=en","Maplink2")</f>
        <v>Maplink2</v>
      </c>
      <c r="AY177" s="88" t="str">
        <f>HYPERLINK("http://www.bing.com/maps/?lvl=14&amp;sty=h&amp;cp=32.5241~44.3683&amp;sp=point.32.5241_44.3683","Maplink3")</f>
        <v>Maplink3</v>
      </c>
      <c r="AZ177" s="76"/>
    </row>
    <row r="178" spans="1:52" x14ac:dyDescent="0.25">
      <c r="A178" s="86">
        <v>21616</v>
      </c>
      <c r="B178" s="87" t="s">
        <v>13</v>
      </c>
      <c r="C178" s="87" t="s">
        <v>361</v>
      </c>
      <c r="D178" s="87" t="s">
        <v>378</v>
      </c>
      <c r="E178" s="87" t="s">
        <v>379</v>
      </c>
      <c r="F178" s="87">
        <v>32.539202630399998</v>
      </c>
      <c r="G178" s="87">
        <v>44.327869220700002</v>
      </c>
      <c r="H178" s="86">
        <v>2</v>
      </c>
      <c r="I178" s="86">
        <v>12</v>
      </c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>
        <v>2</v>
      </c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>
        <v>2</v>
      </c>
      <c r="AI178" s="87"/>
      <c r="AJ178" s="87"/>
      <c r="AK178" s="87"/>
      <c r="AL178" s="87"/>
      <c r="AM178" s="87"/>
      <c r="AN178" s="87"/>
      <c r="AO178" s="87">
        <v>2</v>
      </c>
      <c r="AP178" s="87"/>
      <c r="AQ178" s="87"/>
      <c r="AR178" s="87"/>
      <c r="AS178" s="87"/>
      <c r="AT178" s="87"/>
      <c r="AU178" s="87"/>
      <c r="AV178" s="87"/>
      <c r="AW178" s="88" t="str">
        <f>HYPERLINK("http://www.openstreetmap.org/?mlat=32.5392&amp;mlon=44.3279&amp;zoom=12#map=12/32.5392/44.3279","Maplink1")</f>
        <v>Maplink1</v>
      </c>
      <c r="AX178" s="88" t="str">
        <f>HYPERLINK("https://www.google.iq/maps/search/+32.5392,44.3279/@32.5392,44.3279,14z?hl=en","Maplink2")</f>
        <v>Maplink2</v>
      </c>
      <c r="AY178" s="88" t="str">
        <f>HYPERLINK("http://www.bing.com/maps/?lvl=14&amp;sty=h&amp;cp=32.5392~44.3279&amp;sp=point.32.5392_44.3279","Maplink3")</f>
        <v>Maplink3</v>
      </c>
      <c r="AZ178" s="76"/>
    </row>
    <row r="179" spans="1:52" x14ac:dyDescent="0.25">
      <c r="A179" s="86">
        <v>22136</v>
      </c>
      <c r="B179" s="87" t="s">
        <v>13</v>
      </c>
      <c r="C179" s="87" t="s">
        <v>361</v>
      </c>
      <c r="D179" s="87" t="s">
        <v>380</v>
      </c>
      <c r="E179" s="87" t="s">
        <v>381</v>
      </c>
      <c r="F179" s="87">
        <v>32.444099110000003</v>
      </c>
      <c r="G179" s="87">
        <v>44.3952592192</v>
      </c>
      <c r="H179" s="86">
        <v>3</v>
      </c>
      <c r="I179" s="86">
        <v>18</v>
      </c>
      <c r="J179" s="87"/>
      <c r="K179" s="87">
        <v>2</v>
      </c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>
        <v>1</v>
      </c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>
        <v>3</v>
      </c>
      <c r="AI179" s="87"/>
      <c r="AJ179" s="87"/>
      <c r="AK179" s="87"/>
      <c r="AL179" s="87"/>
      <c r="AM179" s="87"/>
      <c r="AN179" s="87"/>
      <c r="AO179" s="87">
        <v>3</v>
      </c>
      <c r="AP179" s="87"/>
      <c r="AQ179" s="87"/>
      <c r="AR179" s="87"/>
      <c r="AS179" s="87"/>
      <c r="AT179" s="87"/>
      <c r="AU179" s="87"/>
      <c r="AV179" s="87"/>
      <c r="AW179" s="88" t="str">
        <f>HYPERLINK("http://www.openstreetmap.org/?mlat=32.4441&amp;mlon=44.3953&amp;zoom=12#map=12/32.4441/44.3953","Maplink1")</f>
        <v>Maplink1</v>
      </c>
      <c r="AX179" s="88" t="str">
        <f>HYPERLINK("https://www.google.iq/maps/search/+32.4441,44.3953/@32.4441,44.3953,14z?hl=en","Maplink2")</f>
        <v>Maplink2</v>
      </c>
      <c r="AY179" s="88" t="str">
        <f>HYPERLINK("http://www.bing.com/maps/?lvl=14&amp;sty=h&amp;cp=32.4441~44.3953&amp;sp=point.32.4441_44.3953","Maplink3")</f>
        <v>Maplink3</v>
      </c>
      <c r="AZ179" s="76"/>
    </row>
    <row r="180" spans="1:52" x14ac:dyDescent="0.25">
      <c r="A180" s="86">
        <v>21666</v>
      </c>
      <c r="B180" s="87" t="s">
        <v>13</v>
      </c>
      <c r="C180" s="87" t="s">
        <v>361</v>
      </c>
      <c r="D180" s="87" t="s">
        <v>382</v>
      </c>
      <c r="E180" s="87" t="s">
        <v>383</v>
      </c>
      <c r="F180" s="87">
        <v>32.474230503400001</v>
      </c>
      <c r="G180" s="87">
        <v>44.435390848499999</v>
      </c>
      <c r="H180" s="86">
        <v>3</v>
      </c>
      <c r="I180" s="86">
        <v>18</v>
      </c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>
        <v>3</v>
      </c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>
        <v>3</v>
      </c>
      <c r="AI180" s="87"/>
      <c r="AJ180" s="87"/>
      <c r="AK180" s="87"/>
      <c r="AL180" s="87"/>
      <c r="AM180" s="87"/>
      <c r="AN180" s="87"/>
      <c r="AO180" s="87">
        <v>3</v>
      </c>
      <c r="AP180" s="87"/>
      <c r="AQ180" s="87"/>
      <c r="AR180" s="87"/>
      <c r="AS180" s="87"/>
      <c r="AT180" s="87"/>
      <c r="AU180" s="87"/>
      <c r="AV180" s="87"/>
      <c r="AW180" s="88" t="str">
        <f>HYPERLINK("http://www.openstreetmap.org/?mlat=32.4742&amp;mlon=44.4354&amp;zoom=12#map=12/32.4742/44.4354","Maplink1")</f>
        <v>Maplink1</v>
      </c>
      <c r="AX180" s="88" t="str">
        <f>HYPERLINK("https://www.google.iq/maps/search/+32.4742,44.4354/@32.4742,44.4354,14z?hl=en","Maplink2")</f>
        <v>Maplink2</v>
      </c>
      <c r="AY180" s="88" t="str">
        <f>HYPERLINK("http://www.bing.com/maps/?lvl=14&amp;sty=h&amp;cp=32.4742~44.4354&amp;sp=point.32.4742_44.4354","Maplink3")</f>
        <v>Maplink3</v>
      </c>
      <c r="AZ180" s="76"/>
    </row>
    <row r="181" spans="1:52" x14ac:dyDescent="0.25">
      <c r="A181" s="86">
        <v>23954</v>
      </c>
      <c r="B181" s="87" t="s">
        <v>13</v>
      </c>
      <c r="C181" s="87" t="s">
        <v>361</v>
      </c>
      <c r="D181" s="87" t="s">
        <v>384</v>
      </c>
      <c r="E181" s="87" t="s">
        <v>385</v>
      </c>
      <c r="F181" s="87">
        <v>32.4670318724</v>
      </c>
      <c r="G181" s="87">
        <v>44.424379999999999</v>
      </c>
      <c r="H181" s="86">
        <v>5</v>
      </c>
      <c r="I181" s="86">
        <v>30</v>
      </c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>
        <v>5</v>
      </c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>
        <v>5</v>
      </c>
      <c r="AI181" s="87"/>
      <c r="AJ181" s="87"/>
      <c r="AK181" s="87"/>
      <c r="AL181" s="87"/>
      <c r="AM181" s="87"/>
      <c r="AN181" s="87"/>
      <c r="AO181" s="87">
        <v>5</v>
      </c>
      <c r="AP181" s="87"/>
      <c r="AQ181" s="87"/>
      <c r="AR181" s="87"/>
      <c r="AS181" s="87"/>
      <c r="AT181" s="87"/>
      <c r="AU181" s="87"/>
      <c r="AV181" s="87"/>
      <c r="AW181" s="88" t="str">
        <f>HYPERLINK("http://www.openstreetmap.org/?mlat=32.467&amp;mlon=44.4244&amp;zoom=12#map=12/32.467/44.4244","Maplink1")</f>
        <v>Maplink1</v>
      </c>
      <c r="AX181" s="88" t="str">
        <f>HYPERLINK("https://www.google.iq/maps/search/+32.467,44.4244/@32.467,44.4244,14z?hl=en","Maplink2")</f>
        <v>Maplink2</v>
      </c>
      <c r="AY181" s="88" t="str">
        <f>HYPERLINK("http://www.bing.com/maps/?lvl=14&amp;sty=h&amp;cp=32.467~44.4244&amp;sp=point.32.467_44.4244","Maplink3")</f>
        <v>Maplink3</v>
      </c>
      <c r="AZ181" s="76"/>
    </row>
    <row r="182" spans="1:52" x14ac:dyDescent="0.25">
      <c r="A182" s="86">
        <v>24273</v>
      </c>
      <c r="B182" s="87" t="s">
        <v>13</v>
      </c>
      <c r="C182" s="87" t="s">
        <v>361</v>
      </c>
      <c r="D182" s="87" t="s">
        <v>386</v>
      </c>
      <c r="E182" s="87" t="s">
        <v>387</v>
      </c>
      <c r="F182" s="87">
        <v>32.520589469900003</v>
      </c>
      <c r="G182" s="87">
        <v>44.427083070099997</v>
      </c>
      <c r="H182" s="86">
        <v>4</v>
      </c>
      <c r="I182" s="86">
        <v>24</v>
      </c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>
        <v>4</v>
      </c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>
        <v>4</v>
      </c>
      <c r="AI182" s="87"/>
      <c r="AJ182" s="87"/>
      <c r="AK182" s="87"/>
      <c r="AL182" s="87"/>
      <c r="AM182" s="87"/>
      <c r="AN182" s="87"/>
      <c r="AO182" s="87">
        <v>4</v>
      </c>
      <c r="AP182" s="87"/>
      <c r="AQ182" s="87"/>
      <c r="AR182" s="87"/>
      <c r="AS182" s="87"/>
      <c r="AT182" s="87"/>
      <c r="AU182" s="87"/>
      <c r="AV182" s="87"/>
      <c r="AW182" s="88" t="str">
        <f>HYPERLINK("http://www.openstreetmap.org/?mlat=32.5206&amp;mlon=44.4271&amp;zoom=12#map=12/32.5206/44.4271","Maplink1")</f>
        <v>Maplink1</v>
      </c>
      <c r="AX182" s="88" t="str">
        <f>HYPERLINK("https://www.google.iq/maps/search/+32.5206,44.4271/@32.5206,44.4271,14z?hl=en","Maplink2")</f>
        <v>Maplink2</v>
      </c>
      <c r="AY182" s="88" t="str">
        <f>HYPERLINK("http://www.bing.com/maps/?lvl=14&amp;sty=h&amp;cp=32.5206~44.4271&amp;sp=point.32.5206_44.4271","Maplink3")</f>
        <v>Maplink3</v>
      </c>
      <c r="AZ182" s="76"/>
    </row>
    <row r="183" spans="1:52" x14ac:dyDescent="0.25">
      <c r="A183" s="86">
        <v>23956</v>
      </c>
      <c r="B183" s="87" t="s">
        <v>13</v>
      </c>
      <c r="C183" s="87" t="s">
        <v>361</v>
      </c>
      <c r="D183" s="87" t="s">
        <v>388</v>
      </c>
      <c r="E183" s="87" t="s">
        <v>389</v>
      </c>
      <c r="F183" s="87">
        <v>32.509713512899999</v>
      </c>
      <c r="G183" s="87">
        <v>44.430709999999998</v>
      </c>
      <c r="H183" s="86">
        <v>12</v>
      </c>
      <c r="I183" s="86">
        <v>72</v>
      </c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>
        <v>12</v>
      </c>
      <c r="W183" s="87"/>
      <c r="X183" s="87"/>
      <c r="Y183" s="87"/>
      <c r="Z183" s="87"/>
      <c r="AA183" s="87"/>
      <c r="AB183" s="87"/>
      <c r="AC183" s="87"/>
      <c r="AD183" s="87">
        <v>6</v>
      </c>
      <c r="AE183" s="87"/>
      <c r="AF183" s="87"/>
      <c r="AG183" s="87"/>
      <c r="AH183" s="87">
        <v>6</v>
      </c>
      <c r="AI183" s="87"/>
      <c r="AJ183" s="87"/>
      <c r="AK183" s="87"/>
      <c r="AL183" s="87"/>
      <c r="AM183" s="87"/>
      <c r="AN183" s="87"/>
      <c r="AO183" s="87">
        <v>12</v>
      </c>
      <c r="AP183" s="87"/>
      <c r="AQ183" s="87"/>
      <c r="AR183" s="87"/>
      <c r="AS183" s="87"/>
      <c r="AT183" s="87"/>
      <c r="AU183" s="87"/>
      <c r="AV183" s="87"/>
      <c r="AW183" s="88" t="str">
        <f>HYPERLINK("http://www.openstreetmap.org/?mlat=32.5097&amp;mlon=44.4307&amp;zoom=12#map=12/32.5097/44.4307","Maplink1")</f>
        <v>Maplink1</v>
      </c>
      <c r="AX183" s="88" t="str">
        <f>HYPERLINK("https://www.google.iq/maps/search/+32.5097,44.4307/@32.5097,44.4307,14z?hl=en","Maplink2")</f>
        <v>Maplink2</v>
      </c>
      <c r="AY183" s="88" t="str">
        <f>HYPERLINK("http://www.bing.com/maps/?lvl=14&amp;sty=h&amp;cp=32.5097~44.4307&amp;sp=point.32.5097_44.4307","Maplink3")</f>
        <v>Maplink3</v>
      </c>
      <c r="AZ183" s="76"/>
    </row>
    <row r="184" spans="1:52" x14ac:dyDescent="0.25">
      <c r="A184" s="86">
        <v>24295</v>
      </c>
      <c r="B184" s="87" t="s">
        <v>13</v>
      </c>
      <c r="C184" s="87" t="s">
        <v>361</v>
      </c>
      <c r="D184" s="87" t="s">
        <v>390</v>
      </c>
      <c r="E184" s="87" t="s">
        <v>391</v>
      </c>
      <c r="F184" s="87">
        <v>32.192819337800003</v>
      </c>
      <c r="G184" s="87">
        <v>44.371781909500001</v>
      </c>
      <c r="H184" s="86">
        <v>3</v>
      </c>
      <c r="I184" s="86">
        <v>18</v>
      </c>
      <c r="J184" s="87"/>
      <c r="K184" s="87"/>
      <c r="L184" s="87"/>
      <c r="M184" s="87"/>
      <c r="N184" s="87"/>
      <c r="O184" s="87">
        <v>3</v>
      </c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>
        <v>3</v>
      </c>
      <c r="AI184" s="87"/>
      <c r="AJ184" s="87"/>
      <c r="AK184" s="87"/>
      <c r="AL184" s="87"/>
      <c r="AM184" s="87"/>
      <c r="AN184" s="87"/>
      <c r="AO184" s="87"/>
      <c r="AP184" s="87">
        <v>3</v>
      </c>
      <c r="AQ184" s="87"/>
      <c r="AR184" s="87"/>
      <c r="AS184" s="87"/>
      <c r="AT184" s="87"/>
      <c r="AU184" s="87"/>
      <c r="AV184" s="87"/>
      <c r="AW184" s="88" t="str">
        <f>HYPERLINK("http://www.openstreetmap.org/?mlat=32.1928&amp;mlon=44.3718&amp;zoom=12#map=12/32.1928/44.3718","Maplink1")</f>
        <v>Maplink1</v>
      </c>
      <c r="AX184" s="88" t="str">
        <f>HYPERLINK("https://www.google.iq/maps/search/+32.1928,44.3718/@32.1928,44.3718,14z?hl=en","Maplink2")</f>
        <v>Maplink2</v>
      </c>
      <c r="AY184" s="88" t="str">
        <f>HYPERLINK("http://www.bing.com/maps/?lvl=14&amp;sty=h&amp;cp=32.1928~44.3718&amp;sp=point.32.1928_44.3718","Maplink3")</f>
        <v>Maplink3</v>
      </c>
      <c r="AZ184" s="76"/>
    </row>
    <row r="185" spans="1:52" x14ac:dyDescent="0.25">
      <c r="A185" s="86">
        <v>24563</v>
      </c>
      <c r="B185" s="87" t="s">
        <v>13</v>
      </c>
      <c r="C185" s="87" t="s">
        <v>361</v>
      </c>
      <c r="D185" s="87" t="s">
        <v>392</v>
      </c>
      <c r="E185" s="87" t="s">
        <v>393</v>
      </c>
      <c r="F185" s="87">
        <v>32.225704310399998</v>
      </c>
      <c r="G185" s="87">
        <v>44.357926706999997</v>
      </c>
      <c r="H185" s="86">
        <v>1</v>
      </c>
      <c r="I185" s="86">
        <v>6</v>
      </c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>
        <v>1</v>
      </c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>
        <v>1</v>
      </c>
      <c r="AI185" s="87"/>
      <c r="AJ185" s="87"/>
      <c r="AK185" s="87"/>
      <c r="AL185" s="87"/>
      <c r="AM185" s="87"/>
      <c r="AN185" s="87"/>
      <c r="AO185" s="87">
        <v>1</v>
      </c>
      <c r="AP185" s="87"/>
      <c r="AQ185" s="87"/>
      <c r="AR185" s="87"/>
      <c r="AS185" s="87"/>
      <c r="AT185" s="87"/>
      <c r="AU185" s="87"/>
      <c r="AV185" s="87"/>
      <c r="AW185" s="88" t="str">
        <f>HYPERLINK("http://www.openstreetmap.org/?mlat=32.2257&amp;mlon=44.3579&amp;zoom=12#map=12/32.2257/44.3579","Maplink1")</f>
        <v>Maplink1</v>
      </c>
      <c r="AX185" s="88" t="str">
        <f>HYPERLINK("https://www.google.iq/maps/search/+32.2257,44.3579/@32.2257,44.3579,14z?hl=en","Maplink2")</f>
        <v>Maplink2</v>
      </c>
      <c r="AY185" s="88" t="str">
        <f>HYPERLINK("http://www.bing.com/maps/?lvl=14&amp;sty=h&amp;cp=32.2257~44.3579&amp;sp=point.32.2257_44.3579","Maplink3")</f>
        <v>Maplink3</v>
      </c>
      <c r="AZ185" s="76"/>
    </row>
    <row r="186" spans="1:52" x14ac:dyDescent="0.25">
      <c r="A186" s="86">
        <v>24562</v>
      </c>
      <c r="B186" s="87" t="s">
        <v>13</v>
      </c>
      <c r="C186" s="87" t="s">
        <v>361</v>
      </c>
      <c r="D186" s="87" t="s">
        <v>394</v>
      </c>
      <c r="E186" s="87" t="s">
        <v>395</v>
      </c>
      <c r="F186" s="87">
        <v>32.219018493599997</v>
      </c>
      <c r="G186" s="87">
        <v>44.368759908999998</v>
      </c>
      <c r="H186" s="86">
        <v>4</v>
      </c>
      <c r="I186" s="86">
        <v>24</v>
      </c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>
        <v>4</v>
      </c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>
        <v>4</v>
      </c>
      <c r="AI186" s="87"/>
      <c r="AJ186" s="87"/>
      <c r="AK186" s="87"/>
      <c r="AL186" s="87"/>
      <c r="AM186" s="87"/>
      <c r="AN186" s="87"/>
      <c r="AO186" s="87">
        <v>4</v>
      </c>
      <c r="AP186" s="87"/>
      <c r="AQ186" s="87"/>
      <c r="AR186" s="87"/>
      <c r="AS186" s="87"/>
      <c r="AT186" s="87"/>
      <c r="AU186" s="87"/>
      <c r="AV186" s="87"/>
      <c r="AW186" s="88" t="str">
        <f>HYPERLINK("http://www.openstreetmap.org/?mlat=32.219&amp;mlon=44.3688&amp;zoom=12#map=12/32.219/44.3688","Maplink1")</f>
        <v>Maplink1</v>
      </c>
      <c r="AX186" s="88" t="str">
        <f>HYPERLINK("https://www.google.iq/maps/search/+32.219,44.3688/@32.219,44.3688,14z?hl=en","Maplink2")</f>
        <v>Maplink2</v>
      </c>
      <c r="AY186" s="88" t="str">
        <f>HYPERLINK("http://www.bing.com/maps/?lvl=14&amp;sty=h&amp;cp=32.219~44.3688&amp;sp=point.32.219_44.3688","Maplink3")</f>
        <v>Maplink3</v>
      </c>
      <c r="AZ186" s="76"/>
    </row>
    <row r="187" spans="1:52" x14ac:dyDescent="0.25">
      <c r="A187" s="86">
        <v>24561</v>
      </c>
      <c r="B187" s="87" t="s">
        <v>13</v>
      </c>
      <c r="C187" s="87" t="s">
        <v>361</v>
      </c>
      <c r="D187" s="87" t="s">
        <v>396</v>
      </c>
      <c r="E187" s="87" t="s">
        <v>397</v>
      </c>
      <c r="F187" s="87">
        <v>32.226222683499998</v>
      </c>
      <c r="G187" s="87">
        <v>44.369101425499998</v>
      </c>
      <c r="H187" s="86">
        <v>3</v>
      </c>
      <c r="I187" s="86">
        <v>18</v>
      </c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>
        <v>3</v>
      </c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>
        <v>3</v>
      </c>
      <c r="AI187" s="87"/>
      <c r="AJ187" s="87"/>
      <c r="AK187" s="87"/>
      <c r="AL187" s="87"/>
      <c r="AM187" s="87"/>
      <c r="AN187" s="87"/>
      <c r="AO187" s="87">
        <v>3</v>
      </c>
      <c r="AP187" s="87"/>
      <c r="AQ187" s="87"/>
      <c r="AR187" s="87"/>
      <c r="AS187" s="87"/>
      <c r="AT187" s="87"/>
      <c r="AU187" s="87"/>
      <c r="AV187" s="87"/>
      <c r="AW187" s="88" t="str">
        <f>HYPERLINK("http://www.openstreetmap.org/?mlat=32.2262&amp;mlon=44.3691&amp;zoom=12#map=12/32.2262/44.3691","Maplink1")</f>
        <v>Maplink1</v>
      </c>
      <c r="AX187" s="88" t="str">
        <f>HYPERLINK("https://www.google.iq/maps/search/+32.2262,44.3691/@32.2262,44.3691,14z?hl=en","Maplink2")</f>
        <v>Maplink2</v>
      </c>
      <c r="AY187" s="88" t="str">
        <f>HYPERLINK("http://www.bing.com/maps/?lvl=14&amp;sty=h&amp;cp=32.2262~44.3691&amp;sp=point.32.2262_44.3691","Maplink3")</f>
        <v>Maplink3</v>
      </c>
      <c r="AZ187" s="76"/>
    </row>
    <row r="188" spans="1:52" x14ac:dyDescent="0.25">
      <c r="A188" s="86">
        <v>25603</v>
      </c>
      <c r="B188" s="87" t="s">
        <v>13</v>
      </c>
      <c r="C188" s="87" t="s">
        <v>361</v>
      </c>
      <c r="D188" s="87" t="s">
        <v>398</v>
      </c>
      <c r="E188" s="87" t="s">
        <v>399</v>
      </c>
      <c r="F188" s="87">
        <v>32.2333950831</v>
      </c>
      <c r="G188" s="87">
        <v>44.388280412</v>
      </c>
      <c r="H188" s="86">
        <v>4</v>
      </c>
      <c r="I188" s="86">
        <v>24</v>
      </c>
      <c r="J188" s="87">
        <v>3</v>
      </c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>
        <v>1</v>
      </c>
      <c r="W188" s="87"/>
      <c r="X188" s="87"/>
      <c r="Y188" s="87"/>
      <c r="Z188" s="87"/>
      <c r="AA188" s="87"/>
      <c r="AB188" s="87"/>
      <c r="AC188" s="87"/>
      <c r="AD188" s="87">
        <v>4</v>
      </c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>
        <v>1</v>
      </c>
      <c r="AP188" s="87"/>
      <c r="AQ188" s="87">
        <v>3</v>
      </c>
      <c r="AR188" s="87"/>
      <c r="AS188" s="87"/>
      <c r="AT188" s="87"/>
      <c r="AU188" s="87"/>
      <c r="AV188" s="87"/>
      <c r="AW188" s="88" t="str">
        <f>HYPERLINK("http://www.openstreetmap.org/?mlat=32.2334&amp;mlon=44.3883&amp;zoom=12#map=12/32.2334/44.3883","Maplink1")</f>
        <v>Maplink1</v>
      </c>
      <c r="AX188" s="88" t="str">
        <f>HYPERLINK("https://www.google.iq/maps/search/+32.2334,44.3883/@32.2334,44.3883,14z?hl=en","Maplink2")</f>
        <v>Maplink2</v>
      </c>
      <c r="AY188" s="88" t="str">
        <f>HYPERLINK("http://www.bing.com/maps/?lvl=14&amp;sty=h&amp;cp=32.2334~44.3883&amp;sp=point.32.2334_44.3883","Maplink3")</f>
        <v>Maplink3</v>
      </c>
      <c r="AZ188" s="76"/>
    </row>
    <row r="189" spans="1:52" x14ac:dyDescent="0.25">
      <c r="A189" s="86">
        <v>24971</v>
      </c>
      <c r="B189" s="87" t="s">
        <v>13</v>
      </c>
      <c r="C189" s="87" t="s">
        <v>361</v>
      </c>
      <c r="D189" s="87" t="s">
        <v>400</v>
      </c>
      <c r="E189" s="87" t="s">
        <v>401</v>
      </c>
      <c r="F189" s="87">
        <v>32.5115148147</v>
      </c>
      <c r="G189" s="87">
        <v>44.4292336197</v>
      </c>
      <c r="H189" s="86">
        <v>2</v>
      </c>
      <c r="I189" s="86">
        <v>12</v>
      </c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>
        <v>2</v>
      </c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>
        <v>2</v>
      </c>
      <c r="AI189" s="87"/>
      <c r="AJ189" s="87"/>
      <c r="AK189" s="87"/>
      <c r="AL189" s="87"/>
      <c r="AM189" s="87"/>
      <c r="AN189" s="87"/>
      <c r="AO189" s="87">
        <v>2</v>
      </c>
      <c r="AP189" s="87"/>
      <c r="AQ189" s="87"/>
      <c r="AR189" s="87"/>
      <c r="AS189" s="87"/>
      <c r="AT189" s="87"/>
      <c r="AU189" s="87"/>
      <c r="AV189" s="87"/>
      <c r="AW189" s="88" t="str">
        <f>HYPERLINK("http://www.openstreetmap.org/?mlat=32.5115&amp;mlon=44.4292&amp;zoom=12#map=12/32.5115/44.4292","Maplink1")</f>
        <v>Maplink1</v>
      </c>
      <c r="AX189" s="88" t="str">
        <f>HYPERLINK("https://www.google.iq/maps/search/+32.5115,44.4292/@32.5115,44.4292,14z?hl=en","Maplink2")</f>
        <v>Maplink2</v>
      </c>
      <c r="AY189" s="88" t="str">
        <f>HYPERLINK("http://www.bing.com/maps/?lvl=14&amp;sty=h&amp;cp=32.5115~44.4292&amp;sp=point.32.5115_44.4292","Maplink3")</f>
        <v>Maplink3</v>
      </c>
      <c r="AZ189" s="76"/>
    </row>
    <row r="190" spans="1:52" x14ac:dyDescent="0.25">
      <c r="A190" s="86">
        <v>25124</v>
      </c>
      <c r="B190" s="87" t="s">
        <v>13</v>
      </c>
      <c r="C190" s="87" t="s">
        <v>361</v>
      </c>
      <c r="D190" s="87" t="s">
        <v>402</v>
      </c>
      <c r="E190" s="87" t="s">
        <v>403</v>
      </c>
      <c r="F190" s="87">
        <v>32.465918449900002</v>
      </c>
      <c r="G190" s="87">
        <v>44.500351782300001</v>
      </c>
      <c r="H190" s="86">
        <v>8</v>
      </c>
      <c r="I190" s="86">
        <v>48</v>
      </c>
      <c r="J190" s="87"/>
      <c r="K190" s="87"/>
      <c r="L190" s="87">
        <v>8</v>
      </c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>
        <v>8</v>
      </c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>
        <v>8</v>
      </c>
      <c r="AQ190" s="87"/>
      <c r="AR190" s="87"/>
      <c r="AS190" s="87"/>
      <c r="AT190" s="87"/>
      <c r="AU190" s="87"/>
      <c r="AV190" s="87"/>
      <c r="AW190" s="88" t="str">
        <f>HYPERLINK("http://www.openstreetmap.org/?mlat=32.4659&amp;mlon=44.5004&amp;zoom=12#map=12/32.4659/44.5004","Maplink1")</f>
        <v>Maplink1</v>
      </c>
      <c r="AX190" s="88" t="str">
        <f>HYPERLINK("https://www.google.iq/maps/search/+32.4659,44.5004/@32.4659,44.5004,14z?hl=en","Maplink2")</f>
        <v>Maplink2</v>
      </c>
      <c r="AY190" s="88" t="str">
        <f>HYPERLINK("http://www.bing.com/maps/?lvl=14&amp;sty=h&amp;cp=32.4659~44.5004&amp;sp=point.32.4659_44.5004","Maplink3")</f>
        <v>Maplink3</v>
      </c>
      <c r="AZ190" s="76"/>
    </row>
    <row r="191" spans="1:52" x14ac:dyDescent="0.25">
      <c r="A191" s="86">
        <v>25450</v>
      </c>
      <c r="B191" s="87" t="s">
        <v>13</v>
      </c>
      <c r="C191" s="87" t="s">
        <v>361</v>
      </c>
      <c r="D191" s="87" t="s">
        <v>404</v>
      </c>
      <c r="E191" s="87" t="s">
        <v>405</v>
      </c>
      <c r="F191" s="87">
        <v>32.4417722337</v>
      </c>
      <c r="G191" s="87">
        <v>44.423209479999997</v>
      </c>
      <c r="H191" s="86">
        <v>1</v>
      </c>
      <c r="I191" s="86">
        <v>6</v>
      </c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>
        <v>1</v>
      </c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>
        <v>1</v>
      </c>
      <c r="AI191" s="87"/>
      <c r="AJ191" s="87"/>
      <c r="AK191" s="87"/>
      <c r="AL191" s="87"/>
      <c r="AM191" s="87"/>
      <c r="AN191" s="87"/>
      <c r="AO191" s="87"/>
      <c r="AP191" s="87">
        <v>1</v>
      </c>
      <c r="AQ191" s="87"/>
      <c r="AR191" s="87"/>
      <c r="AS191" s="87"/>
      <c r="AT191" s="87"/>
      <c r="AU191" s="87"/>
      <c r="AV191" s="87"/>
      <c r="AW191" s="88" t="str">
        <f>HYPERLINK("http://www.openstreetmap.org/?mlat=32.4418&amp;mlon=44.4232&amp;zoom=12#map=12/32.4418/44.4232","Maplink1")</f>
        <v>Maplink1</v>
      </c>
      <c r="AX191" s="88" t="str">
        <f>HYPERLINK("https://www.google.iq/maps/search/+32.4418,44.4232/@32.4418,44.4232,14z?hl=en","Maplink2")</f>
        <v>Maplink2</v>
      </c>
      <c r="AY191" s="88" t="str">
        <f>HYPERLINK("http://www.bing.com/maps/?lvl=14&amp;sty=h&amp;cp=32.4418~44.4232&amp;sp=point.32.4418_44.4232","Maplink3")</f>
        <v>Maplink3</v>
      </c>
      <c r="AZ191" s="76"/>
    </row>
    <row r="192" spans="1:52" x14ac:dyDescent="0.25">
      <c r="A192" s="86">
        <v>24593</v>
      </c>
      <c r="B192" s="87" t="s">
        <v>13</v>
      </c>
      <c r="C192" s="87" t="s">
        <v>361</v>
      </c>
      <c r="D192" s="87" t="s">
        <v>406</v>
      </c>
      <c r="E192" s="87" t="s">
        <v>208</v>
      </c>
      <c r="F192" s="87">
        <v>32.471381698499997</v>
      </c>
      <c r="G192" s="87">
        <v>44.406779982499998</v>
      </c>
      <c r="H192" s="86">
        <v>5</v>
      </c>
      <c r="I192" s="86">
        <v>30</v>
      </c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>
        <v>5</v>
      </c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>
        <v>5</v>
      </c>
      <c r="AI192" s="87"/>
      <c r="AJ192" s="87"/>
      <c r="AK192" s="87"/>
      <c r="AL192" s="87"/>
      <c r="AM192" s="87"/>
      <c r="AN192" s="87"/>
      <c r="AO192" s="87">
        <v>5</v>
      </c>
      <c r="AP192" s="87"/>
      <c r="AQ192" s="87"/>
      <c r="AR192" s="87"/>
      <c r="AS192" s="87"/>
      <c r="AT192" s="87"/>
      <c r="AU192" s="87"/>
      <c r="AV192" s="87"/>
      <c r="AW192" s="88" t="str">
        <f>HYPERLINK("http://www.openstreetmap.org/?mlat=32.4714&amp;mlon=44.4068&amp;zoom=12#map=12/32.4714/44.4068","Maplink1")</f>
        <v>Maplink1</v>
      </c>
      <c r="AX192" s="88" t="str">
        <f>HYPERLINK("https://www.google.iq/maps/search/+32.4714,44.4068/@32.4714,44.4068,14z?hl=en","Maplink2")</f>
        <v>Maplink2</v>
      </c>
      <c r="AY192" s="88" t="str">
        <f>HYPERLINK("http://www.bing.com/maps/?lvl=14&amp;sty=h&amp;cp=32.4714~44.4068&amp;sp=point.32.4714_44.4068","Maplink3")</f>
        <v>Maplink3</v>
      </c>
      <c r="AZ192" s="76"/>
    </row>
    <row r="193" spans="1:52" x14ac:dyDescent="0.25">
      <c r="A193" s="86">
        <v>24167</v>
      </c>
      <c r="B193" s="87" t="s">
        <v>13</v>
      </c>
      <c r="C193" s="87" t="s">
        <v>361</v>
      </c>
      <c r="D193" s="87" t="s">
        <v>407</v>
      </c>
      <c r="E193" s="87" t="s">
        <v>408</v>
      </c>
      <c r="F193" s="87">
        <v>32.465840291399999</v>
      </c>
      <c r="G193" s="87">
        <v>44.401560000000003</v>
      </c>
      <c r="H193" s="86">
        <v>8</v>
      </c>
      <c r="I193" s="86">
        <v>48</v>
      </c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>
        <v>8</v>
      </c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>
        <v>8</v>
      </c>
      <c r="AI193" s="87"/>
      <c r="AJ193" s="87"/>
      <c r="AK193" s="87"/>
      <c r="AL193" s="87"/>
      <c r="AM193" s="87"/>
      <c r="AN193" s="87"/>
      <c r="AO193" s="87">
        <v>8</v>
      </c>
      <c r="AP193" s="87"/>
      <c r="AQ193" s="87"/>
      <c r="AR193" s="87"/>
      <c r="AS193" s="87"/>
      <c r="AT193" s="87"/>
      <c r="AU193" s="87"/>
      <c r="AV193" s="87"/>
      <c r="AW193" s="88" t="str">
        <f>HYPERLINK("http://www.openstreetmap.org/?mlat=32.4658&amp;mlon=44.4016&amp;zoom=12#map=12/32.4658/44.4016","Maplink1")</f>
        <v>Maplink1</v>
      </c>
      <c r="AX193" s="88" t="str">
        <f>HYPERLINK("https://www.google.iq/maps/search/+32.4658,44.4016/@32.4658,44.4016,14z?hl=en","Maplink2")</f>
        <v>Maplink2</v>
      </c>
      <c r="AY193" s="88" t="str">
        <f>HYPERLINK("http://www.bing.com/maps/?lvl=14&amp;sty=h&amp;cp=32.4658~44.4016&amp;sp=point.32.4658_44.4016","Maplink3")</f>
        <v>Maplink3</v>
      </c>
      <c r="AZ193" s="76"/>
    </row>
    <row r="194" spans="1:52" x14ac:dyDescent="0.25">
      <c r="A194" s="86">
        <v>24980</v>
      </c>
      <c r="B194" s="87" t="s">
        <v>13</v>
      </c>
      <c r="C194" s="87" t="s">
        <v>361</v>
      </c>
      <c r="D194" s="87" t="s">
        <v>409</v>
      </c>
      <c r="E194" s="87" t="s">
        <v>410</v>
      </c>
      <c r="F194" s="87">
        <v>32.230046702599999</v>
      </c>
      <c r="G194" s="87">
        <v>44.378134351999996</v>
      </c>
      <c r="H194" s="86">
        <v>2</v>
      </c>
      <c r="I194" s="86">
        <v>12</v>
      </c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>
        <v>2</v>
      </c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>
        <v>2</v>
      </c>
      <c r="AI194" s="87"/>
      <c r="AJ194" s="87"/>
      <c r="AK194" s="87"/>
      <c r="AL194" s="87"/>
      <c r="AM194" s="87"/>
      <c r="AN194" s="87"/>
      <c r="AO194" s="87">
        <v>2</v>
      </c>
      <c r="AP194" s="87"/>
      <c r="AQ194" s="87"/>
      <c r="AR194" s="87"/>
      <c r="AS194" s="87"/>
      <c r="AT194" s="87"/>
      <c r="AU194" s="87"/>
      <c r="AV194" s="87"/>
      <c r="AW194" s="88" t="str">
        <f>HYPERLINK("http://www.openstreetmap.org/?mlat=32.23&amp;mlon=44.3781&amp;zoom=12#map=12/32.23/44.3781","Maplink1")</f>
        <v>Maplink1</v>
      </c>
      <c r="AX194" s="88" t="str">
        <f>HYPERLINK("https://www.google.iq/maps/search/+32.23,44.3781/@32.23,44.3781,14z?hl=en","Maplink2")</f>
        <v>Maplink2</v>
      </c>
      <c r="AY194" s="88" t="str">
        <f>HYPERLINK("http://www.bing.com/maps/?lvl=14&amp;sty=h&amp;cp=32.23~44.3781&amp;sp=point.32.23_44.3781","Maplink3")</f>
        <v>Maplink3</v>
      </c>
      <c r="AZ194" s="76"/>
    </row>
    <row r="195" spans="1:52" x14ac:dyDescent="0.25">
      <c r="A195" s="86">
        <v>7172</v>
      </c>
      <c r="B195" s="87" t="s">
        <v>13</v>
      </c>
      <c r="C195" s="87" t="s">
        <v>361</v>
      </c>
      <c r="D195" s="87" t="s">
        <v>411</v>
      </c>
      <c r="E195" s="87" t="s">
        <v>412</v>
      </c>
      <c r="F195" s="87">
        <v>32.444022771</v>
      </c>
      <c r="G195" s="87">
        <v>44.39378</v>
      </c>
      <c r="H195" s="86">
        <v>16</v>
      </c>
      <c r="I195" s="86">
        <v>96</v>
      </c>
      <c r="J195" s="87">
        <v>2</v>
      </c>
      <c r="K195" s="87">
        <v>1</v>
      </c>
      <c r="L195" s="87">
        <v>1</v>
      </c>
      <c r="M195" s="87"/>
      <c r="N195" s="87"/>
      <c r="O195" s="87"/>
      <c r="P195" s="87"/>
      <c r="Q195" s="87"/>
      <c r="R195" s="87"/>
      <c r="S195" s="87"/>
      <c r="T195" s="87"/>
      <c r="U195" s="87"/>
      <c r="V195" s="87">
        <v>8</v>
      </c>
      <c r="W195" s="87"/>
      <c r="X195" s="87">
        <v>4</v>
      </c>
      <c r="Y195" s="87"/>
      <c r="Z195" s="87"/>
      <c r="AA195" s="87"/>
      <c r="AB195" s="87"/>
      <c r="AC195" s="87"/>
      <c r="AD195" s="87"/>
      <c r="AE195" s="87"/>
      <c r="AF195" s="87"/>
      <c r="AG195" s="87"/>
      <c r="AH195" s="87">
        <v>16</v>
      </c>
      <c r="AI195" s="87"/>
      <c r="AJ195" s="87"/>
      <c r="AK195" s="87"/>
      <c r="AL195" s="87"/>
      <c r="AM195" s="87"/>
      <c r="AN195" s="87">
        <v>1</v>
      </c>
      <c r="AO195" s="87">
        <v>5</v>
      </c>
      <c r="AP195" s="87">
        <v>8</v>
      </c>
      <c r="AQ195" s="87">
        <v>2</v>
      </c>
      <c r="AR195" s="87"/>
      <c r="AS195" s="87"/>
      <c r="AT195" s="87"/>
      <c r="AU195" s="87"/>
      <c r="AV195" s="87"/>
      <c r="AW195" s="88" t="str">
        <f>HYPERLINK("http://www.openstreetmap.org/?mlat=32.444&amp;mlon=44.3938&amp;zoom=12#map=12/32.444/44.3938","Maplink1")</f>
        <v>Maplink1</v>
      </c>
      <c r="AX195" s="88" t="str">
        <f>HYPERLINK("https://www.google.iq/maps/search/+32.444,44.3938/@32.444,44.3938,14z?hl=en","Maplink2")</f>
        <v>Maplink2</v>
      </c>
      <c r="AY195" s="88" t="str">
        <f>HYPERLINK("http://www.bing.com/maps/?lvl=14&amp;sty=h&amp;cp=32.444~44.3938&amp;sp=point.32.444_44.3938","Maplink3")</f>
        <v>Maplink3</v>
      </c>
      <c r="AZ195" s="76"/>
    </row>
    <row r="196" spans="1:52" x14ac:dyDescent="0.25">
      <c r="A196" s="86">
        <v>7155</v>
      </c>
      <c r="B196" s="87" t="s">
        <v>13</v>
      </c>
      <c r="C196" s="87" t="s">
        <v>361</v>
      </c>
      <c r="D196" s="87" t="s">
        <v>413</v>
      </c>
      <c r="E196" s="87" t="s">
        <v>414</v>
      </c>
      <c r="F196" s="87">
        <v>32.503610598599998</v>
      </c>
      <c r="G196" s="87">
        <v>44.416829708500003</v>
      </c>
      <c r="H196" s="86">
        <v>1</v>
      </c>
      <c r="I196" s="86">
        <v>6</v>
      </c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>
        <v>1</v>
      </c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>
        <v>1</v>
      </c>
      <c r="AI196" s="87"/>
      <c r="AJ196" s="87"/>
      <c r="AK196" s="87"/>
      <c r="AL196" s="87"/>
      <c r="AM196" s="87"/>
      <c r="AN196" s="87"/>
      <c r="AO196" s="87">
        <v>1</v>
      </c>
      <c r="AP196" s="87"/>
      <c r="AQ196" s="87"/>
      <c r="AR196" s="87"/>
      <c r="AS196" s="87"/>
      <c r="AT196" s="87"/>
      <c r="AU196" s="87"/>
      <c r="AV196" s="87"/>
      <c r="AW196" s="88" t="str">
        <f>HYPERLINK("http://www.openstreetmap.org/?mlat=32.5036&amp;mlon=44.4168&amp;zoom=12#map=12/32.5036/44.4168","Maplink1")</f>
        <v>Maplink1</v>
      </c>
      <c r="AX196" s="88" t="str">
        <f>HYPERLINK("https://www.google.iq/maps/search/+32.5036,44.4168/@32.5036,44.4168,14z?hl=en","Maplink2")</f>
        <v>Maplink2</v>
      </c>
      <c r="AY196" s="88" t="str">
        <f>HYPERLINK("http://www.bing.com/maps/?lvl=14&amp;sty=h&amp;cp=32.5036~44.4168&amp;sp=point.32.5036_44.4168","Maplink3")</f>
        <v>Maplink3</v>
      </c>
      <c r="AZ196" s="76"/>
    </row>
    <row r="197" spans="1:52" x14ac:dyDescent="0.25">
      <c r="A197" s="86">
        <v>25443</v>
      </c>
      <c r="B197" s="87" t="s">
        <v>13</v>
      </c>
      <c r="C197" s="87" t="s">
        <v>361</v>
      </c>
      <c r="D197" s="87" t="s">
        <v>415</v>
      </c>
      <c r="E197" s="87" t="s">
        <v>416</v>
      </c>
      <c r="F197" s="87">
        <v>32.512869484399999</v>
      </c>
      <c r="G197" s="87">
        <v>44.453229999999998</v>
      </c>
      <c r="H197" s="86">
        <v>4</v>
      </c>
      <c r="I197" s="86">
        <v>24</v>
      </c>
      <c r="J197" s="87"/>
      <c r="K197" s="87">
        <v>4</v>
      </c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>
        <v>4</v>
      </c>
      <c r="AI197" s="87"/>
      <c r="AJ197" s="87"/>
      <c r="AK197" s="87"/>
      <c r="AL197" s="87"/>
      <c r="AM197" s="87"/>
      <c r="AN197" s="87"/>
      <c r="AO197" s="87">
        <v>4</v>
      </c>
      <c r="AP197" s="87"/>
      <c r="AQ197" s="87"/>
      <c r="AR197" s="87"/>
      <c r="AS197" s="87"/>
      <c r="AT197" s="87"/>
      <c r="AU197" s="87"/>
      <c r="AV197" s="87"/>
      <c r="AW197" s="88" t="str">
        <f>HYPERLINK("http://www.openstreetmap.org/?mlat=32.5129&amp;mlon=44.4532&amp;zoom=12#map=12/32.5129/44.4532","Maplink1")</f>
        <v>Maplink1</v>
      </c>
      <c r="AX197" s="88" t="str">
        <f>HYPERLINK("https://www.google.iq/maps/search/+32.5129,44.4532/@32.5129,44.4532,14z?hl=en","Maplink2")</f>
        <v>Maplink2</v>
      </c>
      <c r="AY197" s="88" t="str">
        <f>HYPERLINK("http://www.bing.com/maps/?lvl=14&amp;sty=h&amp;cp=32.5129~44.4532&amp;sp=point.32.5129_44.4532","Maplink3")</f>
        <v>Maplink3</v>
      </c>
      <c r="AZ197" s="76"/>
    </row>
    <row r="198" spans="1:52" x14ac:dyDescent="0.25">
      <c r="A198" s="86">
        <v>24460</v>
      </c>
      <c r="B198" s="87" t="s">
        <v>13</v>
      </c>
      <c r="C198" s="87" t="s">
        <v>361</v>
      </c>
      <c r="D198" s="87" t="s">
        <v>417</v>
      </c>
      <c r="E198" s="87" t="s">
        <v>418</v>
      </c>
      <c r="F198" s="87">
        <v>32.500290293600003</v>
      </c>
      <c r="G198" s="87">
        <v>44.481455156499997</v>
      </c>
      <c r="H198" s="86">
        <v>3</v>
      </c>
      <c r="I198" s="86">
        <v>18</v>
      </c>
      <c r="J198" s="87">
        <v>3</v>
      </c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>
        <v>3</v>
      </c>
      <c r="AI198" s="87"/>
      <c r="AJ198" s="87"/>
      <c r="AK198" s="87"/>
      <c r="AL198" s="87"/>
      <c r="AM198" s="87"/>
      <c r="AN198" s="87"/>
      <c r="AO198" s="87"/>
      <c r="AP198" s="87"/>
      <c r="AQ198" s="87">
        <v>3</v>
      </c>
      <c r="AR198" s="87"/>
      <c r="AS198" s="87"/>
      <c r="AT198" s="87"/>
      <c r="AU198" s="87"/>
      <c r="AV198" s="87"/>
      <c r="AW198" s="88" t="str">
        <f>HYPERLINK("http://www.openstreetmap.org/?mlat=32.5003&amp;mlon=44.4815&amp;zoom=12#map=12/32.5003/44.4815","Maplink1")</f>
        <v>Maplink1</v>
      </c>
      <c r="AX198" s="88" t="str">
        <f>HYPERLINK("https://www.google.iq/maps/search/+32.5003,44.4815/@32.5003,44.4815,14z?hl=en","Maplink2")</f>
        <v>Maplink2</v>
      </c>
      <c r="AY198" s="88" t="str">
        <f>HYPERLINK("http://www.bing.com/maps/?lvl=14&amp;sty=h&amp;cp=32.5003~44.4815&amp;sp=point.32.5003_44.4815","Maplink3")</f>
        <v>Maplink3</v>
      </c>
      <c r="AZ198" s="76"/>
    </row>
    <row r="199" spans="1:52" x14ac:dyDescent="0.25">
      <c r="A199" s="86">
        <v>24511</v>
      </c>
      <c r="B199" s="87" t="s">
        <v>13</v>
      </c>
      <c r="C199" s="87" t="s">
        <v>361</v>
      </c>
      <c r="D199" s="87" t="s">
        <v>419</v>
      </c>
      <c r="E199" s="87" t="s">
        <v>420</v>
      </c>
      <c r="F199" s="87">
        <v>32.487614657599998</v>
      </c>
      <c r="G199" s="87">
        <v>44.408839978300001</v>
      </c>
      <c r="H199" s="86">
        <v>3</v>
      </c>
      <c r="I199" s="86">
        <v>18</v>
      </c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>
        <v>3</v>
      </c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>
        <v>3</v>
      </c>
      <c r="AI199" s="87"/>
      <c r="AJ199" s="87"/>
      <c r="AK199" s="87"/>
      <c r="AL199" s="87"/>
      <c r="AM199" s="87"/>
      <c r="AN199" s="87"/>
      <c r="AO199" s="87">
        <v>3</v>
      </c>
      <c r="AP199" s="87"/>
      <c r="AQ199" s="87"/>
      <c r="AR199" s="87"/>
      <c r="AS199" s="87"/>
      <c r="AT199" s="87"/>
      <c r="AU199" s="87"/>
      <c r="AV199" s="87"/>
      <c r="AW199" s="88" t="str">
        <f>HYPERLINK("http://www.openstreetmap.org/?mlat=32.4876&amp;mlon=44.4088&amp;zoom=12#map=12/32.4876/44.4088","Maplink1")</f>
        <v>Maplink1</v>
      </c>
      <c r="AX199" s="88" t="str">
        <f>HYPERLINK("https://www.google.iq/maps/search/+32.4876,44.4088/@32.4876,44.4088,14z?hl=en","Maplink2")</f>
        <v>Maplink2</v>
      </c>
      <c r="AY199" s="88" t="str">
        <f>HYPERLINK("http://www.bing.com/maps/?lvl=14&amp;sty=h&amp;cp=32.4876~44.4088&amp;sp=point.32.4876_44.4088","Maplink3")</f>
        <v>Maplink3</v>
      </c>
      <c r="AZ199" s="76"/>
    </row>
    <row r="200" spans="1:52" x14ac:dyDescent="0.25">
      <c r="A200" s="86">
        <v>23751</v>
      </c>
      <c r="B200" s="87" t="s">
        <v>13</v>
      </c>
      <c r="C200" s="87" t="s">
        <v>361</v>
      </c>
      <c r="D200" s="87" t="s">
        <v>421</v>
      </c>
      <c r="E200" s="87" t="s">
        <v>422</v>
      </c>
      <c r="F200" s="87">
        <v>32.485308212900001</v>
      </c>
      <c r="G200" s="87">
        <v>44.4251778243</v>
      </c>
      <c r="H200" s="86">
        <v>2</v>
      </c>
      <c r="I200" s="86">
        <v>12</v>
      </c>
      <c r="J200" s="87">
        <v>2</v>
      </c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>
        <v>2</v>
      </c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>
        <v>2</v>
      </c>
      <c r="AO200" s="87"/>
      <c r="AP200" s="87"/>
      <c r="AQ200" s="87"/>
      <c r="AR200" s="87"/>
      <c r="AS200" s="87"/>
      <c r="AT200" s="87"/>
      <c r="AU200" s="87"/>
      <c r="AV200" s="87"/>
      <c r="AW200" s="88" t="str">
        <f>HYPERLINK("http://www.openstreetmap.org/?mlat=32.4853&amp;mlon=44.4252&amp;zoom=12#map=12/32.4853/44.4252","Maplink1")</f>
        <v>Maplink1</v>
      </c>
      <c r="AX200" s="88" t="str">
        <f>HYPERLINK("https://www.google.iq/maps/search/+32.4853,44.4252/@32.4853,44.4252,14z?hl=en","Maplink2")</f>
        <v>Maplink2</v>
      </c>
      <c r="AY200" s="88" t="str">
        <f>HYPERLINK("http://www.bing.com/maps/?lvl=14&amp;sty=h&amp;cp=32.4853~44.4252&amp;sp=point.32.4853_44.4252","Maplink3")</f>
        <v>Maplink3</v>
      </c>
      <c r="AZ200" s="76"/>
    </row>
    <row r="201" spans="1:52" x14ac:dyDescent="0.25">
      <c r="A201" s="86">
        <v>24979</v>
      </c>
      <c r="B201" s="87" t="s">
        <v>13</v>
      </c>
      <c r="C201" s="87" t="s">
        <v>361</v>
      </c>
      <c r="D201" s="87" t="s">
        <v>423</v>
      </c>
      <c r="E201" s="87" t="s">
        <v>424</v>
      </c>
      <c r="F201" s="87">
        <v>32.233210419999999</v>
      </c>
      <c r="G201" s="87">
        <v>44.37994922</v>
      </c>
      <c r="H201" s="86">
        <v>1</v>
      </c>
      <c r="I201" s="86">
        <v>6</v>
      </c>
      <c r="J201" s="87">
        <v>1</v>
      </c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>
        <v>1</v>
      </c>
      <c r="AI201" s="87"/>
      <c r="AJ201" s="87"/>
      <c r="AK201" s="87"/>
      <c r="AL201" s="87"/>
      <c r="AM201" s="87"/>
      <c r="AN201" s="87"/>
      <c r="AO201" s="87"/>
      <c r="AP201" s="87"/>
      <c r="AQ201" s="87">
        <v>1</v>
      </c>
      <c r="AR201" s="87"/>
      <c r="AS201" s="87"/>
      <c r="AT201" s="87"/>
      <c r="AU201" s="87"/>
      <c r="AV201" s="87"/>
      <c r="AW201" s="88" t="str">
        <f>HYPERLINK("http://www.openstreetmap.org/?mlat=32.2332&amp;mlon=44.3799&amp;zoom=12#map=12/32.2332/44.3799","Maplink1")</f>
        <v>Maplink1</v>
      </c>
      <c r="AX201" s="88" t="str">
        <f>HYPERLINK("https://www.google.iq/maps/search/+32.2332,44.3799/@32.2332,44.3799,14z?hl=en","Maplink2")</f>
        <v>Maplink2</v>
      </c>
      <c r="AY201" s="88" t="str">
        <f>HYPERLINK("http://www.bing.com/maps/?lvl=14&amp;sty=h&amp;cp=32.2332~44.3799&amp;sp=point.32.2332_44.3799","Maplink3")</f>
        <v>Maplink3</v>
      </c>
      <c r="AZ201" s="76"/>
    </row>
    <row r="202" spans="1:52" x14ac:dyDescent="0.25">
      <c r="A202" s="86">
        <v>23318</v>
      </c>
      <c r="B202" s="87" t="s">
        <v>13</v>
      </c>
      <c r="C202" s="87" t="s">
        <v>361</v>
      </c>
      <c r="D202" s="87" t="s">
        <v>425</v>
      </c>
      <c r="E202" s="87" t="s">
        <v>426</v>
      </c>
      <c r="F202" s="87">
        <v>32.483862077700003</v>
      </c>
      <c r="G202" s="87">
        <v>44.408410019000002</v>
      </c>
      <c r="H202" s="86">
        <v>4</v>
      </c>
      <c r="I202" s="86">
        <v>24</v>
      </c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>
        <v>4</v>
      </c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>
        <v>4</v>
      </c>
      <c r="AI202" s="87"/>
      <c r="AJ202" s="87"/>
      <c r="AK202" s="87"/>
      <c r="AL202" s="87"/>
      <c r="AM202" s="87"/>
      <c r="AN202" s="87"/>
      <c r="AO202" s="87">
        <v>4</v>
      </c>
      <c r="AP202" s="87"/>
      <c r="AQ202" s="87"/>
      <c r="AR202" s="87"/>
      <c r="AS202" s="87"/>
      <c r="AT202" s="87"/>
      <c r="AU202" s="87"/>
      <c r="AV202" s="87"/>
      <c r="AW202" s="88" t="str">
        <f>HYPERLINK("http://www.openstreetmap.org/?mlat=32.4839&amp;mlon=44.4084&amp;zoom=12#map=12/32.4839/44.4084","Maplink1")</f>
        <v>Maplink1</v>
      </c>
      <c r="AX202" s="88" t="str">
        <f>HYPERLINK("https://www.google.iq/maps/search/+32.4839,44.4084/@32.4839,44.4084,14z?hl=en","Maplink2")</f>
        <v>Maplink2</v>
      </c>
      <c r="AY202" s="88" t="str">
        <f>HYPERLINK("http://www.bing.com/maps/?lvl=14&amp;sty=h&amp;cp=32.4839~44.4084&amp;sp=point.32.4839_44.4084","Maplink3")</f>
        <v>Maplink3</v>
      </c>
      <c r="AZ202" s="76"/>
    </row>
    <row r="203" spans="1:52" x14ac:dyDescent="0.25">
      <c r="A203" s="86">
        <v>24457</v>
      </c>
      <c r="B203" s="87" t="s">
        <v>13</v>
      </c>
      <c r="C203" s="87" t="s">
        <v>361</v>
      </c>
      <c r="D203" s="87" t="s">
        <v>429</v>
      </c>
      <c r="E203" s="87" t="s">
        <v>430</v>
      </c>
      <c r="F203" s="87">
        <v>32.524065707299997</v>
      </c>
      <c r="G203" s="87">
        <v>44.363571315100003</v>
      </c>
      <c r="H203" s="86">
        <v>6</v>
      </c>
      <c r="I203" s="86">
        <v>36</v>
      </c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>
        <v>6</v>
      </c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>
        <v>6</v>
      </c>
      <c r="AI203" s="87"/>
      <c r="AJ203" s="87"/>
      <c r="AK203" s="87"/>
      <c r="AL203" s="87"/>
      <c r="AM203" s="87"/>
      <c r="AN203" s="87"/>
      <c r="AO203" s="87">
        <v>6</v>
      </c>
      <c r="AP203" s="87"/>
      <c r="AQ203" s="87"/>
      <c r="AR203" s="87"/>
      <c r="AS203" s="87"/>
      <c r="AT203" s="87"/>
      <c r="AU203" s="87"/>
      <c r="AV203" s="87"/>
      <c r="AW203" s="88" t="str">
        <f>HYPERLINK("http://www.openstreetmap.org/?mlat=32.5241&amp;mlon=44.3636&amp;zoom=12#map=12/32.5241/44.3636","Maplink1")</f>
        <v>Maplink1</v>
      </c>
      <c r="AX203" s="88" t="str">
        <f>HYPERLINK("https://www.google.iq/maps/search/+32.5241,44.3636/@32.5241,44.3636,14z?hl=en","Maplink2")</f>
        <v>Maplink2</v>
      </c>
      <c r="AY203" s="88" t="str">
        <f>HYPERLINK("http://www.bing.com/maps/?lvl=14&amp;sty=h&amp;cp=32.5241~44.3636&amp;sp=point.32.5241_44.3636","Maplink3")</f>
        <v>Maplink3</v>
      </c>
      <c r="AZ203" s="76"/>
    </row>
    <row r="204" spans="1:52" x14ac:dyDescent="0.25">
      <c r="A204" s="86">
        <v>24088</v>
      </c>
      <c r="B204" s="87" t="s">
        <v>13</v>
      </c>
      <c r="C204" s="87" t="s">
        <v>361</v>
      </c>
      <c r="D204" s="87" t="s">
        <v>431</v>
      </c>
      <c r="E204" s="87" t="s">
        <v>432</v>
      </c>
      <c r="F204" s="87">
        <v>32.485085376900003</v>
      </c>
      <c r="G204" s="87">
        <v>44.433274765699998</v>
      </c>
      <c r="H204" s="86">
        <v>3</v>
      </c>
      <c r="I204" s="86">
        <v>18</v>
      </c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>
        <v>3</v>
      </c>
      <c r="W204" s="87"/>
      <c r="X204" s="87"/>
      <c r="Y204" s="87"/>
      <c r="Z204" s="87"/>
      <c r="AA204" s="87"/>
      <c r="AB204" s="87"/>
      <c r="AC204" s="87">
        <v>1</v>
      </c>
      <c r="AD204" s="87"/>
      <c r="AE204" s="87"/>
      <c r="AF204" s="87"/>
      <c r="AG204" s="87"/>
      <c r="AH204" s="87">
        <v>2</v>
      </c>
      <c r="AI204" s="87"/>
      <c r="AJ204" s="87"/>
      <c r="AK204" s="87"/>
      <c r="AL204" s="87"/>
      <c r="AM204" s="87"/>
      <c r="AN204" s="87"/>
      <c r="AO204" s="87">
        <v>3</v>
      </c>
      <c r="AP204" s="87"/>
      <c r="AQ204" s="87"/>
      <c r="AR204" s="87"/>
      <c r="AS204" s="87"/>
      <c r="AT204" s="87"/>
      <c r="AU204" s="87"/>
      <c r="AV204" s="87"/>
      <c r="AW204" s="88" t="str">
        <f>HYPERLINK("http://www.openstreetmap.org/?mlat=32.4851&amp;mlon=44.4333&amp;zoom=12#map=12/32.4851/44.4333","Maplink1")</f>
        <v>Maplink1</v>
      </c>
      <c r="AX204" s="88" t="str">
        <f>HYPERLINK("https://www.google.iq/maps/search/+32.4851,44.4333/@32.4851,44.4333,14z?hl=en","Maplink2")</f>
        <v>Maplink2</v>
      </c>
      <c r="AY204" s="88" t="str">
        <f>HYPERLINK("http://www.bing.com/maps/?lvl=14&amp;sty=h&amp;cp=32.4851~44.4333&amp;sp=point.32.4851_44.4333","Maplink3")</f>
        <v>Maplink3</v>
      </c>
      <c r="AZ204" s="76"/>
    </row>
    <row r="205" spans="1:52" x14ac:dyDescent="0.25">
      <c r="A205" s="86">
        <v>7107</v>
      </c>
      <c r="B205" s="87" t="s">
        <v>13</v>
      </c>
      <c r="C205" s="87" t="s">
        <v>361</v>
      </c>
      <c r="D205" s="87" t="s">
        <v>433</v>
      </c>
      <c r="E205" s="87" t="s">
        <v>269</v>
      </c>
      <c r="F205" s="87">
        <v>32.5277748862</v>
      </c>
      <c r="G205" s="87">
        <v>44.340538950700001</v>
      </c>
      <c r="H205" s="86">
        <v>1</v>
      </c>
      <c r="I205" s="86">
        <v>6</v>
      </c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>
        <v>1</v>
      </c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>
        <v>1</v>
      </c>
      <c r="AI205" s="87"/>
      <c r="AJ205" s="87"/>
      <c r="AK205" s="87"/>
      <c r="AL205" s="87"/>
      <c r="AM205" s="87"/>
      <c r="AN205" s="87"/>
      <c r="AO205" s="87">
        <v>1</v>
      </c>
      <c r="AP205" s="87"/>
      <c r="AQ205" s="87"/>
      <c r="AR205" s="87"/>
      <c r="AS205" s="87"/>
      <c r="AT205" s="87"/>
      <c r="AU205" s="87"/>
      <c r="AV205" s="87"/>
      <c r="AW205" s="88" t="str">
        <f>HYPERLINK("http://www.openstreetmap.org/?mlat=32.5278&amp;mlon=44.3405&amp;zoom=12#map=12/32.5278/44.3405","Maplink1")</f>
        <v>Maplink1</v>
      </c>
      <c r="AX205" s="88" t="str">
        <f>HYPERLINK("https://www.google.iq/maps/search/+32.5278,44.3405/@32.5278,44.3405,14z?hl=en","Maplink2")</f>
        <v>Maplink2</v>
      </c>
      <c r="AY205" s="88" t="str">
        <f>HYPERLINK("http://www.bing.com/maps/?lvl=14&amp;sty=h&amp;cp=32.5278~44.3405&amp;sp=point.32.5278_44.3405","Maplink3")</f>
        <v>Maplink3</v>
      </c>
      <c r="AZ205" s="76"/>
    </row>
    <row r="206" spans="1:52" x14ac:dyDescent="0.25">
      <c r="A206" s="86">
        <v>7191</v>
      </c>
      <c r="B206" s="87" t="s">
        <v>13</v>
      </c>
      <c r="C206" s="87" t="s">
        <v>361</v>
      </c>
      <c r="D206" s="87" t="s">
        <v>434</v>
      </c>
      <c r="E206" s="87" t="s">
        <v>435</v>
      </c>
      <c r="F206" s="87">
        <v>32.493420349300003</v>
      </c>
      <c r="G206" s="87">
        <v>44.4620194572</v>
      </c>
      <c r="H206" s="86">
        <v>4</v>
      </c>
      <c r="I206" s="86">
        <v>24</v>
      </c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>
        <v>4</v>
      </c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>
        <v>4</v>
      </c>
      <c r="AI206" s="87"/>
      <c r="AJ206" s="87"/>
      <c r="AK206" s="87"/>
      <c r="AL206" s="87"/>
      <c r="AM206" s="87"/>
      <c r="AN206" s="87"/>
      <c r="AO206" s="87">
        <v>3</v>
      </c>
      <c r="AP206" s="87">
        <v>1</v>
      </c>
      <c r="AQ206" s="87"/>
      <c r="AR206" s="87"/>
      <c r="AS206" s="87"/>
      <c r="AT206" s="87"/>
      <c r="AU206" s="87"/>
      <c r="AV206" s="87"/>
      <c r="AW206" s="88" t="str">
        <f>HYPERLINK("http://www.openstreetmap.org/?mlat=32.4934&amp;mlon=44.462&amp;zoom=12#map=12/32.4934/44.462","Maplink1")</f>
        <v>Maplink1</v>
      </c>
      <c r="AX206" s="88" t="str">
        <f>HYPERLINK("https://www.google.iq/maps/search/+32.4934,44.462/@32.4934,44.462,14z?hl=en","Maplink2")</f>
        <v>Maplink2</v>
      </c>
      <c r="AY206" s="88" t="str">
        <f>HYPERLINK("http://www.bing.com/maps/?lvl=14&amp;sty=h&amp;cp=32.4934~44.462&amp;sp=point.32.4934_44.462","Maplink3")</f>
        <v>Maplink3</v>
      </c>
      <c r="AZ206" s="76"/>
    </row>
    <row r="207" spans="1:52" x14ac:dyDescent="0.25">
      <c r="A207" s="86">
        <v>7174</v>
      </c>
      <c r="B207" s="87" t="s">
        <v>13</v>
      </c>
      <c r="C207" s="87" t="s">
        <v>361</v>
      </c>
      <c r="D207" s="87" t="s">
        <v>436</v>
      </c>
      <c r="E207" s="87" t="s">
        <v>437</v>
      </c>
      <c r="F207" s="87">
        <v>32.454298365900001</v>
      </c>
      <c r="G207" s="87">
        <v>44.397724889199999</v>
      </c>
      <c r="H207" s="86">
        <v>2</v>
      </c>
      <c r="I207" s="86">
        <v>12</v>
      </c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>
        <v>2</v>
      </c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>
        <v>2</v>
      </c>
      <c r="AI207" s="87"/>
      <c r="AJ207" s="87"/>
      <c r="AK207" s="87"/>
      <c r="AL207" s="87"/>
      <c r="AM207" s="87"/>
      <c r="AN207" s="87"/>
      <c r="AO207" s="87">
        <v>2</v>
      </c>
      <c r="AP207" s="87"/>
      <c r="AQ207" s="87"/>
      <c r="AR207" s="87"/>
      <c r="AS207" s="87"/>
      <c r="AT207" s="87"/>
      <c r="AU207" s="87"/>
      <c r="AV207" s="87"/>
      <c r="AW207" s="88" t="str">
        <f>HYPERLINK("http://www.openstreetmap.org/?mlat=32.4543&amp;mlon=44.3977&amp;zoom=12#map=12/32.4543/44.3977","Maplink1")</f>
        <v>Maplink1</v>
      </c>
      <c r="AX207" s="88" t="str">
        <f>HYPERLINK("https://www.google.iq/maps/search/+32.4543,44.3977/@32.4543,44.3977,14z?hl=en","Maplink2")</f>
        <v>Maplink2</v>
      </c>
      <c r="AY207" s="88" t="str">
        <f>HYPERLINK("http://www.bing.com/maps/?lvl=14&amp;sty=h&amp;cp=32.4543~44.3977&amp;sp=point.32.4543_44.3977","Maplink3")</f>
        <v>Maplink3</v>
      </c>
      <c r="AZ207" s="76"/>
    </row>
    <row r="208" spans="1:52" x14ac:dyDescent="0.25">
      <c r="A208" s="86">
        <v>24515</v>
      </c>
      <c r="B208" s="87" t="s">
        <v>13</v>
      </c>
      <c r="C208" s="87" t="s">
        <v>361</v>
      </c>
      <c r="D208" s="87" t="s">
        <v>438</v>
      </c>
      <c r="E208" s="87" t="s">
        <v>439</v>
      </c>
      <c r="F208" s="87">
        <v>32.533658057899999</v>
      </c>
      <c r="G208" s="87">
        <v>44.3417557601</v>
      </c>
      <c r="H208" s="86">
        <v>2</v>
      </c>
      <c r="I208" s="86">
        <v>12</v>
      </c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>
        <v>2</v>
      </c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>
        <v>2</v>
      </c>
      <c r="AI208" s="87"/>
      <c r="AJ208" s="87"/>
      <c r="AK208" s="87"/>
      <c r="AL208" s="87"/>
      <c r="AM208" s="87"/>
      <c r="AN208" s="87"/>
      <c r="AO208" s="87">
        <v>2</v>
      </c>
      <c r="AP208" s="87"/>
      <c r="AQ208" s="87"/>
      <c r="AR208" s="87"/>
      <c r="AS208" s="87"/>
      <c r="AT208" s="87"/>
      <c r="AU208" s="87"/>
      <c r="AV208" s="87"/>
      <c r="AW208" s="88" t="str">
        <f>HYPERLINK("http://www.openstreetmap.org/?mlat=32.5337&amp;mlon=44.3418&amp;zoom=12#map=12/32.5337/44.3418","Maplink1")</f>
        <v>Maplink1</v>
      </c>
      <c r="AX208" s="88" t="str">
        <f>HYPERLINK("https://www.google.iq/maps/search/+32.5337,44.3418/@32.5337,44.3418,14z?hl=en","Maplink2")</f>
        <v>Maplink2</v>
      </c>
      <c r="AY208" s="88" t="str">
        <f>HYPERLINK("http://www.bing.com/maps/?lvl=14&amp;sty=h&amp;cp=32.5337~44.3418&amp;sp=point.32.5337_44.3418","Maplink3")</f>
        <v>Maplink3</v>
      </c>
      <c r="AZ208" s="76"/>
    </row>
    <row r="209" spans="1:52" x14ac:dyDescent="0.25">
      <c r="A209" s="86">
        <v>25125</v>
      </c>
      <c r="B209" s="87" t="s">
        <v>13</v>
      </c>
      <c r="C209" s="87" t="s">
        <v>361</v>
      </c>
      <c r="D209" s="87" t="s">
        <v>440</v>
      </c>
      <c r="E209" s="87" t="s">
        <v>441</v>
      </c>
      <c r="F209" s="87">
        <v>32.499787616799999</v>
      </c>
      <c r="G209" s="87">
        <v>44.411335846199997</v>
      </c>
      <c r="H209" s="86">
        <v>4</v>
      </c>
      <c r="I209" s="86">
        <v>24</v>
      </c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>
        <v>4</v>
      </c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>
        <v>4</v>
      </c>
      <c r="AI209" s="87"/>
      <c r="AJ209" s="87"/>
      <c r="AK209" s="87"/>
      <c r="AL209" s="87"/>
      <c r="AM209" s="87"/>
      <c r="AN209" s="87"/>
      <c r="AO209" s="87">
        <v>4</v>
      </c>
      <c r="AP209" s="87"/>
      <c r="AQ209" s="87"/>
      <c r="AR209" s="87"/>
      <c r="AS209" s="87"/>
      <c r="AT209" s="87"/>
      <c r="AU209" s="87"/>
      <c r="AV209" s="87"/>
      <c r="AW209" s="88" t="str">
        <f>HYPERLINK("http://www.openstreetmap.org/?mlat=32.4998&amp;mlon=44.4113&amp;zoom=12#map=12/32.4998/44.4113","Maplink1")</f>
        <v>Maplink1</v>
      </c>
      <c r="AX209" s="88" t="str">
        <f>HYPERLINK("https://www.google.iq/maps/search/+32.4998,44.4113/@32.4998,44.4113,14z?hl=en","Maplink2")</f>
        <v>Maplink2</v>
      </c>
      <c r="AY209" s="88" t="str">
        <f>HYPERLINK("http://www.bing.com/maps/?lvl=14&amp;sty=h&amp;cp=32.4998~44.4113&amp;sp=point.32.4998_44.4113","Maplink3")</f>
        <v>Maplink3</v>
      </c>
      <c r="AZ209" s="76"/>
    </row>
    <row r="210" spans="1:52" x14ac:dyDescent="0.25">
      <c r="A210" s="86">
        <v>25608</v>
      </c>
      <c r="B210" s="87" t="s">
        <v>13</v>
      </c>
      <c r="C210" s="87" t="s">
        <v>361</v>
      </c>
      <c r="D210" s="87" t="s">
        <v>442</v>
      </c>
      <c r="E210" s="87" t="s">
        <v>443</v>
      </c>
      <c r="F210" s="87">
        <v>32.443828056999998</v>
      </c>
      <c r="G210" s="87">
        <v>44.421002913099997</v>
      </c>
      <c r="H210" s="86">
        <v>4</v>
      </c>
      <c r="I210" s="86">
        <v>24</v>
      </c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>
        <v>4</v>
      </c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>
        <v>4</v>
      </c>
      <c r="AI210" s="87"/>
      <c r="AJ210" s="87"/>
      <c r="AK210" s="87"/>
      <c r="AL210" s="87"/>
      <c r="AM210" s="87"/>
      <c r="AN210" s="87"/>
      <c r="AO210" s="87">
        <v>4</v>
      </c>
      <c r="AP210" s="87"/>
      <c r="AQ210" s="87"/>
      <c r="AR210" s="87"/>
      <c r="AS210" s="87"/>
      <c r="AT210" s="87"/>
      <c r="AU210" s="87"/>
      <c r="AV210" s="87"/>
      <c r="AW210" s="88" t="str">
        <f>HYPERLINK("http://www.openstreetmap.org/?mlat=32.4438&amp;mlon=44.421&amp;zoom=12#map=12/32.4438/44.421","Maplink1")</f>
        <v>Maplink1</v>
      </c>
      <c r="AX210" s="88" t="str">
        <f>HYPERLINK("https://www.google.iq/maps/search/+32.4438,44.421/@32.4438,44.421,14z?hl=en","Maplink2")</f>
        <v>Maplink2</v>
      </c>
      <c r="AY210" s="88" t="str">
        <f>HYPERLINK("http://www.bing.com/maps/?lvl=14&amp;sty=h&amp;cp=32.4438~44.421&amp;sp=point.32.4438_44.421","Maplink3")</f>
        <v>Maplink3</v>
      </c>
      <c r="AZ210" s="76"/>
    </row>
    <row r="211" spans="1:52" x14ac:dyDescent="0.25">
      <c r="A211" s="86">
        <v>23951</v>
      </c>
      <c r="B211" s="87" t="s">
        <v>13</v>
      </c>
      <c r="C211" s="87" t="s">
        <v>361</v>
      </c>
      <c r="D211" s="87" t="s">
        <v>444</v>
      </c>
      <c r="E211" s="87" t="s">
        <v>445</v>
      </c>
      <c r="F211" s="87">
        <v>32.474508178900003</v>
      </c>
      <c r="G211" s="87">
        <v>44.441810800799999</v>
      </c>
      <c r="H211" s="86">
        <v>9</v>
      </c>
      <c r="I211" s="86">
        <v>54</v>
      </c>
      <c r="J211" s="87">
        <v>9</v>
      </c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>
        <v>9</v>
      </c>
      <c r="AI211" s="87"/>
      <c r="AJ211" s="87"/>
      <c r="AK211" s="87"/>
      <c r="AL211" s="87"/>
      <c r="AM211" s="87"/>
      <c r="AN211" s="87"/>
      <c r="AO211" s="87"/>
      <c r="AP211" s="87"/>
      <c r="AQ211" s="87">
        <v>9</v>
      </c>
      <c r="AR211" s="87"/>
      <c r="AS211" s="87"/>
      <c r="AT211" s="87"/>
      <c r="AU211" s="87"/>
      <c r="AV211" s="87"/>
      <c r="AW211" s="88" t="str">
        <f>HYPERLINK("http://www.openstreetmap.org/?mlat=32.4745&amp;mlon=44.4418&amp;zoom=12#map=12/32.4745/44.4418","Maplink1")</f>
        <v>Maplink1</v>
      </c>
      <c r="AX211" s="88" t="str">
        <f>HYPERLINK("https://www.google.iq/maps/search/+32.4745,44.4418/@32.4745,44.4418,14z?hl=en","Maplink2")</f>
        <v>Maplink2</v>
      </c>
      <c r="AY211" s="88" t="str">
        <f>HYPERLINK("http://www.bing.com/maps/?lvl=14&amp;sty=h&amp;cp=32.4745~44.4418&amp;sp=point.32.4745_44.4418","Maplink3")</f>
        <v>Maplink3</v>
      </c>
      <c r="AZ211" s="76"/>
    </row>
    <row r="212" spans="1:52" x14ac:dyDescent="0.25">
      <c r="A212" s="86">
        <v>24454</v>
      </c>
      <c r="B212" s="87" t="s">
        <v>13</v>
      </c>
      <c r="C212" s="87" t="s">
        <v>361</v>
      </c>
      <c r="D212" s="87" t="s">
        <v>446</v>
      </c>
      <c r="E212" s="87" t="s">
        <v>447</v>
      </c>
      <c r="F212" s="87">
        <v>32.508913468499998</v>
      </c>
      <c r="G212" s="87">
        <v>44.3949137261</v>
      </c>
      <c r="H212" s="86">
        <v>6</v>
      </c>
      <c r="I212" s="86">
        <v>36</v>
      </c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>
        <v>6</v>
      </c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>
        <v>6</v>
      </c>
      <c r="AI212" s="87"/>
      <c r="AJ212" s="87"/>
      <c r="AK212" s="87"/>
      <c r="AL212" s="87"/>
      <c r="AM212" s="87"/>
      <c r="AN212" s="87"/>
      <c r="AO212" s="87">
        <v>6</v>
      </c>
      <c r="AP212" s="87"/>
      <c r="AQ212" s="87"/>
      <c r="AR212" s="87"/>
      <c r="AS212" s="87"/>
      <c r="AT212" s="87"/>
      <c r="AU212" s="87"/>
      <c r="AV212" s="87"/>
      <c r="AW212" s="88" t="str">
        <f>HYPERLINK("http://www.openstreetmap.org/?mlat=32.5089&amp;mlon=44.3949&amp;zoom=12#map=12/32.5089/44.3949","Maplink1")</f>
        <v>Maplink1</v>
      </c>
      <c r="AX212" s="88" t="str">
        <f>HYPERLINK("https://www.google.iq/maps/search/+32.5089,44.3949/@32.5089,44.3949,14z?hl=en","Maplink2")</f>
        <v>Maplink2</v>
      </c>
      <c r="AY212" s="88" t="str">
        <f>HYPERLINK("http://www.bing.com/maps/?lvl=14&amp;sty=h&amp;cp=32.5089~44.3949&amp;sp=point.32.5089_44.3949","Maplink3")</f>
        <v>Maplink3</v>
      </c>
      <c r="AZ212" s="76"/>
    </row>
    <row r="213" spans="1:52" x14ac:dyDescent="0.25">
      <c r="A213" s="86">
        <v>24754</v>
      </c>
      <c r="B213" s="87" t="s">
        <v>13</v>
      </c>
      <c r="C213" s="87" t="s">
        <v>361</v>
      </c>
      <c r="D213" s="87" t="s">
        <v>448</v>
      </c>
      <c r="E213" s="87" t="s">
        <v>449</v>
      </c>
      <c r="F213" s="87">
        <v>32.479472168199997</v>
      </c>
      <c r="G213" s="87">
        <v>44.426498316699998</v>
      </c>
      <c r="H213" s="86">
        <v>3</v>
      </c>
      <c r="I213" s="86">
        <v>18</v>
      </c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>
        <v>3</v>
      </c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>
        <v>3</v>
      </c>
      <c r="AI213" s="87"/>
      <c r="AJ213" s="87"/>
      <c r="AK213" s="87"/>
      <c r="AL213" s="87"/>
      <c r="AM213" s="87"/>
      <c r="AN213" s="87"/>
      <c r="AO213" s="87">
        <v>3</v>
      </c>
      <c r="AP213" s="87"/>
      <c r="AQ213" s="87"/>
      <c r="AR213" s="87"/>
      <c r="AS213" s="87"/>
      <c r="AT213" s="87"/>
      <c r="AU213" s="87"/>
      <c r="AV213" s="87"/>
      <c r="AW213" s="88" t="str">
        <f>HYPERLINK("http://www.openstreetmap.org/?mlat=32.4795&amp;mlon=44.4265&amp;zoom=12#map=12/32.4795/44.4265","Maplink1")</f>
        <v>Maplink1</v>
      </c>
      <c r="AX213" s="88" t="str">
        <f>HYPERLINK("https://www.google.iq/maps/search/+32.4795,44.4265/@32.4795,44.4265,14z?hl=en","Maplink2")</f>
        <v>Maplink2</v>
      </c>
      <c r="AY213" s="88" t="str">
        <f>HYPERLINK("http://www.bing.com/maps/?lvl=14&amp;sty=h&amp;cp=32.4795~44.4265&amp;sp=point.32.4795_44.4265","Maplink3")</f>
        <v>Maplink3</v>
      </c>
      <c r="AZ213" s="76"/>
    </row>
    <row r="214" spans="1:52" x14ac:dyDescent="0.25">
      <c r="A214" s="86">
        <v>25330</v>
      </c>
      <c r="B214" s="87" t="s">
        <v>13</v>
      </c>
      <c r="C214" s="87" t="s">
        <v>361</v>
      </c>
      <c r="D214" s="87" t="s">
        <v>450</v>
      </c>
      <c r="E214" s="87" t="s">
        <v>451</v>
      </c>
      <c r="F214" s="87">
        <v>32.440468070000001</v>
      </c>
      <c r="G214" s="87">
        <v>44.42369747</v>
      </c>
      <c r="H214" s="86">
        <v>1</v>
      </c>
      <c r="I214" s="86">
        <v>6</v>
      </c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>
        <v>1</v>
      </c>
      <c r="W214" s="87"/>
      <c r="X214" s="87"/>
      <c r="Y214" s="87"/>
      <c r="Z214" s="87"/>
      <c r="AA214" s="87"/>
      <c r="AB214" s="87"/>
      <c r="AC214" s="87">
        <v>1</v>
      </c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>
        <v>1</v>
      </c>
      <c r="AP214" s="87"/>
      <c r="AQ214" s="87"/>
      <c r="AR214" s="87"/>
      <c r="AS214" s="87"/>
      <c r="AT214" s="87"/>
      <c r="AU214" s="87"/>
      <c r="AV214" s="87"/>
      <c r="AW214" s="88" t="str">
        <f>HYPERLINK("http://www.openstreetmap.org/?mlat=32.4405&amp;mlon=44.4237&amp;zoom=12#map=12/32.4405/44.4237","Maplink1")</f>
        <v>Maplink1</v>
      </c>
      <c r="AX214" s="88" t="str">
        <f>HYPERLINK("https://www.google.iq/maps/search/+32.4405,44.4237/@32.4405,44.4237,14z?hl=en","Maplink2")</f>
        <v>Maplink2</v>
      </c>
      <c r="AY214" s="88" t="str">
        <f>HYPERLINK("http://www.bing.com/maps/?lvl=14&amp;sty=h&amp;cp=32.4405~44.4237&amp;sp=point.32.4405_44.4237","Maplink3")</f>
        <v>Maplink3</v>
      </c>
      <c r="AZ214" s="76"/>
    </row>
    <row r="215" spans="1:52" x14ac:dyDescent="0.25">
      <c r="A215" s="86">
        <v>23950</v>
      </c>
      <c r="B215" s="87" t="s">
        <v>13</v>
      </c>
      <c r="C215" s="87" t="s">
        <v>361</v>
      </c>
      <c r="D215" s="87" t="s">
        <v>452</v>
      </c>
      <c r="E215" s="87" t="s">
        <v>453</v>
      </c>
      <c r="F215" s="87">
        <v>32.417545622900001</v>
      </c>
      <c r="G215" s="87">
        <v>44.406878328499999</v>
      </c>
      <c r="H215" s="86">
        <v>68</v>
      </c>
      <c r="I215" s="86">
        <v>408</v>
      </c>
      <c r="J215" s="87"/>
      <c r="K215" s="87">
        <v>3</v>
      </c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>
        <v>65</v>
      </c>
      <c r="W215" s="87"/>
      <c r="X215" s="87"/>
      <c r="Y215" s="87"/>
      <c r="Z215" s="87"/>
      <c r="AA215" s="87"/>
      <c r="AB215" s="87"/>
      <c r="AC215" s="87"/>
      <c r="AD215" s="87"/>
      <c r="AE215" s="87">
        <v>68</v>
      </c>
      <c r="AF215" s="87"/>
      <c r="AG215" s="87"/>
      <c r="AH215" s="87"/>
      <c r="AI215" s="87"/>
      <c r="AJ215" s="87"/>
      <c r="AK215" s="87"/>
      <c r="AL215" s="87"/>
      <c r="AM215" s="87"/>
      <c r="AN215" s="87"/>
      <c r="AO215" s="87">
        <v>65</v>
      </c>
      <c r="AP215" s="87">
        <v>3</v>
      </c>
      <c r="AQ215" s="87"/>
      <c r="AR215" s="87"/>
      <c r="AS215" s="87"/>
      <c r="AT215" s="87"/>
      <c r="AU215" s="87"/>
      <c r="AV215" s="87"/>
      <c r="AW215" s="88" t="str">
        <f>HYPERLINK("http://www.openstreetmap.org/?mlat=32.4175&amp;mlon=44.4069&amp;zoom=12#map=12/32.4175/44.4069","Maplink1")</f>
        <v>Maplink1</v>
      </c>
      <c r="AX215" s="88" t="str">
        <f>HYPERLINK("https://www.google.iq/maps/search/+32.4175,44.4069/@32.4175,44.4069,14z?hl=en","Maplink2")</f>
        <v>Maplink2</v>
      </c>
      <c r="AY215" s="88" t="str">
        <f>HYPERLINK("http://www.bing.com/maps/?lvl=14&amp;sty=h&amp;cp=32.4175~44.4069&amp;sp=point.32.4175_44.4069","Maplink3")</f>
        <v>Maplink3</v>
      </c>
      <c r="AZ215" s="76"/>
    </row>
    <row r="216" spans="1:52" x14ac:dyDescent="0.25">
      <c r="A216" s="86">
        <v>24462</v>
      </c>
      <c r="B216" s="87" t="s">
        <v>13</v>
      </c>
      <c r="C216" s="87" t="s">
        <v>361</v>
      </c>
      <c r="D216" s="87" t="s">
        <v>454</v>
      </c>
      <c r="E216" s="87" t="s">
        <v>455</v>
      </c>
      <c r="F216" s="87">
        <v>32.4819711735</v>
      </c>
      <c r="G216" s="87">
        <v>44.478355694999998</v>
      </c>
      <c r="H216" s="86">
        <v>4</v>
      </c>
      <c r="I216" s="86">
        <v>24</v>
      </c>
      <c r="J216" s="87">
        <v>3</v>
      </c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>
        <v>1</v>
      </c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>
        <v>4</v>
      </c>
      <c r="AI216" s="87"/>
      <c r="AJ216" s="87"/>
      <c r="AK216" s="87"/>
      <c r="AL216" s="87"/>
      <c r="AM216" s="87"/>
      <c r="AN216" s="87"/>
      <c r="AO216" s="87">
        <v>1</v>
      </c>
      <c r="AP216" s="87"/>
      <c r="AQ216" s="87">
        <v>3</v>
      </c>
      <c r="AR216" s="87"/>
      <c r="AS216" s="87"/>
      <c r="AT216" s="87"/>
      <c r="AU216" s="87"/>
      <c r="AV216" s="87"/>
      <c r="AW216" s="88" t="str">
        <f>HYPERLINK("http://www.openstreetmap.org/?mlat=32.482&amp;mlon=44.4784&amp;zoom=12#map=12/32.482/44.4784","Maplink1")</f>
        <v>Maplink1</v>
      </c>
      <c r="AX216" s="88" t="str">
        <f>HYPERLINK("https://www.google.iq/maps/search/+32.482,44.4784/@32.482,44.4784,14z?hl=en","Maplink2")</f>
        <v>Maplink2</v>
      </c>
      <c r="AY216" s="88" t="str">
        <f>HYPERLINK("http://www.bing.com/maps/?lvl=14&amp;sty=h&amp;cp=32.482~44.4784&amp;sp=point.32.482_44.4784","Maplink3")</f>
        <v>Maplink3</v>
      </c>
      <c r="AZ216" s="76"/>
    </row>
    <row r="217" spans="1:52" x14ac:dyDescent="0.25">
      <c r="A217" s="86">
        <v>7139</v>
      </c>
      <c r="B217" s="87" t="s">
        <v>13</v>
      </c>
      <c r="C217" s="87" t="s">
        <v>361</v>
      </c>
      <c r="D217" s="87" t="s">
        <v>456</v>
      </c>
      <c r="E217" s="87" t="s">
        <v>457</v>
      </c>
      <c r="F217" s="87">
        <v>32.434828888799998</v>
      </c>
      <c r="G217" s="87">
        <v>44.417941073400002</v>
      </c>
      <c r="H217" s="86">
        <v>4</v>
      </c>
      <c r="I217" s="86">
        <v>24</v>
      </c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>
        <v>4</v>
      </c>
      <c r="W217" s="87"/>
      <c r="X217" s="87"/>
      <c r="Y217" s="87"/>
      <c r="Z217" s="87"/>
      <c r="AA217" s="87"/>
      <c r="AB217" s="87"/>
      <c r="AC217" s="87">
        <v>4</v>
      </c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>
        <v>4</v>
      </c>
      <c r="AP217" s="87"/>
      <c r="AQ217" s="87"/>
      <c r="AR217" s="87"/>
      <c r="AS217" s="87"/>
      <c r="AT217" s="87"/>
      <c r="AU217" s="87"/>
      <c r="AV217" s="87"/>
      <c r="AW217" s="88" t="str">
        <f>HYPERLINK("http://www.openstreetmap.org/?mlat=32.4348&amp;mlon=44.4179&amp;zoom=12#map=12/32.4348/44.4179","Maplink1")</f>
        <v>Maplink1</v>
      </c>
      <c r="AX217" s="88" t="str">
        <f>HYPERLINK("https://www.google.iq/maps/search/+32.4348,44.4179/@32.4348,44.4179,14z?hl=en","Maplink2")</f>
        <v>Maplink2</v>
      </c>
      <c r="AY217" s="88" t="str">
        <f>HYPERLINK("http://www.bing.com/maps/?lvl=14&amp;sty=h&amp;cp=32.4348~44.4179&amp;sp=point.32.4348_44.4179","Maplink3")</f>
        <v>Maplink3</v>
      </c>
      <c r="AZ217" s="76"/>
    </row>
    <row r="218" spans="1:52" x14ac:dyDescent="0.25">
      <c r="A218" s="86">
        <v>7097</v>
      </c>
      <c r="B218" s="87" t="s">
        <v>13</v>
      </c>
      <c r="C218" s="87" t="s">
        <v>361</v>
      </c>
      <c r="D218" s="87" t="s">
        <v>458</v>
      </c>
      <c r="E218" s="87" t="s">
        <v>459</v>
      </c>
      <c r="F218" s="87">
        <v>32.500330888999997</v>
      </c>
      <c r="G218" s="87">
        <v>44.271509962499998</v>
      </c>
      <c r="H218" s="86">
        <v>1</v>
      </c>
      <c r="I218" s="86">
        <v>6</v>
      </c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>
        <v>1</v>
      </c>
      <c r="W218" s="87"/>
      <c r="X218" s="87"/>
      <c r="Y218" s="87"/>
      <c r="Z218" s="87"/>
      <c r="AA218" s="87"/>
      <c r="AB218" s="87"/>
      <c r="AC218" s="87">
        <v>1</v>
      </c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>
        <v>1</v>
      </c>
      <c r="AP218" s="87"/>
      <c r="AQ218" s="87"/>
      <c r="AR218" s="87"/>
      <c r="AS218" s="87"/>
      <c r="AT218" s="87"/>
      <c r="AU218" s="87"/>
      <c r="AV218" s="87"/>
      <c r="AW218" s="88" t="str">
        <f>HYPERLINK("http://www.openstreetmap.org/?mlat=32.5003&amp;mlon=44.2715&amp;zoom=12#map=12/32.5003/44.2715","Maplink1")</f>
        <v>Maplink1</v>
      </c>
      <c r="AX218" s="88" t="str">
        <f>HYPERLINK("https://www.google.iq/maps/search/+32.5003,44.2715/@32.5003,44.2715,14z?hl=en","Maplink2")</f>
        <v>Maplink2</v>
      </c>
      <c r="AY218" s="88" t="str">
        <f>HYPERLINK("http://www.bing.com/maps/?lvl=14&amp;sty=h&amp;cp=32.5003~44.2715&amp;sp=point.32.5003_44.2715","Maplink3")</f>
        <v>Maplink3</v>
      </c>
      <c r="AZ218" s="76"/>
    </row>
    <row r="219" spans="1:52" x14ac:dyDescent="0.25">
      <c r="A219" s="86">
        <v>21173</v>
      </c>
      <c r="B219" s="87" t="s">
        <v>14</v>
      </c>
      <c r="C219" s="87" t="s">
        <v>460</v>
      </c>
      <c r="D219" s="87" t="s">
        <v>461</v>
      </c>
      <c r="E219" s="87" t="s">
        <v>462</v>
      </c>
      <c r="F219" s="87">
        <v>33.303321347299999</v>
      </c>
      <c r="G219" s="87">
        <v>44.185436330100003</v>
      </c>
      <c r="H219" s="86">
        <v>68</v>
      </c>
      <c r="I219" s="86">
        <v>408</v>
      </c>
      <c r="J219" s="87">
        <v>65</v>
      </c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>
        <v>3</v>
      </c>
      <c r="W219" s="87"/>
      <c r="X219" s="87"/>
      <c r="Y219" s="87"/>
      <c r="Z219" s="87"/>
      <c r="AA219" s="87"/>
      <c r="AB219" s="87"/>
      <c r="AC219" s="87">
        <v>18</v>
      </c>
      <c r="AD219" s="87"/>
      <c r="AE219" s="87"/>
      <c r="AF219" s="87"/>
      <c r="AG219" s="87"/>
      <c r="AH219" s="87">
        <v>46</v>
      </c>
      <c r="AI219" s="87">
        <v>4</v>
      </c>
      <c r="AJ219" s="87"/>
      <c r="AK219" s="87"/>
      <c r="AL219" s="87"/>
      <c r="AM219" s="87"/>
      <c r="AN219" s="87"/>
      <c r="AO219" s="87">
        <v>33</v>
      </c>
      <c r="AP219" s="87"/>
      <c r="AQ219" s="87"/>
      <c r="AR219" s="87">
        <v>27</v>
      </c>
      <c r="AS219" s="87"/>
      <c r="AT219" s="87">
        <v>8</v>
      </c>
      <c r="AU219" s="87"/>
      <c r="AV219" s="87"/>
      <c r="AW219" s="88" t="str">
        <f>HYPERLINK("http://www.openstreetmap.org/?mlat=33.3033&amp;mlon=44.1854&amp;zoom=12#map=12/33.3033/44.1854","Maplink1")</f>
        <v>Maplink1</v>
      </c>
      <c r="AX219" s="88" t="str">
        <f>HYPERLINK("https://www.google.iq/maps/search/+33.3033,44.1854/@33.3033,44.1854,14z?hl=en","Maplink2")</f>
        <v>Maplink2</v>
      </c>
      <c r="AY219" s="88" t="str">
        <f>HYPERLINK("http://www.bing.com/maps/?lvl=14&amp;sty=h&amp;cp=33.3033~44.1854&amp;sp=point.33.3033_44.1854","Maplink3")</f>
        <v>Maplink3</v>
      </c>
      <c r="AZ219" s="76"/>
    </row>
    <row r="220" spans="1:52" x14ac:dyDescent="0.25">
      <c r="A220" s="86">
        <v>7671</v>
      </c>
      <c r="B220" s="87" t="s">
        <v>14</v>
      </c>
      <c r="C220" s="87" t="s">
        <v>460</v>
      </c>
      <c r="D220" s="87" t="s">
        <v>463</v>
      </c>
      <c r="E220" s="87" t="s">
        <v>464</v>
      </c>
      <c r="F220" s="87">
        <v>33.3012386527</v>
      </c>
      <c r="G220" s="87">
        <v>44.133815464500003</v>
      </c>
      <c r="H220" s="86">
        <v>21</v>
      </c>
      <c r="I220" s="86">
        <v>126</v>
      </c>
      <c r="J220" s="87">
        <v>21</v>
      </c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>
        <v>5</v>
      </c>
      <c r="AF220" s="87"/>
      <c r="AG220" s="87"/>
      <c r="AH220" s="87">
        <v>13</v>
      </c>
      <c r="AI220" s="87"/>
      <c r="AJ220" s="87"/>
      <c r="AK220" s="87"/>
      <c r="AL220" s="87">
        <v>3</v>
      </c>
      <c r="AM220" s="87"/>
      <c r="AN220" s="87"/>
      <c r="AO220" s="87"/>
      <c r="AP220" s="87">
        <v>5</v>
      </c>
      <c r="AQ220" s="87">
        <v>4</v>
      </c>
      <c r="AR220" s="87">
        <v>6</v>
      </c>
      <c r="AS220" s="87">
        <v>6</v>
      </c>
      <c r="AT220" s="87"/>
      <c r="AU220" s="87"/>
      <c r="AV220" s="87"/>
      <c r="AW220" s="88" t="str">
        <f>HYPERLINK("http://www.openstreetmap.org/?mlat=33.3012&amp;mlon=44.1338&amp;zoom=12#map=12/33.3012/44.1338","Maplink1")</f>
        <v>Maplink1</v>
      </c>
      <c r="AX220" s="88" t="str">
        <f>HYPERLINK("https://www.google.iq/maps/search/+33.3012,44.1338/@33.3012,44.1338,14z?hl=en","Maplink2")</f>
        <v>Maplink2</v>
      </c>
      <c r="AY220" s="88" t="str">
        <f>HYPERLINK("http://www.bing.com/maps/?lvl=14&amp;sty=h&amp;cp=33.3012~44.1338&amp;sp=point.33.3012_44.1338","Maplink3")</f>
        <v>Maplink3</v>
      </c>
      <c r="AZ220" s="76"/>
    </row>
    <row r="221" spans="1:52" x14ac:dyDescent="0.25">
      <c r="A221" s="86">
        <v>24047</v>
      </c>
      <c r="B221" s="87" t="s">
        <v>14</v>
      </c>
      <c r="C221" s="87" t="s">
        <v>460</v>
      </c>
      <c r="D221" s="87" t="s">
        <v>465</v>
      </c>
      <c r="E221" s="87" t="s">
        <v>466</v>
      </c>
      <c r="F221" s="87">
        <v>33.294300367600002</v>
      </c>
      <c r="G221" s="87">
        <v>44.091168598199999</v>
      </c>
      <c r="H221" s="86">
        <v>51</v>
      </c>
      <c r="I221" s="86">
        <v>306</v>
      </c>
      <c r="J221" s="87">
        <v>40</v>
      </c>
      <c r="K221" s="87">
        <v>8</v>
      </c>
      <c r="L221" s="87">
        <v>3</v>
      </c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>
        <v>16</v>
      </c>
      <c r="AD221" s="87"/>
      <c r="AE221" s="87"/>
      <c r="AF221" s="87"/>
      <c r="AG221" s="87"/>
      <c r="AH221" s="87">
        <v>13</v>
      </c>
      <c r="AI221" s="87">
        <v>4</v>
      </c>
      <c r="AJ221" s="87"/>
      <c r="AK221" s="87">
        <v>18</v>
      </c>
      <c r="AL221" s="87"/>
      <c r="AM221" s="87"/>
      <c r="AN221" s="87">
        <v>5</v>
      </c>
      <c r="AO221" s="87"/>
      <c r="AP221" s="87">
        <v>29</v>
      </c>
      <c r="AQ221" s="87">
        <v>7</v>
      </c>
      <c r="AR221" s="87">
        <v>10</v>
      </c>
      <c r="AS221" s="87"/>
      <c r="AT221" s="87"/>
      <c r="AU221" s="87"/>
      <c r="AV221" s="87"/>
      <c r="AW221" s="88" t="str">
        <f>HYPERLINK("http://www.openstreetmap.org/?mlat=33.2943&amp;mlon=44.0912&amp;zoom=12#map=12/33.2943/44.0912","Maplink1")</f>
        <v>Maplink1</v>
      </c>
      <c r="AX221" s="88" t="str">
        <f>HYPERLINK("https://www.google.iq/maps/search/+33.2943,44.0912/@33.2943,44.0912,14z?hl=en","Maplink2")</f>
        <v>Maplink2</v>
      </c>
      <c r="AY221" s="88" t="str">
        <f>HYPERLINK("http://www.bing.com/maps/?lvl=14&amp;sty=h&amp;cp=33.2943~44.0912&amp;sp=point.33.2943_44.0912","Maplink3")</f>
        <v>Maplink3</v>
      </c>
      <c r="AZ221" s="76"/>
    </row>
    <row r="222" spans="1:52" x14ac:dyDescent="0.25">
      <c r="A222" s="86">
        <v>24041</v>
      </c>
      <c r="B222" s="87" t="s">
        <v>14</v>
      </c>
      <c r="C222" s="87" t="s">
        <v>460</v>
      </c>
      <c r="D222" s="87" t="s">
        <v>467</v>
      </c>
      <c r="E222" s="87" t="s">
        <v>468</v>
      </c>
      <c r="F222" s="87">
        <v>33.347616023900002</v>
      </c>
      <c r="G222" s="87">
        <v>44.176291480700002</v>
      </c>
      <c r="H222" s="86">
        <v>4</v>
      </c>
      <c r="I222" s="86">
        <v>24</v>
      </c>
      <c r="J222" s="87">
        <v>4</v>
      </c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>
        <v>4</v>
      </c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>
        <v>4</v>
      </c>
      <c r="AS222" s="87"/>
      <c r="AT222" s="87"/>
      <c r="AU222" s="87"/>
      <c r="AV222" s="87"/>
      <c r="AW222" s="88" t="str">
        <f>HYPERLINK("http://www.openstreetmap.org/?mlat=33.3476&amp;mlon=44.1763&amp;zoom=12#map=12/33.3476/44.1763","Maplink1")</f>
        <v>Maplink1</v>
      </c>
      <c r="AX222" s="88" t="str">
        <f>HYPERLINK("https://www.google.iq/maps/search/+33.3476,44.1763/@33.3476,44.1763,14z?hl=en","Maplink2")</f>
        <v>Maplink2</v>
      </c>
      <c r="AY222" s="88" t="str">
        <f>HYPERLINK("http://www.bing.com/maps/?lvl=14&amp;sty=h&amp;cp=33.3476~44.1763&amp;sp=point.33.3476_44.1763","Maplink3")</f>
        <v>Maplink3</v>
      </c>
      <c r="AZ222" s="76"/>
    </row>
    <row r="223" spans="1:52" x14ac:dyDescent="0.25">
      <c r="A223" s="86">
        <v>24058</v>
      </c>
      <c r="B223" s="87" t="s">
        <v>14</v>
      </c>
      <c r="C223" s="87" t="s">
        <v>460</v>
      </c>
      <c r="D223" s="87" t="s">
        <v>469</v>
      </c>
      <c r="E223" s="87" t="s">
        <v>470</v>
      </c>
      <c r="F223" s="87">
        <v>33.369844118899998</v>
      </c>
      <c r="G223" s="87">
        <v>44.126724698700002</v>
      </c>
      <c r="H223" s="86">
        <v>3</v>
      </c>
      <c r="I223" s="86">
        <v>18</v>
      </c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>
        <v>3</v>
      </c>
      <c r="Y223" s="87"/>
      <c r="Z223" s="87"/>
      <c r="AA223" s="87"/>
      <c r="AB223" s="87"/>
      <c r="AC223" s="87">
        <v>3</v>
      </c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>
        <v>3</v>
      </c>
      <c r="AR223" s="87"/>
      <c r="AS223" s="87"/>
      <c r="AT223" s="87"/>
      <c r="AU223" s="87"/>
      <c r="AV223" s="87"/>
      <c r="AW223" s="88" t="str">
        <f>HYPERLINK("http://www.openstreetmap.org/?mlat=33.3698&amp;mlon=44.1267&amp;zoom=12#map=12/33.3698/44.1267","Maplink1")</f>
        <v>Maplink1</v>
      </c>
      <c r="AX223" s="88" t="str">
        <f>HYPERLINK("https://www.google.iq/maps/search/+33.3698,44.1267/@33.3698,44.1267,14z?hl=en","Maplink2")</f>
        <v>Maplink2</v>
      </c>
      <c r="AY223" s="88" t="str">
        <f>HYPERLINK("http://www.bing.com/maps/?lvl=14&amp;sty=h&amp;cp=33.3698~44.1267&amp;sp=point.33.3698_44.1267","Maplink3")</f>
        <v>Maplink3</v>
      </c>
      <c r="AZ223" s="76"/>
    </row>
    <row r="224" spans="1:52" x14ac:dyDescent="0.25">
      <c r="A224" s="86">
        <v>24038</v>
      </c>
      <c r="B224" s="87" t="s">
        <v>14</v>
      </c>
      <c r="C224" s="87" t="s">
        <v>460</v>
      </c>
      <c r="D224" s="87" t="s">
        <v>471</v>
      </c>
      <c r="E224" s="87" t="s">
        <v>472</v>
      </c>
      <c r="F224" s="87">
        <v>33.314019208799998</v>
      </c>
      <c r="G224" s="87">
        <v>44.179388705000001</v>
      </c>
      <c r="H224" s="86">
        <v>17</v>
      </c>
      <c r="I224" s="86">
        <v>102</v>
      </c>
      <c r="J224" s="87">
        <v>17</v>
      </c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>
        <v>5</v>
      </c>
      <c r="AD224" s="87"/>
      <c r="AE224" s="87"/>
      <c r="AF224" s="87"/>
      <c r="AG224" s="87"/>
      <c r="AH224" s="87">
        <v>12</v>
      </c>
      <c r="AI224" s="87"/>
      <c r="AJ224" s="87"/>
      <c r="AK224" s="87"/>
      <c r="AL224" s="87"/>
      <c r="AM224" s="87"/>
      <c r="AN224" s="87"/>
      <c r="AO224" s="87">
        <v>5</v>
      </c>
      <c r="AP224" s="87"/>
      <c r="AQ224" s="87">
        <v>6</v>
      </c>
      <c r="AR224" s="87">
        <v>6</v>
      </c>
      <c r="AS224" s="87"/>
      <c r="AT224" s="87"/>
      <c r="AU224" s="87"/>
      <c r="AV224" s="87"/>
      <c r="AW224" s="88" t="str">
        <f>HYPERLINK("http://www.openstreetmap.org/?mlat=33.314&amp;mlon=44.1794&amp;zoom=12#map=12/33.314/44.1794","Maplink1")</f>
        <v>Maplink1</v>
      </c>
      <c r="AX224" s="88" t="str">
        <f>HYPERLINK("https://www.google.iq/maps/search/+33.314,44.1794/@33.314,44.1794,14z?hl=en","Maplink2")</f>
        <v>Maplink2</v>
      </c>
      <c r="AY224" s="88" t="str">
        <f>HYPERLINK("http://www.bing.com/maps/?lvl=14&amp;sty=h&amp;cp=33.314~44.1794&amp;sp=point.33.314_44.1794","Maplink3")</f>
        <v>Maplink3</v>
      </c>
      <c r="AZ224" s="76"/>
    </row>
    <row r="225" spans="1:52" x14ac:dyDescent="0.25">
      <c r="A225" s="86">
        <v>24048</v>
      </c>
      <c r="B225" s="87" t="s">
        <v>14</v>
      </c>
      <c r="C225" s="87" t="s">
        <v>460</v>
      </c>
      <c r="D225" s="87" t="s">
        <v>473</v>
      </c>
      <c r="E225" s="87" t="s">
        <v>474</v>
      </c>
      <c r="F225" s="87">
        <v>33.337703569600002</v>
      </c>
      <c r="G225" s="87">
        <v>44.073305817700003</v>
      </c>
      <c r="H225" s="86">
        <v>10</v>
      </c>
      <c r="I225" s="86">
        <v>60</v>
      </c>
      <c r="J225" s="87">
        <v>4</v>
      </c>
      <c r="K225" s="87"/>
      <c r="L225" s="87">
        <v>6</v>
      </c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>
        <v>7</v>
      </c>
      <c r="AD225" s="87"/>
      <c r="AE225" s="87"/>
      <c r="AF225" s="87"/>
      <c r="AG225" s="87"/>
      <c r="AH225" s="87">
        <v>3</v>
      </c>
      <c r="AI225" s="87"/>
      <c r="AJ225" s="87"/>
      <c r="AK225" s="87"/>
      <c r="AL225" s="87"/>
      <c r="AM225" s="87"/>
      <c r="AN225" s="87">
        <v>4</v>
      </c>
      <c r="AO225" s="87"/>
      <c r="AP225" s="87"/>
      <c r="AQ225" s="87"/>
      <c r="AR225" s="87">
        <v>6</v>
      </c>
      <c r="AS225" s="87"/>
      <c r="AT225" s="87"/>
      <c r="AU225" s="87"/>
      <c r="AV225" s="87"/>
      <c r="AW225" s="88" t="str">
        <f>HYPERLINK("http://www.openstreetmap.org/?mlat=33.3377&amp;mlon=44.0733&amp;zoom=12#map=12/33.3377/44.0733","Maplink1")</f>
        <v>Maplink1</v>
      </c>
      <c r="AX225" s="88" t="str">
        <f>HYPERLINK("https://www.google.iq/maps/search/+33.3377,44.0733/@33.3377,44.0733,14z?hl=en","Maplink2")</f>
        <v>Maplink2</v>
      </c>
      <c r="AY225" s="88" t="str">
        <f>HYPERLINK("http://www.bing.com/maps/?lvl=14&amp;sty=h&amp;cp=33.3377~44.0733&amp;sp=point.33.3377_44.0733","Maplink3")</f>
        <v>Maplink3</v>
      </c>
      <c r="AZ225" s="76"/>
    </row>
    <row r="226" spans="1:52" x14ac:dyDescent="0.25">
      <c r="A226" s="86">
        <v>27247</v>
      </c>
      <c r="B226" s="87" t="s">
        <v>14</v>
      </c>
      <c r="C226" s="87" t="s">
        <v>460</v>
      </c>
      <c r="D226" s="87" t="s">
        <v>475</v>
      </c>
      <c r="E226" s="87" t="s">
        <v>476</v>
      </c>
      <c r="F226" s="87">
        <v>33.314518073099997</v>
      </c>
      <c r="G226" s="87">
        <v>44.0212471472</v>
      </c>
      <c r="H226" s="86">
        <v>170</v>
      </c>
      <c r="I226" s="86">
        <v>1020</v>
      </c>
      <c r="J226" s="87">
        <v>170</v>
      </c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>
        <v>170</v>
      </c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>
        <v>88</v>
      </c>
      <c r="AS226" s="87">
        <v>53</v>
      </c>
      <c r="AT226" s="87">
        <v>29</v>
      </c>
      <c r="AU226" s="87"/>
      <c r="AV226" s="87"/>
      <c r="AW226" s="88" t="str">
        <f>HYPERLINK("http://www.openstreetmap.org/?mlat=33.3145&amp;mlon=44.0212&amp;zoom=12#map=12/33.3145/44.0212","Maplink1")</f>
        <v>Maplink1</v>
      </c>
      <c r="AX226" s="88" t="str">
        <f>HYPERLINK("https://www.google.iq/maps/search/+33.3145,44.0212/@33.3145,44.0212,14z?hl=en","Maplink2")</f>
        <v>Maplink2</v>
      </c>
      <c r="AY226" s="88" t="str">
        <f>HYPERLINK("http://www.bing.com/maps/?lvl=14&amp;sty=h&amp;cp=33.3145~44.0212&amp;sp=point.33.3145_44.0212","Maplink3")</f>
        <v>Maplink3</v>
      </c>
      <c r="AZ226" s="76"/>
    </row>
    <row r="227" spans="1:52" x14ac:dyDescent="0.25">
      <c r="A227" s="86">
        <v>27291</v>
      </c>
      <c r="B227" s="87" t="s">
        <v>14</v>
      </c>
      <c r="C227" s="87" t="s">
        <v>460</v>
      </c>
      <c r="D227" s="87" t="s">
        <v>477</v>
      </c>
      <c r="E227" s="87" t="s">
        <v>478</v>
      </c>
      <c r="F227" s="87">
        <v>33.3442201262</v>
      </c>
      <c r="G227" s="87">
        <v>44.174973771700003</v>
      </c>
      <c r="H227" s="86">
        <v>4</v>
      </c>
      <c r="I227" s="86">
        <v>24</v>
      </c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>
        <v>4</v>
      </c>
      <c r="Y227" s="87"/>
      <c r="Z227" s="87"/>
      <c r="AA227" s="87"/>
      <c r="AB227" s="87"/>
      <c r="AC227" s="87">
        <v>4</v>
      </c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>
        <v>4</v>
      </c>
      <c r="AR227" s="87"/>
      <c r="AS227" s="87"/>
      <c r="AT227" s="87"/>
      <c r="AU227" s="87"/>
      <c r="AV227" s="87"/>
      <c r="AW227" s="88" t="str">
        <f>HYPERLINK("http://www.openstreetmap.org/?mlat=33.3442&amp;mlon=44.175&amp;zoom=12#map=12/33.3442/44.175","Maplink1")</f>
        <v>Maplink1</v>
      </c>
      <c r="AX227" s="88" t="str">
        <f>HYPERLINK("https://www.google.iq/maps/search/+33.3442,44.175/@33.3442,44.175,14z?hl=en","Maplink2")</f>
        <v>Maplink2</v>
      </c>
      <c r="AY227" s="88" t="str">
        <f>HYPERLINK("http://www.bing.com/maps/?lvl=14&amp;sty=h&amp;cp=33.3442~44.175&amp;sp=point.33.3442_44.175","Maplink3")</f>
        <v>Maplink3</v>
      </c>
      <c r="AZ227" s="76"/>
    </row>
    <row r="228" spans="1:52" x14ac:dyDescent="0.25">
      <c r="A228" s="86">
        <v>31711</v>
      </c>
      <c r="B228" s="87" t="s">
        <v>14</v>
      </c>
      <c r="C228" s="87" t="s">
        <v>460</v>
      </c>
      <c r="D228" s="87" t="s">
        <v>479</v>
      </c>
      <c r="E228" s="87" t="s">
        <v>480</v>
      </c>
      <c r="F228" s="87">
        <v>33.268757297699999</v>
      </c>
      <c r="G228" s="87">
        <v>44.046190522499998</v>
      </c>
      <c r="H228" s="86">
        <v>9</v>
      </c>
      <c r="I228" s="86">
        <v>54</v>
      </c>
      <c r="J228" s="87">
        <v>9</v>
      </c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>
        <v>6</v>
      </c>
      <c r="AD228" s="87"/>
      <c r="AE228" s="87"/>
      <c r="AF228" s="87"/>
      <c r="AG228" s="87"/>
      <c r="AH228" s="87">
        <v>3</v>
      </c>
      <c r="AI228" s="87"/>
      <c r="AJ228" s="87"/>
      <c r="AK228" s="87"/>
      <c r="AL228" s="87"/>
      <c r="AM228" s="87"/>
      <c r="AN228" s="87">
        <v>2</v>
      </c>
      <c r="AO228" s="87"/>
      <c r="AP228" s="87"/>
      <c r="AQ228" s="87">
        <v>4</v>
      </c>
      <c r="AR228" s="87">
        <v>3</v>
      </c>
      <c r="AS228" s="87"/>
      <c r="AT228" s="87"/>
      <c r="AU228" s="87"/>
      <c r="AV228" s="87"/>
      <c r="AW228" s="88" t="str">
        <f>HYPERLINK("http://www.openstreetmap.org/?mlat=33.2688&amp;mlon=44.0462&amp;zoom=12#map=12/33.2688/44.0462","Maplink1")</f>
        <v>Maplink1</v>
      </c>
      <c r="AX228" s="88" t="str">
        <f>HYPERLINK("https://www.google.iq/maps/search/+33.2688,44.0462/@33.2688,44.0462,14z?hl=en","Maplink2")</f>
        <v>Maplink2</v>
      </c>
      <c r="AY228" s="88" t="str">
        <f>HYPERLINK("http://www.bing.com/maps/?lvl=14&amp;sty=h&amp;cp=33.2688~44.0462&amp;sp=point.33.2688_44.0462","Maplink3")</f>
        <v>Maplink3</v>
      </c>
      <c r="AZ228" s="76"/>
    </row>
    <row r="229" spans="1:52" x14ac:dyDescent="0.25">
      <c r="A229" s="86">
        <v>31712</v>
      </c>
      <c r="B229" s="87" t="s">
        <v>14</v>
      </c>
      <c r="C229" s="87" t="s">
        <v>460</v>
      </c>
      <c r="D229" s="87" t="s">
        <v>481</v>
      </c>
      <c r="E229" s="87" t="s">
        <v>482</v>
      </c>
      <c r="F229" s="87">
        <v>33.249763774400002</v>
      </c>
      <c r="G229" s="87">
        <v>44.012791481299999</v>
      </c>
      <c r="H229" s="86">
        <v>5</v>
      </c>
      <c r="I229" s="86">
        <v>30</v>
      </c>
      <c r="J229" s="87">
        <v>5</v>
      </c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>
        <v>5</v>
      </c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>
        <v>5</v>
      </c>
      <c r="AR229" s="87"/>
      <c r="AS229" s="87"/>
      <c r="AT229" s="87"/>
      <c r="AU229" s="87"/>
      <c r="AV229" s="87"/>
      <c r="AW229" s="88" t="str">
        <f>HYPERLINK("http://www.openstreetmap.org/?mlat=33.2498&amp;mlon=44.0128&amp;zoom=12#map=12/33.2498/44.0128","Maplink1")</f>
        <v>Maplink1</v>
      </c>
      <c r="AX229" s="88" t="str">
        <f>HYPERLINK("https://www.google.iq/maps/search/+33.2498,44.0128/@33.2498,44.0128,14z?hl=en","Maplink2")</f>
        <v>Maplink2</v>
      </c>
      <c r="AY229" s="88" t="str">
        <f>HYPERLINK("http://www.bing.com/maps/?lvl=14&amp;sty=h&amp;cp=33.2498~44.0128&amp;sp=point.33.2498_44.0128","Maplink3")</f>
        <v>Maplink3</v>
      </c>
      <c r="AZ229" s="76"/>
    </row>
    <row r="230" spans="1:52" x14ac:dyDescent="0.25">
      <c r="A230" s="86">
        <v>7623</v>
      </c>
      <c r="B230" s="87" t="s">
        <v>14</v>
      </c>
      <c r="C230" s="87" t="s">
        <v>460</v>
      </c>
      <c r="D230" s="87" t="s">
        <v>483</v>
      </c>
      <c r="E230" s="87" t="s">
        <v>484</v>
      </c>
      <c r="F230" s="87">
        <v>33.312751584700003</v>
      </c>
      <c r="G230" s="87">
        <v>44.201018551899999</v>
      </c>
      <c r="H230" s="86">
        <v>28</v>
      </c>
      <c r="I230" s="86">
        <v>168</v>
      </c>
      <c r="J230" s="87">
        <v>28</v>
      </c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>
        <v>10</v>
      </c>
      <c r="AD230" s="87"/>
      <c r="AE230" s="87"/>
      <c r="AF230" s="87"/>
      <c r="AG230" s="87"/>
      <c r="AH230" s="87">
        <v>18</v>
      </c>
      <c r="AI230" s="87"/>
      <c r="AJ230" s="87"/>
      <c r="AK230" s="87"/>
      <c r="AL230" s="87"/>
      <c r="AM230" s="87"/>
      <c r="AN230" s="87"/>
      <c r="AO230" s="87"/>
      <c r="AP230" s="87"/>
      <c r="AQ230" s="87">
        <v>14</v>
      </c>
      <c r="AR230" s="87">
        <v>8</v>
      </c>
      <c r="AS230" s="87">
        <v>6</v>
      </c>
      <c r="AT230" s="87"/>
      <c r="AU230" s="87"/>
      <c r="AV230" s="87"/>
      <c r="AW230" s="88" t="str">
        <f>HYPERLINK("http://www.openstreetmap.org/?mlat=33.3128&amp;mlon=44.201&amp;zoom=12#map=12/33.3128/44.201","Maplink1")</f>
        <v>Maplink1</v>
      </c>
      <c r="AX230" s="88" t="str">
        <f>HYPERLINK("https://www.google.iq/maps/search/+33.3128,44.201/@33.3128,44.201,14z?hl=en","Maplink2")</f>
        <v>Maplink2</v>
      </c>
      <c r="AY230" s="88" t="str">
        <f>HYPERLINK("http://www.bing.com/maps/?lvl=14&amp;sty=h&amp;cp=33.3128~44.201&amp;sp=point.33.3128_44.201","Maplink3")</f>
        <v>Maplink3</v>
      </c>
      <c r="AZ230" s="76"/>
    </row>
    <row r="231" spans="1:52" x14ac:dyDescent="0.25">
      <c r="A231" s="86">
        <v>7662</v>
      </c>
      <c r="B231" s="87" t="s">
        <v>14</v>
      </c>
      <c r="C231" s="87" t="s">
        <v>460</v>
      </c>
      <c r="D231" s="87" t="s">
        <v>485</v>
      </c>
      <c r="E231" s="87" t="s">
        <v>486</v>
      </c>
      <c r="F231" s="87">
        <v>33.314796292799997</v>
      </c>
      <c r="G231" s="87">
        <v>44.166282752400001</v>
      </c>
      <c r="H231" s="86">
        <v>9</v>
      </c>
      <c r="I231" s="86">
        <v>54</v>
      </c>
      <c r="J231" s="87">
        <v>9</v>
      </c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>
        <v>4</v>
      </c>
      <c r="AD231" s="87"/>
      <c r="AE231" s="87"/>
      <c r="AF231" s="87"/>
      <c r="AG231" s="87"/>
      <c r="AH231" s="87">
        <v>5</v>
      </c>
      <c r="AI231" s="87"/>
      <c r="AJ231" s="87"/>
      <c r="AK231" s="87"/>
      <c r="AL231" s="87"/>
      <c r="AM231" s="87"/>
      <c r="AN231" s="87"/>
      <c r="AO231" s="87"/>
      <c r="AP231" s="87"/>
      <c r="AQ231" s="87">
        <v>4</v>
      </c>
      <c r="AR231" s="87">
        <v>5</v>
      </c>
      <c r="AS231" s="87"/>
      <c r="AT231" s="87"/>
      <c r="AU231" s="87"/>
      <c r="AV231" s="87"/>
      <c r="AW231" s="88" t="str">
        <f>HYPERLINK("http://www.openstreetmap.org/?mlat=33.3148&amp;mlon=44.1663&amp;zoom=12#map=12/33.3148/44.1663","Maplink1")</f>
        <v>Maplink1</v>
      </c>
      <c r="AX231" s="88" t="str">
        <f>HYPERLINK("https://www.google.iq/maps/search/+33.3148,44.1663/@33.3148,44.1663,14z?hl=en","Maplink2")</f>
        <v>Maplink2</v>
      </c>
      <c r="AY231" s="88" t="str">
        <f>HYPERLINK("http://www.bing.com/maps/?lvl=14&amp;sty=h&amp;cp=33.3148~44.1663&amp;sp=point.33.3148_44.1663","Maplink3")</f>
        <v>Maplink3</v>
      </c>
      <c r="AZ231" s="76"/>
    </row>
    <row r="232" spans="1:52" x14ac:dyDescent="0.25">
      <c r="A232" s="86">
        <v>23867</v>
      </c>
      <c r="B232" s="87" t="s">
        <v>14</v>
      </c>
      <c r="C232" s="87" t="s">
        <v>460</v>
      </c>
      <c r="D232" s="87" t="s">
        <v>487</v>
      </c>
      <c r="E232" s="87" t="s">
        <v>488</v>
      </c>
      <c r="F232" s="87">
        <v>33.300584315899997</v>
      </c>
      <c r="G232" s="87">
        <v>44.041835489299999</v>
      </c>
      <c r="H232" s="86">
        <v>17</v>
      </c>
      <c r="I232" s="86">
        <v>102</v>
      </c>
      <c r="J232" s="87">
        <v>17</v>
      </c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>
        <v>6</v>
      </c>
      <c r="AD232" s="87"/>
      <c r="AE232" s="87"/>
      <c r="AF232" s="87"/>
      <c r="AG232" s="87"/>
      <c r="AH232" s="87">
        <v>11</v>
      </c>
      <c r="AI232" s="87"/>
      <c r="AJ232" s="87"/>
      <c r="AK232" s="87"/>
      <c r="AL232" s="87"/>
      <c r="AM232" s="87"/>
      <c r="AN232" s="87">
        <v>12</v>
      </c>
      <c r="AO232" s="87"/>
      <c r="AP232" s="87"/>
      <c r="AQ232" s="87"/>
      <c r="AR232" s="87">
        <v>5</v>
      </c>
      <c r="AS232" s="87"/>
      <c r="AT232" s="87"/>
      <c r="AU232" s="87"/>
      <c r="AV232" s="87"/>
      <c r="AW232" s="88" t="str">
        <f>HYPERLINK("http://www.openstreetmap.org/?mlat=33.3006&amp;mlon=44.0418&amp;zoom=12#map=12/33.3006/44.0418","Maplink1")</f>
        <v>Maplink1</v>
      </c>
      <c r="AX232" s="88" t="str">
        <f>HYPERLINK("https://www.google.iq/maps/search/+33.3006,44.0418/@33.3006,44.0418,14z?hl=en","Maplink2")</f>
        <v>Maplink2</v>
      </c>
      <c r="AY232" s="88" t="str">
        <f>HYPERLINK("http://www.bing.com/maps/?lvl=14&amp;sty=h&amp;cp=33.3006~44.0418&amp;sp=point.33.3006_44.0418","Maplink3")</f>
        <v>Maplink3</v>
      </c>
      <c r="AZ232" s="76"/>
    </row>
    <row r="233" spans="1:52" x14ac:dyDescent="0.25">
      <c r="A233" s="86">
        <v>23864</v>
      </c>
      <c r="B233" s="87" t="s">
        <v>14</v>
      </c>
      <c r="C233" s="87" t="s">
        <v>460</v>
      </c>
      <c r="D233" s="87" t="s">
        <v>489</v>
      </c>
      <c r="E233" s="87" t="s">
        <v>490</v>
      </c>
      <c r="F233" s="87">
        <v>33.310315189299999</v>
      </c>
      <c r="G233" s="87">
        <v>44.0321604333</v>
      </c>
      <c r="H233" s="86">
        <v>12</v>
      </c>
      <c r="I233" s="86">
        <v>72</v>
      </c>
      <c r="J233" s="87">
        <v>12</v>
      </c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>
        <v>8</v>
      </c>
      <c r="AD233" s="87"/>
      <c r="AE233" s="87"/>
      <c r="AF233" s="87"/>
      <c r="AG233" s="87"/>
      <c r="AH233" s="87">
        <v>4</v>
      </c>
      <c r="AI233" s="87"/>
      <c r="AJ233" s="87"/>
      <c r="AK233" s="87"/>
      <c r="AL233" s="87"/>
      <c r="AM233" s="87"/>
      <c r="AN233" s="87"/>
      <c r="AO233" s="87"/>
      <c r="AP233" s="87"/>
      <c r="AQ233" s="87">
        <v>3</v>
      </c>
      <c r="AR233" s="87">
        <v>9</v>
      </c>
      <c r="AS233" s="87"/>
      <c r="AT233" s="87"/>
      <c r="AU233" s="87"/>
      <c r="AV233" s="87"/>
      <c r="AW233" s="88" t="str">
        <f>HYPERLINK("http://www.openstreetmap.org/?mlat=33.3103&amp;mlon=44.0322&amp;zoom=12#map=12/33.3103/44.0322","Maplink1")</f>
        <v>Maplink1</v>
      </c>
      <c r="AX233" s="88" t="str">
        <f>HYPERLINK("https://www.google.iq/maps/search/+33.3103,44.0322/@33.3103,44.0322,14z?hl=en","Maplink2")</f>
        <v>Maplink2</v>
      </c>
      <c r="AY233" s="88" t="str">
        <f>HYPERLINK("http://www.bing.com/maps/?lvl=14&amp;sty=h&amp;cp=33.3103~44.0322&amp;sp=point.33.3103_44.0322","Maplink3")</f>
        <v>Maplink3</v>
      </c>
      <c r="AZ233" s="76"/>
    </row>
    <row r="234" spans="1:52" x14ac:dyDescent="0.25">
      <c r="A234" s="86">
        <v>7626</v>
      </c>
      <c r="B234" s="87" t="s">
        <v>14</v>
      </c>
      <c r="C234" s="87" t="s">
        <v>460</v>
      </c>
      <c r="D234" s="87" t="s">
        <v>491</v>
      </c>
      <c r="E234" s="87" t="s">
        <v>492</v>
      </c>
      <c r="F234" s="87">
        <v>33.310009233700001</v>
      </c>
      <c r="G234" s="87">
        <v>44.021589190299999</v>
      </c>
      <c r="H234" s="86">
        <v>34</v>
      </c>
      <c r="I234" s="86">
        <v>204</v>
      </c>
      <c r="J234" s="87">
        <v>34</v>
      </c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>
        <v>16</v>
      </c>
      <c r="AD234" s="87"/>
      <c r="AE234" s="87"/>
      <c r="AF234" s="87"/>
      <c r="AG234" s="87"/>
      <c r="AH234" s="87">
        <v>18</v>
      </c>
      <c r="AI234" s="87"/>
      <c r="AJ234" s="87"/>
      <c r="AK234" s="87"/>
      <c r="AL234" s="87"/>
      <c r="AM234" s="87"/>
      <c r="AN234" s="87">
        <v>18</v>
      </c>
      <c r="AO234" s="87"/>
      <c r="AP234" s="87"/>
      <c r="AQ234" s="87"/>
      <c r="AR234" s="87">
        <v>16</v>
      </c>
      <c r="AS234" s="87"/>
      <c r="AT234" s="87"/>
      <c r="AU234" s="87"/>
      <c r="AV234" s="87"/>
      <c r="AW234" s="88" t="str">
        <f>HYPERLINK("http://www.openstreetmap.org/?mlat=33.31&amp;mlon=44.0216&amp;zoom=12#map=12/33.31/44.0216","Maplink1")</f>
        <v>Maplink1</v>
      </c>
      <c r="AX234" s="88" t="str">
        <f>HYPERLINK("https://www.google.iq/maps/search/+33.31,44.0216/@33.31,44.0216,14z?hl=en","Maplink2")</f>
        <v>Maplink2</v>
      </c>
      <c r="AY234" s="88" t="str">
        <f>HYPERLINK("http://www.bing.com/maps/?lvl=14&amp;sty=h&amp;cp=33.31~44.0216&amp;sp=point.33.31_44.0216","Maplink3")</f>
        <v>Maplink3</v>
      </c>
      <c r="AZ234" s="76"/>
    </row>
    <row r="235" spans="1:52" x14ac:dyDescent="0.25">
      <c r="A235" s="86">
        <v>24044</v>
      </c>
      <c r="B235" s="87" t="s">
        <v>14</v>
      </c>
      <c r="C235" s="87" t="s">
        <v>460</v>
      </c>
      <c r="D235" s="87" t="s">
        <v>493</v>
      </c>
      <c r="E235" s="87" t="s">
        <v>494</v>
      </c>
      <c r="F235" s="87">
        <v>33.3065822497</v>
      </c>
      <c r="G235" s="87">
        <v>44.023314549600002</v>
      </c>
      <c r="H235" s="86">
        <v>32</v>
      </c>
      <c r="I235" s="86">
        <v>192</v>
      </c>
      <c r="J235" s="87">
        <v>32</v>
      </c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>
        <v>16</v>
      </c>
      <c r="AD235" s="87"/>
      <c r="AE235" s="87"/>
      <c r="AF235" s="87"/>
      <c r="AG235" s="87"/>
      <c r="AH235" s="87">
        <v>16</v>
      </c>
      <c r="AI235" s="87"/>
      <c r="AJ235" s="87"/>
      <c r="AK235" s="87"/>
      <c r="AL235" s="87"/>
      <c r="AM235" s="87"/>
      <c r="AN235" s="87">
        <v>15</v>
      </c>
      <c r="AO235" s="87"/>
      <c r="AP235" s="87"/>
      <c r="AQ235" s="87">
        <v>6</v>
      </c>
      <c r="AR235" s="87">
        <v>11</v>
      </c>
      <c r="AS235" s="87"/>
      <c r="AT235" s="87"/>
      <c r="AU235" s="87"/>
      <c r="AV235" s="87"/>
      <c r="AW235" s="88" t="str">
        <f>HYPERLINK("http://www.openstreetmap.org/?mlat=33.3066&amp;mlon=44.0233&amp;zoom=12#map=12/33.3066/44.0233","Maplink1")</f>
        <v>Maplink1</v>
      </c>
      <c r="AX235" s="88" t="str">
        <f>HYPERLINK("https://www.google.iq/maps/search/+33.3066,44.0233/@33.3066,44.0233,14z?hl=en","Maplink2")</f>
        <v>Maplink2</v>
      </c>
      <c r="AY235" s="88" t="str">
        <f>HYPERLINK("http://www.bing.com/maps/?lvl=14&amp;sty=h&amp;cp=33.3066~44.0233&amp;sp=point.33.3066_44.0233","Maplink3")</f>
        <v>Maplink3</v>
      </c>
      <c r="AZ235" s="76"/>
    </row>
    <row r="236" spans="1:52" x14ac:dyDescent="0.25">
      <c r="A236" s="86">
        <v>23866</v>
      </c>
      <c r="B236" s="87" t="s">
        <v>14</v>
      </c>
      <c r="C236" s="87" t="s">
        <v>460</v>
      </c>
      <c r="D236" s="87" t="s">
        <v>495</v>
      </c>
      <c r="E236" s="87" t="s">
        <v>496</v>
      </c>
      <c r="F236" s="87">
        <v>33.303663345399997</v>
      </c>
      <c r="G236" s="87">
        <v>44.027626028999997</v>
      </c>
      <c r="H236" s="86">
        <v>22</v>
      </c>
      <c r="I236" s="86">
        <v>132</v>
      </c>
      <c r="J236" s="87">
        <v>22</v>
      </c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>
        <v>8</v>
      </c>
      <c r="AD236" s="87"/>
      <c r="AE236" s="87"/>
      <c r="AF236" s="87"/>
      <c r="AG236" s="87"/>
      <c r="AH236" s="87">
        <v>14</v>
      </c>
      <c r="AI236" s="87"/>
      <c r="AJ236" s="87"/>
      <c r="AK236" s="87"/>
      <c r="AL236" s="87"/>
      <c r="AM236" s="87"/>
      <c r="AN236" s="87">
        <v>12</v>
      </c>
      <c r="AO236" s="87"/>
      <c r="AP236" s="87"/>
      <c r="AQ236" s="87"/>
      <c r="AR236" s="87">
        <v>10</v>
      </c>
      <c r="AS236" s="87"/>
      <c r="AT236" s="87"/>
      <c r="AU236" s="87"/>
      <c r="AV236" s="87"/>
      <c r="AW236" s="88" t="str">
        <f>HYPERLINK("http://www.openstreetmap.org/?mlat=33.3037&amp;mlon=44.0276&amp;zoom=12#map=12/33.3037/44.0276","Maplink1")</f>
        <v>Maplink1</v>
      </c>
      <c r="AX236" s="88" t="str">
        <f>HYPERLINK("https://www.google.iq/maps/search/+33.3037,44.0276/@33.3037,44.0276,14z?hl=en","Maplink2")</f>
        <v>Maplink2</v>
      </c>
      <c r="AY236" s="88" t="str">
        <f>HYPERLINK("http://www.bing.com/maps/?lvl=14&amp;sty=h&amp;cp=33.3037~44.0276&amp;sp=point.33.3037_44.0276","Maplink3")</f>
        <v>Maplink3</v>
      </c>
      <c r="AZ236" s="76"/>
    </row>
    <row r="237" spans="1:52" x14ac:dyDescent="0.25">
      <c r="A237" s="86">
        <v>23865</v>
      </c>
      <c r="B237" s="87" t="s">
        <v>14</v>
      </c>
      <c r="C237" s="87" t="s">
        <v>460</v>
      </c>
      <c r="D237" s="87" t="s">
        <v>497</v>
      </c>
      <c r="E237" s="87" t="s">
        <v>498</v>
      </c>
      <c r="F237" s="87">
        <v>33.293877974700003</v>
      </c>
      <c r="G237" s="87">
        <v>44.040824071199999</v>
      </c>
      <c r="H237" s="86">
        <v>20</v>
      </c>
      <c r="I237" s="86">
        <v>120</v>
      </c>
      <c r="J237" s="87">
        <v>20</v>
      </c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>
        <v>11</v>
      </c>
      <c r="AD237" s="87"/>
      <c r="AE237" s="87"/>
      <c r="AF237" s="87"/>
      <c r="AG237" s="87"/>
      <c r="AH237" s="87">
        <v>9</v>
      </c>
      <c r="AI237" s="87"/>
      <c r="AJ237" s="87"/>
      <c r="AK237" s="87"/>
      <c r="AL237" s="87"/>
      <c r="AM237" s="87"/>
      <c r="AN237" s="87">
        <v>10</v>
      </c>
      <c r="AO237" s="87"/>
      <c r="AP237" s="87"/>
      <c r="AQ237" s="87"/>
      <c r="AR237" s="87">
        <v>10</v>
      </c>
      <c r="AS237" s="87"/>
      <c r="AT237" s="87"/>
      <c r="AU237" s="87"/>
      <c r="AV237" s="87"/>
      <c r="AW237" s="88" t="str">
        <f>HYPERLINK("http://www.openstreetmap.org/?mlat=33.2939&amp;mlon=44.0408&amp;zoom=12#map=12/33.2939/44.0408","Maplink1")</f>
        <v>Maplink1</v>
      </c>
      <c r="AX237" s="88" t="str">
        <f>HYPERLINK("https://www.google.iq/maps/search/+33.2939,44.0408/@33.2939,44.0408,14z?hl=en","Maplink2")</f>
        <v>Maplink2</v>
      </c>
      <c r="AY237" s="88" t="str">
        <f>HYPERLINK("http://www.bing.com/maps/?lvl=14&amp;sty=h&amp;cp=33.2939~44.0408&amp;sp=point.33.2939_44.0408","Maplink3")</f>
        <v>Maplink3</v>
      </c>
      <c r="AZ237" s="76"/>
    </row>
    <row r="238" spans="1:52" x14ac:dyDescent="0.25">
      <c r="A238" s="86">
        <v>24045</v>
      </c>
      <c r="B238" s="87" t="s">
        <v>14</v>
      </c>
      <c r="C238" s="87" t="s">
        <v>460</v>
      </c>
      <c r="D238" s="87" t="s">
        <v>499</v>
      </c>
      <c r="E238" s="87" t="s">
        <v>500</v>
      </c>
      <c r="F238" s="87">
        <v>33.298550439000003</v>
      </c>
      <c r="G238" s="87">
        <v>44.026426536300001</v>
      </c>
      <c r="H238" s="86">
        <v>29</v>
      </c>
      <c r="I238" s="86">
        <v>174</v>
      </c>
      <c r="J238" s="87">
        <v>29</v>
      </c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>
        <v>10</v>
      </c>
      <c r="AD238" s="87"/>
      <c r="AE238" s="87"/>
      <c r="AF238" s="87"/>
      <c r="AG238" s="87"/>
      <c r="AH238" s="87">
        <v>19</v>
      </c>
      <c r="AI238" s="87"/>
      <c r="AJ238" s="87"/>
      <c r="AK238" s="87"/>
      <c r="AL238" s="87"/>
      <c r="AM238" s="87"/>
      <c r="AN238" s="87">
        <v>13</v>
      </c>
      <c r="AO238" s="87"/>
      <c r="AP238" s="87"/>
      <c r="AQ238" s="87"/>
      <c r="AR238" s="87">
        <v>16</v>
      </c>
      <c r="AS238" s="87"/>
      <c r="AT238" s="87"/>
      <c r="AU238" s="87"/>
      <c r="AV238" s="87"/>
      <c r="AW238" s="88" t="str">
        <f>HYPERLINK("http://www.openstreetmap.org/?mlat=33.2986&amp;mlon=44.0264&amp;zoom=12#map=12/33.2986/44.0264","Maplink1")</f>
        <v>Maplink1</v>
      </c>
      <c r="AX238" s="88" t="str">
        <f>HYPERLINK("https://www.google.iq/maps/search/+33.2986,44.0264/@33.2986,44.0264,14z?hl=en","Maplink2")</f>
        <v>Maplink2</v>
      </c>
      <c r="AY238" s="88" t="str">
        <f>HYPERLINK("http://www.bing.com/maps/?lvl=14&amp;sty=h&amp;cp=33.2986~44.0264&amp;sp=point.33.2986_44.0264","Maplink3")</f>
        <v>Maplink3</v>
      </c>
      <c r="AZ238" s="76"/>
    </row>
    <row r="239" spans="1:52" x14ac:dyDescent="0.25">
      <c r="A239" s="86">
        <v>24046</v>
      </c>
      <c r="B239" s="87" t="s">
        <v>14</v>
      </c>
      <c r="C239" s="87" t="s">
        <v>460</v>
      </c>
      <c r="D239" s="87" t="s">
        <v>501</v>
      </c>
      <c r="E239" s="87" t="s">
        <v>502</v>
      </c>
      <c r="F239" s="87">
        <v>33.295430854000003</v>
      </c>
      <c r="G239" s="87">
        <v>44.034597997600002</v>
      </c>
      <c r="H239" s="86">
        <v>31</v>
      </c>
      <c r="I239" s="86">
        <v>186</v>
      </c>
      <c r="J239" s="87">
        <v>31</v>
      </c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>
        <v>19</v>
      </c>
      <c r="AD239" s="87"/>
      <c r="AE239" s="87"/>
      <c r="AF239" s="87"/>
      <c r="AG239" s="87"/>
      <c r="AH239" s="87">
        <v>12</v>
      </c>
      <c r="AI239" s="87"/>
      <c r="AJ239" s="87"/>
      <c r="AK239" s="87"/>
      <c r="AL239" s="87"/>
      <c r="AM239" s="87"/>
      <c r="AN239" s="87">
        <v>14</v>
      </c>
      <c r="AO239" s="87"/>
      <c r="AP239" s="87"/>
      <c r="AQ239" s="87">
        <v>14</v>
      </c>
      <c r="AR239" s="87"/>
      <c r="AS239" s="87">
        <v>3</v>
      </c>
      <c r="AT239" s="87"/>
      <c r="AU239" s="87"/>
      <c r="AV239" s="87"/>
      <c r="AW239" s="88" t="str">
        <f>HYPERLINK("http://www.openstreetmap.org/?mlat=33.2954&amp;mlon=44.0346&amp;zoom=12#map=12/33.2954/44.0346","Maplink1")</f>
        <v>Maplink1</v>
      </c>
      <c r="AX239" s="88" t="str">
        <f>HYPERLINK("https://www.google.iq/maps/search/+33.2954,44.0346/@33.2954,44.0346,14z?hl=en","Maplink2")</f>
        <v>Maplink2</v>
      </c>
      <c r="AY239" s="88" t="str">
        <f>HYPERLINK("http://www.bing.com/maps/?lvl=14&amp;sty=h&amp;cp=33.2954~44.0346&amp;sp=point.33.2954_44.0346","Maplink3")</f>
        <v>Maplink3</v>
      </c>
      <c r="AZ239" s="76"/>
    </row>
    <row r="240" spans="1:52" x14ac:dyDescent="0.25">
      <c r="A240" s="86">
        <v>7658</v>
      </c>
      <c r="B240" s="87" t="s">
        <v>14</v>
      </c>
      <c r="C240" s="87" t="s">
        <v>460</v>
      </c>
      <c r="D240" s="87" t="s">
        <v>503</v>
      </c>
      <c r="E240" s="87" t="s">
        <v>504</v>
      </c>
      <c r="F240" s="87">
        <v>33.297210444100003</v>
      </c>
      <c r="G240" s="87">
        <v>44.119084344699999</v>
      </c>
      <c r="H240" s="86">
        <v>47</v>
      </c>
      <c r="I240" s="86">
        <v>282</v>
      </c>
      <c r="J240" s="87">
        <v>47</v>
      </c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>
        <v>15</v>
      </c>
      <c r="AD240" s="87"/>
      <c r="AE240" s="87"/>
      <c r="AF240" s="87"/>
      <c r="AG240" s="87"/>
      <c r="AH240" s="87">
        <v>22</v>
      </c>
      <c r="AI240" s="87">
        <v>2</v>
      </c>
      <c r="AJ240" s="87"/>
      <c r="AK240" s="87"/>
      <c r="AL240" s="87">
        <v>8</v>
      </c>
      <c r="AM240" s="87"/>
      <c r="AN240" s="87">
        <v>11</v>
      </c>
      <c r="AO240" s="87">
        <v>12</v>
      </c>
      <c r="AP240" s="87"/>
      <c r="AQ240" s="87">
        <v>11</v>
      </c>
      <c r="AR240" s="87">
        <v>11</v>
      </c>
      <c r="AS240" s="87">
        <v>2</v>
      </c>
      <c r="AT240" s="87"/>
      <c r="AU240" s="87"/>
      <c r="AV240" s="87"/>
      <c r="AW240" s="88" t="str">
        <f>HYPERLINK("http://www.openstreetmap.org/?mlat=33.2972&amp;mlon=44.1191&amp;zoom=12#map=12/33.2972/44.1191","Maplink1")</f>
        <v>Maplink1</v>
      </c>
      <c r="AX240" s="88" t="str">
        <f>HYPERLINK("https://www.google.iq/maps/search/+33.2972,44.1191/@33.2972,44.1191,14z?hl=en","Maplink2")</f>
        <v>Maplink2</v>
      </c>
      <c r="AY240" s="88" t="str">
        <f>HYPERLINK("http://www.bing.com/maps/?lvl=14&amp;sty=h&amp;cp=33.2972~44.1191&amp;sp=point.33.2972_44.1191","Maplink3")</f>
        <v>Maplink3</v>
      </c>
      <c r="AZ240" s="76"/>
    </row>
    <row r="241" spans="1:52" x14ac:dyDescent="0.25">
      <c r="A241" s="86">
        <v>25829</v>
      </c>
      <c r="B241" s="87" t="s">
        <v>14</v>
      </c>
      <c r="C241" s="87" t="s">
        <v>460</v>
      </c>
      <c r="D241" s="87" t="s">
        <v>505</v>
      </c>
      <c r="E241" s="87" t="s">
        <v>506</v>
      </c>
      <c r="F241" s="87">
        <v>32.967723913</v>
      </c>
      <c r="G241" s="87">
        <v>44.352494595000003</v>
      </c>
      <c r="H241" s="86">
        <v>102</v>
      </c>
      <c r="I241" s="86">
        <v>612</v>
      </c>
      <c r="J241" s="87">
        <v>81</v>
      </c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>
        <v>21</v>
      </c>
      <c r="W241" s="87"/>
      <c r="X241" s="87"/>
      <c r="Y241" s="87"/>
      <c r="Z241" s="87"/>
      <c r="AA241" s="87"/>
      <c r="AB241" s="87">
        <v>102</v>
      </c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>
        <v>65</v>
      </c>
      <c r="AS241" s="87">
        <v>37</v>
      </c>
      <c r="AT241" s="87"/>
      <c r="AU241" s="87"/>
      <c r="AV241" s="87"/>
      <c r="AW241" s="88" t="str">
        <f>HYPERLINK("http://www.openstreetmap.org/?mlat=32.9677&amp;mlon=44.3525&amp;zoom=12#map=12/32.9677/44.3525","Maplink1")</f>
        <v>Maplink1</v>
      </c>
      <c r="AX241" s="88" t="str">
        <f>HYPERLINK("https://www.google.iq/maps/search/+32.9677,44.3525/@32.9677,44.3525,14z?hl=en","Maplink2")</f>
        <v>Maplink2</v>
      </c>
      <c r="AY241" s="88" t="str">
        <f>HYPERLINK("http://www.bing.com/maps/?lvl=14&amp;sty=h&amp;cp=32.9677~44.3525&amp;sp=point.32.9677_44.3525","Maplink3")</f>
        <v>Maplink3</v>
      </c>
      <c r="AZ241" s="76"/>
    </row>
    <row r="242" spans="1:52" x14ac:dyDescent="0.25">
      <c r="A242" s="86">
        <v>24054</v>
      </c>
      <c r="B242" s="87" t="s">
        <v>14</v>
      </c>
      <c r="C242" s="87" t="s">
        <v>460</v>
      </c>
      <c r="D242" s="87" t="s">
        <v>507</v>
      </c>
      <c r="E242" s="87" t="s">
        <v>508</v>
      </c>
      <c r="F242" s="87">
        <v>33.293191169499998</v>
      </c>
      <c r="G242" s="87">
        <v>44.0011548198</v>
      </c>
      <c r="H242" s="86">
        <v>9</v>
      </c>
      <c r="I242" s="86">
        <v>54</v>
      </c>
      <c r="J242" s="87">
        <v>9</v>
      </c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>
        <v>4</v>
      </c>
      <c r="AD242" s="87"/>
      <c r="AE242" s="87"/>
      <c r="AF242" s="87"/>
      <c r="AG242" s="87"/>
      <c r="AH242" s="87">
        <v>5</v>
      </c>
      <c r="AI242" s="87"/>
      <c r="AJ242" s="87"/>
      <c r="AK242" s="87"/>
      <c r="AL242" s="87"/>
      <c r="AM242" s="87"/>
      <c r="AN242" s="87"/>
      <c r="AO242" s="87"/>
      <c r="AP242" s="87"/>
      <c r="AQ242" s="87"/>
      <c r="AR242" s="87">
        <v>7</v>
      </c>
      <c r="AS242" s="87">
        <v>2</v>
      </c>
      <c r="AT242" s="87"/>
      <c r="AU242" s="87"/>
      <c r="AV242" s="87"/>
      <c r="AW242" s="88" t="str">
        <f>HYPERLINK("http://www.openstreetmap.org/?mlat=33.2932&amp;mlon=44.0012&amp;zoom=12#map=12/33.2932/44.0012","Maplink1")</f>
        <v>Maplink1</v>
      </c>
      <c r="AX242" s="88" t="str">
        <f>HYPERLINK("https://www.google.iq/maps/search/+33.2932,44.0012/@33.2932,44.0012,14z?hl=en","Maplink2")</f>
        <v>Maplink2</v>
      </c>
      <c r="AY242" s="88" t="str">
        <f>HYPERLINK("http://www.bing.com/maps/?lvl=14&amp;sty=h&amp;cp=33.2932~44.0012&amp;sp=point.33.2932_44.0012","Maplink3")</f>
        <v>Maplink3</v>
      </c>
      <c r="AZ242" s="76"/>
    </row>
    <row r="243" spans="1:52" x14ac:dyDescent="0.25">
      <c r="A243" s="86">
        <v>24036</v>
      </c>
      <c r="B243" s="87" t="s">
        <v>14</v>
      </c>
      <c r="C243" s="87" t="s">
        <v>460</v>
      </c>
      <c r="D243" s="87" t="s">
        <v>509</v>
      </c>
      <c r="E243" s="87" t="s">
        <v>510</v>
      </c>
      <c r="F243" s="87">
        <v>33.311498191600002</v>
      </c>
      <c r="G243" s="87">
        <v>44.174230944999998</v>
      </c>
      <c r="H243" s="86">
        <v>8</v>
      </c>
      <c r="I243" s="86">
        <v>48</v>
      </c>
      <c r="J243" s="87">
        <v>8</v>
      </c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>
        <v>8</v>
      </c>
      <c r="AI243" s="87"/>
      <c r="AJ243" s="87"/>
      <c r="AK243" s="87"/>
      <c r="AL243" s="87"/>
      <c r="AM243" s="87"/>
      <c r="AN243" s="87"/>
      <c r="AO243" s="87">
        <v>4</v>
      </c>
      <c r="AP243" s="87"/>
      <c r="AQ243" s="87"/>
      <c r="AR243" s="87">
        <v>4</v>
      </c>
      <c r="AS243" s="87"/>
      <c r="AT243" s="87"/>
      <c r="AU243" s="87"/>
      <c r="AV243" s="87"/>
      <c r="AW243" s="88" t="str">
        <f>HYPERLINK("http://www.openstreetmap.org/?mlat=33.3115&amp;mlon=44.1742&amp;zoom=12#map=12/33.3115/44.1742","Maplink1")</f>
        <v>Maplink1</v>
      </c>
      <c r="AX243" s="88" t="str">
        <f>HYPERLINK("https://www.google.iq/maps/search/+33.3115,44.1742/@33.3115,44.1742,14z?hl=en","Maplink2")</f>
        <v>Maplink2</v>
      </c>
      <c r="AY243" s="88" t="str">
        <f>HYPERLINK("http://www.bing.com/maps/?lvl=14&amp;sty=h&amp;cp=33.3115~44.1742&amp;sp=point.33.3115_44.1742","Maplink3")</f>
        <v>Maplink3</v>
      </c>
      <c r="AZ243" s="76"/>
    </row>
    <row r="244" spans="1:52" x14ac:dyDescent="0.25">
      <c r="A244" s="86">
        <v>24055</v>
      </c>
      <c r="B244" s="87" t="s">
        <v>14</v>
      </c>
      <c r="C244" s="87" t="s">
        <v>460</v>
      </c>
      <c r="D244" s="87" t="s">
        <v>511</v>
      </c>
      <c r="E244" s="87" t="s">
        <v>512</v>
      </c>
      <c r="F244" s="87">
        <v>33.295368896100001</v>
      </c>
      <c r="G244" s="87">
        <v>44.074810013300002</v>
      </c>
      <c r="H244" s="86">
        <v>13</v>
      </c>
      <c r="I244" s="86">
        <v>78</v>
      </c>
      <c r="J244" s="87">
        <v>13</v>
      </c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>
        <v>3</v>
      </c>
      <c r="AD244" s="87"/>
      <c r="AE244" s="87"/>
      <c r="AF244" s="87"/>
      <c r="AG244" s="87"/>
      <c r="AH244" s="87">
        <v>10</v>
      </c>
      <c r="AI244" s="87"/>
      <c r="AJ244" s="87"/>
      <c r="AK244" s="87"/>
      <c r="AL244" s="87"/>
      <c r="AM244" s="87"/>
      <c r="AN244" s="87"/>
      <c r="AO244" s="87">
        <v>5</v>
      </c>
      <c r="AP244" s="87">
        <v>8</v>
      </c>
      <c r="AQ244" s="87"/>
      <c r="AR244" s="87"/>
      <c r="AS244" s="87"/>
      <c r="AT244" s="87"/>
      <c r="AU244" s="87"/>
      <c r="AV244" s="87"/>
      <c r="AW244" s="88" t="str">
        <f>HYPERLINK("http://www.openstreetmap.org/?mlat=33.2954&amp;mlon=44.0748&amp;zoom=12#map=12/33.2954/44.0748","Maplink1")</f>
        <v>Maplink1</v>
      </c>
      <c r="AX244" s="88" t="str">
        <f>HYPERLINK("https://www.google.iq/maps/search/+33.2954,44.0748/@33.2954,44.0748,14z?hl=en","Maplink2")</f>
        <v>Maplink2</v>
      </c>
      <c r="AY244" s="88" t="str">
        <f>HYPERLINK("http://www.bing.com/maps/?lvl=14&amp;sty=h&amp;cp=33.2954~44.0748&amp;sp=point.33.2954_44.0748","Maplink3")</f>
        <v>Maplink3</v>
      </c>
      <c r="AZ244" s="76"/>
    </row>
    <row r="245" spans="1:52" x14ac:dyDescent="0.25">
      <c r="A245" s="86">
        <v>24033</v>
      </c>
      <c r="B245" s="87" t="s">
        <v>14</v>
      </c>
      <c r="C245" s="87" t="s">
        <v>460</v>
      </c>
      <c r="D245" s="87" t="s">
        <v>513</v>
      </c>
      <c r="E245" s="87" t="s">
        <v>514</v>
      </c>
      <c r="F245" s="87">
        <v>33.322841971400003</v>
      </c>
      <c r="G245" s="87">
        <v>44.199668442300002</v>
      </c>
      <c r="H245" s="86">
        <v>15</v>
      </c>
      <c r="I245" s="86">
        <v>90</v>
      </c>
      <c r="J245" s="87">
        <v>15</v>
      </c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>
        <v>6</v>
      </c>
      <c r="AD245" s="87"/>
      <c r="AE245" s="87"/>
      <c r="AF245" s="87"/>
      <c r="AG245" s="87"/>
      <c r="AH245" s="87">
        <v>9</v>
      </c>
      <c r="AI245" s="87"/>
      <c r="AJ245" s="87"/>
      <c r="AK245" s="87"/>
      <c r="AL245" s="87"/>
      <c r="AM245" s="87"/>
      <c r="AN245" s="87">
        <v>5</v>
      </c>
      <c r="AO245" s="87"/>
      <c r="AP245" s="87"/>
      <c r="AQ245" s="87">
        <v>5</v>
      </c>
      <c r="AR245" s="87">
        <v>5</v>
      </c>
      <c r="AS245" s="87"/>
      <c r="AT245" s="87"/>
      <c r="AU245" s="87"/>
      <c r="AV245" s="87"/>
      <c r="AW245" s="88" t="str">
        <f>HYPERLINK("http://www.openstreetmap.org/?mlat=33.3228&amp;mlon=44.1997&amp;zoom=12#map=12/33.3228/44.1997","Maplink1")</f>
        <v>Maplink1</v>
      </c>
      <c r="AX245" s="88" t="str">
        <f>HYPERLINK("https://www.google.iq/maps/search/+33.3228,44.1997/@33.3228,44.1997,14z?hl=en","Maplink2")</f>
        <v>Maplink2</v>
      </c>
      <c r="AY245" s="88" t="str">
        <f>HYPERLINK("http://www.bing.com/maps/?lvl=14&amp;sty=h&amp;cp=33.3228~44.1997&amp;sp=point.33.3228_44.1997","Maplink3")</f>
        <v>Maplink3</v>
      </c>
      <c r="AZ245" s="76"/>
    </row>
    <row r="246" spans="1:52" x14ac:dyDescent="0.25">
      <c r="A246" s="86">
        <v>24034</v>
      </c>
      <c r="B246" s="87" t="s">
        <v>14</v>
      </c>
      <c r="C246" s="87" t="s">
        <v>460</v>
      </c>
      <c r="D246" s="87" t="s">
        <v>515</v>
      </c>
      <c r="E246" s="87" t="s">
        <v>516</v>
      </c>
      <c r="F246" s="87">
        <v>33.296642372000001</v>
      </c>
      <c r="G246" s="87">
        <v>44.1454898052</v>
      </c>
      <c r="H246" s="86">
        <v>9</v>
      </c>
      <c r="I246" s="86">
        <v>54</v>
      </c>
      <c r="J246" s="87">
        <v>9</v>
      </c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>
        <v>7</v>
      </c>
      <c r="AD246" s="87"/>
      <c r="AE246" s="87"/>
      <c r="AF246" s="87"/>
      <c r="AG246" s="87"/>
      <c r="AH246" s="87">
        <v>2</v>
      </c>
      <c r="AI246" s="87"/>
      <c r="AJ246" s="87"/>
      <c r="AK246" s="87"/>
      <c r="AL246" s="87"/>
      <c r="AM246" s="87"/>
      <c r="AN246" s="87"/>
      <c r="AO246" s="87"/>
      <c r="AP246" s="87"/>
      <c r="AQ246" s="87">
        <v>4</v>
      </c>
      <c r="AR246" s="87">
        <v>5</v>
      </c>
      <c r="AS246" s="87"/>
      <c r="AT246" s="87"/>
      <c r="AU246" s="87"/>
      <c r="AV246" s="87"/>
      <c r="AW246" s="88" t="str">
        <f>HYPERLINK("http://www.openstreetmap.org/?mlat=33.2966&amp;mlon=44.1455&amp;zoom=12#map=12/33.2966/44.1455","Maplink1")</f>
        <v>Maplink1</v>
      </c>
      <c r="AX246" s="88" t="str">
        <f>HYPERLINK("https://www.google.iq/maps/search/+33.2966,44.1455/@33.2966,44.1455,14z?hl=en","Maplink2")</f>
        <v>Maplink2</v>
      </c>
      <c r="AY246" s="88" t="str">
        <f>HYPERLINK("http://www.bing.com/maps/?lvl=14&amp;sty=h&amp;cp=33.2966~44.1455&amp;sp=point.33.2966_44.1455","Maplink3")</f>
        <v>Maplink3</v>
      </c>
      <c r="AZ246" s="76"/>
    </row>
    <row r="247" spans="1:52" x14ac:dyDescent="0.25">
      <c r="A247" s="86">
        <v>24032</v>
      </c>
      <c r="B247" s="87" t="s">
        <v>14</v>
      </c>
      <c r="C247" s="87" t="s">
        <v>460</v>
      </c>
      <c r="D247" s="87" t="s">
        <v>517</v>
      </c>
      <c r="E247" s="87" t="s">
        <v>518</v>
      </c>
      <c r="F247" s="87">
        <v>33.300444047399999</v>
      </c>
      <c r="G247" s="87">
        <v>44.1909309288</v>
      </c>
      <c r="H247" s="86">
        <v>15</v>
      </c>
      <c r="I247" s="86">
        <v>90</v>
      </c>
      <c r="J247" s="87">
        <v>15</v>
      </c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>
        <v>7</v>
      </c>
      <c r="AD247" s="87"/>
      <c r="AE247" s="87"/>
      <c r="AF247" s="87"/>
      <c r="AG247" s="87"/>
      <c r="AH247" s="87">
        <v>8</v>
      </c>
      <c r="AI247" s="87"/>
      <c r="AJ247" s="87"/>
      <c r="AK247" s="87"/>
      <c r="AL247" s="87"/>
      <c r="AM247" s="87"/>
      <c r="AN247" s="87"/>
      <c r="AO247" s="87">
        <v>15</v>
      </c>
      <c r="AP247" s="87"/>
      <c r="AQ247" s="87"/>
      <c r="AR247" s="87"/>
      <c r="AS247" s="87"/>
      <c r="AT247" s="87"/>
      <c r="AU247" s="87"/>
      <c r="AV247" s="87"/>
      <c r="AW247" s="88" t="str">
        <f>HYPERLINK("http://www.openstreetmap.org/?mlat=33.3004&amp;mlon=44.1909&amp;zoom=12#map=12/33.3004/44.1909","Maplink1")</f>
        <v>Maplink1</v>
      </c>
      <c r="AX247" s="88" t="str">
        <f>HYPERLINK("https://www.google.iq/maps/search/+33.3004,44.1909/@33.3004,44.1909,14z?hl=en","Maplink2")</f>
        <v>Maplink2</v>
      </c>
      <c r="AY247" s="88" t="str">
        <f>HYPERLINK("http://www.bing.com/maps/?lvl=14&amp;sty=h&amp;cp=33.3004~44.1909&amp;sp=point.33.3004_44.1909","Maplink3")</f>
        <v>Maplink3</v>
      </c>
      <c r="AZ247" s="76"/>
    </row>
    <row r="248" spans="1:52" x14ac:dyDescent="0.25">
      <c r="A248" s="86">
        <v>24039</v>
      </c>
      <c r="B248" s="87" t="s">
        <v>14</v>
      </c>
      <c r="C248" s="87" t="s">
        <v>460</v>
      </c>
      <c r="D248" s="87" t="s">
        <v>519</v>
      </c>
      <c r="E248" s="87" t="s">
        <v>147</v>
      </c>
      <c r="F248" s="87">
        <v>33.311452334999998</v>
      </c>
      <c r="G248" s="87">
        <v>44.187020886900001</v>
      </c>
      <c r="H248" s="86">
        <v>22</v>
      </c>
      <c r="I248" s="86">
        <v>132</v>
      </c>
      <c r="J248" s="87">
        <v>22</v>
      </c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>
        <v>7</v>
      </c>
      <c r="AD248" s="87"/>
      <c r="AE248" s="87"/>
      <c r="AF248" s="87"/>
      <c r="AG248" s="87"/>
      <c r="AH248" s="87">
        <v>10</v>
      </c>
      <c r="AI248" s="87">
        <v>5</v>
      </c>
      <c r="AJ248" s="87"/>
      <c r="AK248" s="87"/>
      <c r="AL248" s="87"/>
      <c r="AM248" s="87"/>
      <c r="AN248" s="87">
        <v>5</v>
      </c>
      <c r="AO248" s="87"/>
      <c r="AP248" s="87"/>
      <c r="AQ248" s="87">
        <v>8</v>
      </c>
      <c r="AR248" s="87">
        <v>9</v>
      </c>
      <c r="AS248" s="87"/>
      <c r="AT248" s="87"/>
      <c r="AU248" s="87"/>
      <c r="AV248" s="87"/>
      <c r="AW248" s="88" t="str">
        <f>HYPERLINK("http://www.openstreetmap.org/?mlat=33.3115&amp;mlon=44.187&amp;zoom=12#map=12/33.3115/44.187","Maplink1")</f>
        <v>Maplink1</v>
      </c>
      <c r="AX248" s="88" t="str">
        <f>HYPERLINK("https://www.google.iq/maps/search/+33.3115,44.187/@33.3115,44.187,14z?hl=en","Maplink2")</f>
        <v>Maplink2</v>
      </c>
      <c r="AY248" s="88" t="str">
        <f>HYPERLINK("http://www.bing.com/maps/?lvl=14&amp;sty=h&amp;cp=33.3115~44.187&amp;sp=point.33.3115_44.187","Maplink3")</f>
        <v>Maplink3</v>
      </c>
      <c r="AZ248" s="76"/>
    </row>
    <row r="249" spans="1:52" x14ac:dyDescent="0.25">
      <c r="A249" s="86">
        <v>7553</v>
      </c>
      <c r="B249" s="87" t="s">
        <v>14</v>
      </c>
      <c r="C249" s="87" t="s">
        <v>460</v>
      </c>
      <c r="D249" s="87" t="s">
        <v>301</v>
      </c>
      <c r="E249" s="87" t="s">
        <v>520</v>
      </c>
      <c r="F249" s="87">
        <v>33.294523233200003</v>
      </c>
      <c r="G249" s="87">
        <v>44.055633729199997</v>
      </c>
      <c r="H249" s="86">
        <v>24</v>
      </c>
      <c r="I249" s="86">
        <v>144</v>
      </c>
      <c r="J249" s="87">
        <v>24</v>
      </c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>
        <v>9</v>
      </c>
      <c r="AD249" s="87"/>
      <c r="AE249" s="87"/>
      <c r="AF249" s="87"/>
      <c r="AG249" s="87"/>
      <c r="AH249" s="87">
        <v>15</v>
      </c>
      <c r="AI249" s="87"/>
      <c r="AJ249" s="87"/>
      <c r="AK249" s="87"/>
      <c r="AL249" s="87"/>
      <c r="AM249" s="87"/>
      <c r="AN249" s="87"/>
      <c r="AO249" s="87"/>
      <c r="AP249" s="87"/>
      <c r="AQ249" s="87">
        <v>12</v>
      </c>
      <c r="AR249" s="87">
        <v>9</v>
      </c>
      <c r="AS249" s="87"/>
      <c r="AT249" s="87">
        <v>3</v>
      </c>
      <c r="AU249" s="87"/>
      <c r="AV249" s="87"/>
      <c r="AW249" s="88" t="str">
        <f>HYPERLINK("http://www.openstreetmap.org/?mlat=33.2945&amp;mlon=44.0556&amp;zoom=12#map=12/33.2945/44.0556","Maplink1")</f>
        <v>Maplink1</v>
      </c>
      <c r="AX249" s="88" t="str">
        <f>HYPERLINK("https://www.google.iq/maps/search/+33.2945,44.0556/@33.2945,44.0556,14z?hl=en","Maplink2")</f>
        <v>Maplink2</v>
      </c>
      <c r="AY249" s="88" t="str">
        <f>HYPERLINK("http://www.bing.com/maps/?lvl=14&amp;sty=h&amp;cp=33.2945~44.0556&amp;sp=point.33.2945_44.0556","Maplink3")</f>
        <v>Maplink3</v>
      </c>
      <c r="AZ249" s="76"/>
    </row>
    <row r="250" spans="1:52" x14ac:dyDescent="0.25">
      <c r="A250" s="86">
        <v>22050</v>
      </c>
      <c r="B250" s="87" t="s">
        <v>14</v>
      </c>
      <c r="C250" s="87" t="s">
        <v>460</v>
      </c>
      <c r="D250" s="87" t="s">
        <v>521</v>
      </c>
      <c r="E250" s="87" t="s">
        <v>522</v>
      </c>
      <c r="F250" s="87">
        <v>33.3047462623</v>
      </c>
      <c r="G250" s="87">
        <v>44.168124977399998</v>
      </c>
      <c r="H250" s="86">
        <v>17</v>
      </c>
      <c r="I250" s="86">
        <v>102</v>
      </c>
      <c r="J250" s="87">
        <v>17</v>
      </c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>
        <v>6</v>
      </c>
      <c r="AD250" s="87"/>
      <c r="AE250" s="87"/>
      <c r="AF250" s="87"/>
      <c r="AG250" s="87"/>
      <c r="AH250" s="87">
        <v>8</v>
      </c>
      <c r="AI250" s="87">
        <v>3</v>
      </c>
      <c r="AJ250" s="87"/>
      <c r="AK250" s="87"/>
      <c r="AL250" s="87"/>
      <c r="AM250" s="87"/>
      <c r="AN250" s="87">
        <v>5</v>
      </c>
      <c r="AO250" s="87">
        <v>9</v>
      </c>
      <c r="AP250" s="87"/>
      <c r="AQ250" s="87"/>
      <c r="AR250" s="87">
        <v>3</v>
      </c>
      <c r="AS250" s="87"/>
      <c r="AT250" s="87"/>
      <c r="AU250" s="87"/>
      <c r="AV250" s="87"/>
      <c r="AW250" s="88" t="str">
        <f>HYPERLINK("http://www.openstreetmap.org/?mlat=33.3047&amp;mlon=44.1681&amp;zoom=12#map=12/33.3047/44.1681","Maplink1")</f>
        <v>Maplink1</v>
      </c>
      <c r="AX250" s="88" t="str">
        <f>HYPERLINK("https://www.google.iq/maps/search/+33.3047,44.1681/@33.3047,44.1681,14z?hl=en","Maplink2")</f>
        <v>Maplink2</v>
      </c>
      <c r="AY250" s="88" t="str">
        <f>HYPERLINK("http://www.bing.com/maps/?lvl=14&amp;sty=h&amp;cp=33.3047~44.1681&amp;sp=point.33.3047_44.1681","Maplink3")</f>
        <v>Maplink3</v>
      </c>
      <c r="AZ250" s="76"/>
    </row>
    <row r="251" spans="1:52" x14ac:dyDescent="0.25">
      <c r="A251" s="86">
        <v>25129</v>
      </c>
      <c r="B251" s="87" t="s">
        <v>14</v>
      </c>
      <c r="C251" s="87" t="s">
        <v>460</v>
      </c>
      <c r="D251" s="87" t="s">
        <v>523</v>
      </c>
      <c r="E251" s="87" t="s">
        <v>524</v>
      </c>
      <c r="F251" s="87">
        <v>33.300427168200002</v>
      </c>
      <c r="G251" s="87">
        <v>44.177841152200003</v>
      </c>
      <c r="H251" s="86">
        <v>24</v>
      </c>
      <c r="I251" s="86">
        <v>144</v>
      </c>
      <c r="J251" s="87">
        <v>20</v>
      </c>
      <c r="K251" s="87"/>
      <c r="L251" s="87"/>
      <c r="M251" s="87"/>
      <c r="N251" s="87"/>
      <c r="O251" s="87"/>
      <c r="P251" s="87"/>
      <c r="Q251" s="87"/>
      <c r="R251" s="87">
        <v>4</v>
      </c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>
        <v>3</v>
      </c>
      <c r="AD251" s="87"/>
      <c r="AE251" s="87"/>
      <c r="AF251" s="87"/>
      <c r="AG251" s="87"/>
      <c r="AH251" s="87">
        <v>16</v>
      </c>
      <c r="AI251" s="87">
        <v>2</v>
      </c>
      <c r="AJ251" s="87"/>
      <c r="AK251" s="87"/>
      <c r="AL251" s="87">
        <v>3</v>
      </c>
      <c r="AM251" s="87"/>
      <c r="AN251" s="87"/>
      <c r="AO251" s="87">
        <v>6</v>
      </c>
      <c r="AP251" s="87"/>
      <c r="AQ251" s="87">
        <v>6</v>
      </c>
      <c r="AR251" s="87">
        <v>6</v>
      </c>
      <c r="AS251" s="87">
        <v>6</v>
      </c>
      <c r="AT251" s="87"/>
      <c r="AU251" s="87"/>
      <c r="AV251" s="87"/>
      <c r="AW251" s="88" t="str">
        <f>HYPERLINK("http://www.openstreetmap.org/?mlat=33.3004&amp;mlon=44.1778&amp;zoom=12#map=12/33.3004/44.1778","Maplink1")</f>
        <v>Maplink1</v>
      </c>
      <c r="AX251" s="88" t="str">
        <f>HYPERLINK("https://www.google.iq/maps/search/+33.3004,44.1778/@33.3004,44.1778,14z?hl=en","Maplink2")</f>
        <v>Maplink2</v>
      </c>
      <c r="AY251" s="88" t="str">
        <f>HYPERLINK("http://www.bing.com/maps/?lvl=14&amp;sty=h&amp;cp=33.3004~44.1778&amp;sp=point.33.3004_44.1778","Maplink3")</f>
        <v>Maplink3</v>
      </c>
      <c r="AZ251" s="76"/>
    </row>
    <row r="252" spans="1:52" x14ac:dyDescent="0.25">
      <c r="A252" s="86">
        <v>27290</v>
      </c>
      <c r="B252" s="87" t="s">
        <v>14</v>
      </c>
      <c r="C252" s="87" t="s">
        <v>460</v>
      </c>
      <c r="D252" s="87" t="s">
        <v>525</v>
      </c>
      <c r="E252" s="87" t="s">
        <v>526</v>
      </c>
      <c r="F252" s="87">
        <v>33.387942236699999</v>
      </c>
      <c r="G252" s="87">
        <v>44.142475800500002</v>
      </c>
      <c r="H252" s="86">
        <v>4</v>
      </c>
      <c r="I252" s="86">
        <v>24</v>
      </c>
      <c r="J252" s="87">
        <v>4</v>
      </c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>
        <v>4</v>
      </c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>
        <v>4</v>
      </c>
      <c r="AS252" s="87"/>
      <c r="AT252" s="87"/>
      <c r="AU252" s="87"/>
      <c r="AV252" s="87"/>
      <c r="AW252" s="88" t="str">
        <f>HYPERLINK("http://www.openstreetmap.org/?mlat=33.3879&amp;mlon=44.1425&amp;zoom=12#map=12/33.3879/44.1425","Maplink1")</f>
        <v>Maplink1</v>
      </c>
      <c r="AX252" s="88" t="str">
        <f>HYPERLINK("https://www.google.iq/maps/search/+33.3879,44.1425/@33.3879,44.1425,14z?hl=en","Maplink2")</f>
        <v>Maplink2</v>
      </c>
      <c r="AY252" s="88" t="str">
        <f>HYPERLINK("http://www.bing.com/maps/?lvl=14&amp;sty=h&amp;cp=33.3879~44.1425&amp;sp=point.33.3879_44.1425","Maplink3")</f>
        <v>Maplink3</v>
      </c>
      <c r="AZ252" s="76"/>
    </row>
    <row r="253" spans="1:52" x14ac:dyDescent="0.25">
      <c r="A253" s="86">
        <v>24056</v>
      </c>
      <c r="B253" s="87" t="s">
        <v>14</v>
      </c>
      <c r="C253" s="87" t="s">
        <v>460</v>
      </c>
      <c r="D253" s="87" t="s">
        <v>527</v>
      </c>
      <c r="E253" s="87" t="s">
        <v>528</v>
      </c>
      <c r="F253" s="87">
        <v>33.313556490800003</v>
      </c>
      <c r="G253" s="87">
        <v>44.0639620695</v>
      </c>
      <c r="H253" s="86">
        <v>5</v>
      </c>
      <c r="I253" s="86">
        <v>30</v>
      </c>
      <c r="J253" s="87">
        <v>5</v>
      </c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>
        <v>5</v>
      </c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>
        <v>5</v>
      </c>
      <c r="AS253" s="87"/>
      <c r="AT253" s="87"/>
      <c r="AU253" s="87"/>
      <c r="AV253" s="87"/>
      <c r="AW253" s="88" t="str">
        <f>HYPERLINK("http://www.openstreetmap.org/?mlat=33.3136&amp;mlon=44.064&amp;zoom=12#map=12/33.3136/44.064","Maplink1")</f>
        <v>Maplink1</v>
      </c>
      <c r="AX253" s="88" t="str">
        <f>HYPERLINK("https://www.google.iq/maps/search/+33.3136,44.064/@33.3136,44.064,14z?hl=en","Maplink2")</f>
        <v>Maplink2</v>
      </c>
      <c r="AY253" s="88" t="str">
        <f>HYPERLINK("http://www.bing.com/maps/?lvl=14&amp;sty=h&amp;cp=33.3136~44.064&amp;sp=point.33.3136_44.064","Maplink3")</f>
        <v>Maplink3</v>
      </c>
      <c r="AZ253" s="76"/>
    </row>
    <row r="254" spans="1:52" x14ac:dyDescent="0.25">
      <c r="A254" s="86">
        <v>25126</v>
      </c>
      <c r="B254" s="87" t="s">
        <v>14</v>
      </c>
      <c r="C254" s="87" t="s">
        <v>460</v>
      </c>
      <c r="D254" s="87" t="s">
        <v>529</v>
      </c>
      <c r="E254" s="87" t="s">
        <v>530</v>
      </c>
      <c r="F254" s="87">
        <v>33.299451397399999</v>
      </c>
      <c r="G254" s="87">
        <v>44.057923983199998</v>
      </c>
      <c r="H254" s="86">
        <v>25</v>
      </c>
      <c r="I254" s="86">
        <v>150</v>
      </c>
      <c r="J254" s="87">
        <v>15</v>
      </c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>
        <v>4</v>
      </c>
      <c r="W254" s="87"/>
      <c r="X254" s="87">
        <v>6</v>
      </c>
      <c r="Y254" s="87"/>
      <c r="Z254" s="87"/>
      <c r="AA254" s="87"/>
      <c r="AB254" s="87"/>
      <c r="AC254" s="87">
        <v>10</v>
      </c>
      <c r="AD254" s="87"/>
      <c r="AE254" s="87"/>
      <c r="AF254" s="87"/>
      <c r="AG254" s="87"/>
      <c r="AH254" s="87">
        <v>10</v>
      </c>
      <c r="AI254" s="87">
        <v>5</v>
      </c>
      <c r="AJ254" s="87"/>
      <c r="AK254" s="87"/>
      <c r="AL254" s="87"/>
      <c r="AM254" s="87"/>
      <c r="AN254" s="87"/>
      <c r="AO254" s="87"/>
      <c r="AP254" s="87"/>
      <c r="AQ254" s="87">
        <v>6</v>
      </c>
      <c r="AR254" s="87">
        <v>7</v>
      </c>
      <c r="AS254" s="87">
        <v>8</v>
      </c>
      <c r="AT254" s="87">
        <v>4</v>
      </c>
      <c r="AU254" s="87"/>
      <c r="AV254" s="87"/>
      <c r="AW254" s="88" t="str">
        <f>HYPERLINK("http://www.openstreetmap.org/?mlat=33.2995&amp;mlon=44.0579&amp;zoom=12#map=12/33.2995/44.0579","Maplink1")</f>
        <v>Maplink1</v>
      </c>
      <c r="AX254" s="88" t="str">
        <f>HYPERLINK("https://www.google.iq/maps/search/+33.2995,44.0579/@33.2995,44.0579,14z?hl=en","Maplink2")</f>
        <v>Maplink2</v>
      </c>
      <c r="AY254" s="88" t="str">
        <f>HYPERLINK("http://www.bing.com/maps/?lvl=14&amp;sty=h&amp;cp=33.2995~44.0579&amp;sp=point.33.2995_44.0579","Maplink3")</f>
        <v>Maplink3</v>
      </c>
      <c r="AZ254" s="76"/>
    </row>
    <row r="255" spans="1:52" x14ac:dyDescent="0.25">
      <c r="A255" s="86">
        <v>25128</v>
      </c>
      <c r="B255" s="87" t="s">
        <v>14</v>
      </c>
      <c r="C255" s="87" t="s">
        <v>460</v>
      </c>
      <c r="D255" s="87" t="s">
        <v>531</v>
      </c>
      <c r="E255" s="87" t="s">
        <v>532</v>
      </c>
      <c r="F255" s="87">
        <v>33.320573900500001</v>
      </c>
      <c r="G255" s="87">
        <v>44.192530688399998</v>
      </c>
      <c r="H255" s="86">
        <v>83</v>
      </c>
      <c r="I255" s="86">
        <v>498</v>
      </c>
      <c r="J255" s="87">
        <v>83</v>
      </c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>
        <v>25</v>
      </c>
      <c r="AD255" s="87"/>
      <c r="AE255" s="87"/>
      <c r="AF255" s="87"/>
      <c r="AG255" s="87"/>
      <c r="AH255" s="87">
        <v>36</v>
      </c>
      <c r="AI255" s="87">
        <v>7</v>
      </c>
      <c r="AJ255" s="87"/>
      <c r="AK255" s="87">
        <v>15</v>
      </c>
      <c r="AL255" s="87"/>
      <c r="AM255" s="87"/>
      <c r="AN255" s="87"/>
      <c r="AO255" s="87">
        <v>58</v>
      </c>
      <c r="AP255" s="87"/>
      <c r="AQ255" s="87"/>
      <c r="AR255" s="87">
        <v>25</v>
      </c>
      <c r="AS255" s="87"/>
      <c r="AT255" s="87"/>
      <c r="AU255" s="87"/>
      <c r="AV255" s="87"/>
      <c r="AW255" s="88" t="str">
        <f>HYPERLINK("http://www.openstreetmap.org/?mlat=33.3206&amp;mlon=44.1925&amp;zoom=12#map=12/33.3206/44.1925","Maplink1")</f>
        <v>Maplink1</v>
      </c>
      <c r="AX255" s="88" t="str">
        <f>HYPERLINK("https://www.google.iq/maps/search/+33.3206,44.1925/@33.3206,44.1925,14z?hl=en","Maplink2")</f>
        <v>Maplink2</v>
      </c>
      <c r="AY255" s="88" t="str">
        <f>HYPERLINK("http://www.bing.com/maps/?lvl=14&amp;sty=h&amp;cp=33.3206~44.1925&amp;sp=point.33.3206_44.1925","Maplink3")</f>
        <v>Maplink3</v>
      </c>
      <c r="AZ255" s="76"/>
    </row>
    <row r="256" spans="1:52" x14ac:dyDescent="0.25">
      <c r="A256" s="86">
        <v>7709</v>
      </c>
      <c r="B256" s="87" t="s">
        <v>14</v>
      </c>
      <c r="C256" s="87" t="s">
        <v>460</v>
      </c>
      <c r="D256" s="87" t="s">
        <v>533</v>
      </c>
      <c r="E256" s="87" t="s">
        <v>534</v>
      </c>
      <c r="F256" s="87">
        <v>33.329045868900003</v>
      </c>
      <c r="G256" s="87">
        <v>44.194122182500003</v>
      </c>
      <c r="H256" s="86">
        <v>15</v>
      </c>
      <c r="I256" s="86">
        <v>90</v>
      </c>
      <c r="J256" s="87">
        <v>15</v>
      </c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>
        <v>1</v>
      </c>
      <c r="AD256" s="87"/>
      <c r="AE256" s="87"/>
      <c r="AF256" s="87"/>
      <c r="AG256" s="87"/>
      <c r="AH256" s="87">
        <v>9</v>
      </c>
      <c r="AI256" s="87">
        <v>5</v>
      </c>
      <c r="AJ256" s="87"/>
      <c r="AK256" s="87"/>
      <c r="AL256" s="87"/>
      <c r="AM256" s="87"/>
      <c r="AN256" s="87">
        <v>8</v>
      </c>
      <c r="AO256" s="87"/>
      <c r="AP256" s="87"/>
      <c r="AQ256" s="87">
        <v>4</v>
      </c>
      <c r="AR256" s="87">
        <v>3</v>
      </c>
      <c r="AS256" s="87"/>
      <c r="AT256" s="87"/>
      <c r="AU256" s="87"/>
      <c r="AV256" s="87"/>
      <c r="AW256" s="88" t="str">
        <f>HYPERLINK("http://www.openstreetmap.org/?mlat=33.329&amp;mlon=44.1941&amp;zoom=12#map=12/33.329/44.1941","Maplink1")</f>
        <v>Maplink1</v>
      </c>
      <c r="AX256" s="88" t="str">
        <f>HYPERLINK("https://www.google.iq/maps/search/+33.329,44.1941/@33.329,44.1941,14z?hl=en","Maplink2")</f>
        <v>Maplink2</v>
      </c>
      <c r="AY256" s="88" t="str">
        <f>HYPERLINK("http://www.bing.com/maps/?lvl=14&amp;sty=h&amp;cp=33.329~44.1941&amp;sp=point.33.329_44.1941","Maplink3")</f>
        <v>Maplink3</v>
      </c>
      <c r="AZ256" s="76"/>
    </row>
    <row r="257" spans="1:52" x14ac:dyDescent="0.25">
      <c r="A257" s="86">
        <v>24035</v>
      </c>
      <c r="B257" s="87" t="s">
        <v>14</v>
      </c>
      <c r="C257" s="87" t="s">
        <v>460</v>
      </c>
      <c r="D257" s="87" t="s">
        <v>535</v>
      </c>
      <c r="E257" s="87" t="s">
        <v>536</v>
      </c>
      <c r="F257" s="87">
        <v>33.3176206694</v>
      </c>
      <c r="G257" s="87">
        <v>44.185640888400002</v>
      </c>
      <c r="H257" s="86">
        <v>9</v>
      </c>
      <c r="I257" s="86">
        <v>54</v>
      </c>
      <c r="J257" s="87">
        <v>9</v>
      </c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>
        <v>3</v>
      </c>
      <c r="AD257" s="87"/>
      <c r="AE257" s="87"/>
      <c r="AF257" s="87"/>
      <c r="AG257" s="87"/>
      <c r="AH257" s="87">
        <v>6</v>
      </c>
      <c r="AI257" s="87"/>
      <c r="AJ257" s="87"/>
      <c r="AK257" s="87"/>
      <c r="AL257" s="87"/>
      <c r="AM257" s="87"/>
      <c r="AN257" s="87"/>
      <c r="AO257" s="87"/>
      <c r="AP257" s="87"/>
      <c r="AQ257" s="87">
        <v>6</v>
      </c>
      <c r="AR257" s="87">
        <v>3</v>
      </c>
      <c r="AS257" s="87"/>
      <c r="AT257" s="87"/>
      <c r="AU257" s="87"/>
      <c r="AV257" s="87"/>
      <c r="AW257" s="88" t="str">
        <f>HYPERLINK("http://www.openstreetmap.org/?mlat=33.3176&amp;mlon=44.1856&amp;zoom=12#map=12/33.3176/44.1856","Maplink1")</f>
        <v>Maplink1</v>
      </c>
      <c r="AX257" s="88" t="str">
        <f>HYPERLINK("https://www.google.iq/maps/search/+33.3176,44.1856/@33.3176,44.1856,14z?hl=en","Maplink2")</f>
        <v>Maplink2</v>
      </c>
      <c r="AY257" s="88" t="str">
        <f>HYPERLINK("http://www.bing.com/maps/?lvl=14&amp;sty=h&amp;cp=33.3176~44.1856&amp;sp=point.33.3176_44.1856","Maplink3")</f>
        <v>Maplink3</v>
      </c>
      <c r="AZ257" s="76"/>
    </row>
    <row r="258" spans="1:52" x14ac:dyDescent="0.25">
      <c r="A258" s="86">
        <v>31713</v>
      </c>
      <c r="B258" s="87" t="s">
        <v>14</v>
      </c>
      <c r="C258" s="87" t="s">
        <v>460</v>
      </c>
      <c r="D258" s="87" t="s">
        <v>537</v>
      </c>
      <c r="E258" s="87" t="s">
        <v>538</v>
      </c>
      <c r="F258" s="87">
        <v>33.301627415200002</v>
      </c>
      <c r="G258" s="87">
        <v>44.144631389499999</v>
      </c>
      <c r="H258" s="86">
        <v>87</v>
      </c>
      <c r="I258" s="86">
        <v>522</v>
      </c>
      <c r="J258" s="87">
        <v>83</v>
      </c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>
        <v>4</v>
      </c>
      <c r="W258" s="87"/>
      <c r="X258" s="87"/>
      <c r="Y258" s="87"/>
      <c r="Z258" s="87"/>
      <c r="AA258" s="87"/>
      <c r="AB258" s="87"/>
      <c r="AC258" s="87">
        <v>29</v>
      </c>
      <c r="AD258" s="87"/>
      <c r="AE258" s="87">
        <v>4</v>
      </c>
      <c r="AF258" s="87"/>
      <c r="AG258" s="87"/>
      <c r="AH258" s="87">
        <v>47</v>
      </c>
      <c r="AI258" s="87">
        <v>7</v>
      </c>
      <c r="AJ258" s="87"/>
      <c r="AK258" s="87"/>
      <c r="AL258" s="87"/>
      <c r="AM258" s="87"/>
      <c r="AN258" s="87">
        <v>21</v>
      </c>
      <c r="AO258" s="87"/>
      <c r="AP258" s="87"/>
      <c r="AQ258" s="87">
        <v>29</v>
      </c>
      <c r="AR258" s="87">
        <v>24</v>
      </c>
      <c r="AS258" s="87">
        <v>9</v>
      </c>
      <c r="AT258" s="87">
        <v>4</v>
      </c>
      <c r="AU258" s="87"/>
      <c r="AV258" s="87"/>
      <c r="AW258" s="88" t="str">
        <f>HYPERLINK("http://www.openstreetmap.org/?mlat=33.3016&amp;mlon=44.1446&amp;zoom=12#map=12/33.3016/44.1446","Maplink1")</f>
        <v>Maplink1</v>
      </c>
      <c r="AX258" s="88" t="str">
        <f>HYPERLINK("https://www.google.iq/maps/search/+33.3016,44.1446/@33.3016,44.1446,14z?hl=en","Maplink2")</f>
        <v>Maplink2</v>
      </c>
      <c r="AY258" s="88" t="str">
        <f>HYPERLINK("http://www.bing.com/maps/?lvl=14&amp;sty=h&amp;cp=33.3016~44.1446&amp;sp=point.33.3016_44.1446","Maplink3")</f>
        <v>Maplink3</v>
      </c>
      <c r="AZ258" s="76"/>
    </row>
    <row r="259" spans="1:52" x14ac:dyDescent="0.25">
      <c r="A259" s="86">
        <v>31715</v>
      </c>
      <c r="B259" s="87" t="s">
        <v>14</v>
      </c>
      <c r="C259" s="87" t="s">
        <v>460</v>
      </c>
      <c r="D259" s="87" t="s">
        <v>539</v>
      </c>
      <c r="E259" s="87" t="s">
        <v>540</v>
      </c>
      <c r="F259" s="87">
        <v>33.309303502900001</v>
      </c>
      <c r="G259" s="87">
        <v>44.141111015900002</v>
      </c>
      <c r="H259" s="86">
        <v>55</v>
      </c>
      <c r="I259" s="86">
        <v>330</v>
      </c>
      <c r="J259" s="87">
        <v>55</v>
      </c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>
        <v>22</v>
      </c>
      <c r="AD259" s="87"/>
      <c r="AE259" s="87"/>
      <c r="AF259" s="87"/>
      <c r="AG259" s="87"/>
      <c r="AH259" s="87">
        <v>25</v>
      </c>
      <c r="AI259" s="87">
        <v>8</v>
      </c>
      <c r="AJ259" s="87"/>
      <c r="AK259" s="87"/>
      <c r="AL259" s="87"/>
      <c r="AM259" s="87"/>
      <c r="AN259" s="87">
        <v>16</v>
      </c>
      <c r="AO259" s="87">
        <v>14</v>
      </c>
      <c r="AP259" s="87"/>
      <c r="AQ259" s="87">
        <v>10</v>
      </c>
      <c r="AR259" s="87"/>
      <c r="AS259" s="87">
        <v>15</v>
      </c>
      <c r="AT259" s="87"/>
      <c r="AU259" s="87"/>
      <c r="AV259" s="87"/>
      <c r="AW259" s="88" t="str">
        <f>HYPERLINK("http://www.openstreetmap.org/?mlat=33.3093&amp;mlon=44.1411&amp;zoom=12#map=12/33.3093/44.1411","Maplink1")</f>
        <v>Maplink1</v>
      </c>
      <c r="AX259" s="88" t="str">
        <f>HYPERLINK("https://www.google.iq/maps/search/+33.3093,44.1411/@33.3093,44.1411,14z?hl=en","Maplink2")</f>
        <v>Maplink2</v>
      </c>
      <c r="AY259" s="88" t="str">
        <f>HYPERLINK("http://www.bing.com/maps/?lvl=14&amp;sty=h&amp;cp=33.3093~44.1411&amp;sp=point.33.3093_44.1411","Maplink3")</f>
        <v>Maplink3</v>
      </c>
      <c r="AZ259" s="76"/>
    </row>
    <row r="260" spans="1:52" x14ac:dyDescent="0.25">
      <c r="A260" s="86">
        <v>31714</v>
      </c>
      <c r="B260" s="87" t="s">
        <v>14</v>
      </c>
      <c r="C260" s="87" t="s">
        <v>460</v>
      </c>
      <c r="D260" s="87" t="s">
        <v>541</v>
      </c>
      <c r="E260" s="87" t="s">
        <v>542</v>
      </c>
      <c r="F260" s="87">
        <v>33.309053006500001</v>
      </c>
      <c r="G260" s="87">
        <v>44.150024809000001</v>
      </c>
      <c r="H260" s="86">
        <v>62</v>
      </c>
      <c r="I260" s="86">
        <v>372</v>
      </c>
      <c r="J260" s="87">
        <v>50</v>
      </c>
      <c r="K260" s="87"/>
      <c r="L260" s="87">
        <v>8</v>
      </c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>
        <v>4</v>
      </c>
      <c r="Y260" s="87"/>
      <c r="Z260" s="87"/>
      <c r="AA260" s="87"/>
      <c r="AB260" s="87"/>
      <c r="AC260" s="87">
        <v>18</v>
      </c>
      <c r="AD260" s="87"/>
      <c r="AE260" s="87">
        <v>20</v>
      </c>
      <c r="AF260" s="87"/>
      <c r="AG260" s="87"/>
      <c r="AH260" s="87">
        <v>19</v>
      </c>
      <c r="AI260" s="87">
        <v>5</v>
      </c>
      <c r="AJ260" s="87"/>
      <c r="AK260" s="87"/>
      <c r="AL260" s="87"/>
      <c r="AM260" s="87"/>
      <c r="AN260" s="87"/>
      <c r="AO260" s="87">
        <v>25</v>
      </c>
      <c r="AP260" s="87"/>
      <c r="AQ260" s="87">
        <v>10</v>
      </c>
      <c r="AR260" s="87">
        <v>17</v>
      </c>
      <c r="AS260" s="87">
        <v>10</v>
      </c>
      <c r="AT260" s="87"/>
      <c r="AU260" s="87"/>
      <c r="AV260" s="87"/>
      <c r="AW260" s="88" t="str">
        <f>HYPERLINK("http://www.openstreetmap.org/?mlat=33.3091&amp;mlon=44.15&amp;zoom=12#map=12/33.3091/44.15","Maplink1")</f>
        <v>Maplink1</v>
      </c>
      <c r="AX260" s="88" t="str">
        <f>HYPERLINK("https://www.google.iq/maps/search/+33.3091,44.15/@33.3091,44.15,14z?hl=en","Maplink2")</f>
        <v>Maplink2</v>
      </c>
      <c r="AY260" s="88" t="str">
        <f>HYPERLINK("http://www.bing.com/maps/?lvl=14&amp;sty=h&amp;cp=33.3091~44.15&amp;sp=point.33.3091_44.15","Maplink3")</f>
        <v>Maplink3</v>
      </c>
      <c r="AZ260" s="76"/>
    </row>
    <row r="261" spans="1:52" x14ac:dyDescent="0.25">
      <c r="A261" s="86">
        <v>24989</v>
      </c>
      <c r="B261" s="87" t="s">
        <v>14</v>
      </c>
      <c r="C261" s="87" t="s">
        <v>543</v>
      </c>
      <c r="D261" s="87" t="s">
        <v>544</v>
      </c>
      <c r="E261" s="87" t="s">
        <v>545</v>
      </c>
      <c r="F261" s="87">
        <v>33.538426507200001</v>
      </c>
      <c r="G261" s="87">
        <v>44.326716903300003</v>
      </c>
      <c r="H261" s="86">
        <v>4</v>
      </c>
      <c r="I261" s="86">
        <v>24</v>
      </c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>
        <v>4</v>
      </c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>
        <v>4</v>
      </c>
      <c r="AI261" s="87"/>
      <c r="AJ261" s="87"/>
      <c r="AK261" s="87"/>
      <c r="AL261" s="87"/>
      <c r="AM261" s="87"/>
      <c r="AN261" s="87"/>
      <c r="AO261" s="87"/>
      <c r="AP261" s="87">
        <v>4</v>
      </c>
      <c r="AQ261" s="87"/>
      <c r="AR261" s="87"/>
      <c r="AS261" s="87"/>
      <c r="AT261" s="87"/>
      <c r="AU261" s="87"/>
      <c r="AV261" s="87"/>
      <c r="AW261" s="88" t="str">
        <f>HYPERLINK("http://www.openstreetmap.org/?mlat=33.5384&amp;mlon=44.3267&amp;zoom=12#map=12/33.5384/44.3267","Maplink1")</f>
        <v>Maplink1</v>
      </c>
      <c r="AX261" s="88" t="str">
        <f>HYPERLINK("https://www.google.iq/maps/search/+33.5384,44.3267/@33.5384,44.3267,14z?hl=en","Maplink2")</f>
        <v>Maplink2</v>
      </c>
      <c r="AY261" s="88" t="str">
        <f>HYPERLINK("http://www.bing.com/maps/?lvl=14&amp;sty=h&amp;cp=33.5384~44.3267&amp;sp=point.33.5384_44.3267","Maplink3")</f>
        <v>Maplink3</v>
      </c>
      <c r="AZ261" s="76"/>
    </row>
    <row r="262" spans="1:52" x14ac:dyDescent="0.25">
      <c r="A262" s="86">
        <v>7717</v>
      </c>
      <c r="B262" s="87" t="s">
        <v>14</v>
      </c>
      <c r="C262" s="87" t="s">
        <v>543</v>
      </c>
      <c r="D262" s="87" t="s">
        <v>546</v>
      </c>
      <c r="E262" s="87" t="s">
        <v>547</v>
      </c>
      <c r="F262" s="87">
        <v>33.368891916400003</v>
      </c>
      <c r="G262" s="87">
        <v>44.3620641746</v>
      </c>
      <c r="H262" s="86">
        <v>17</v>
      </c>
      <c r="I262" s="86">
        <v>102</v>
      </c>
      <c r="J262" s="87">
        <v>7</v>
      </c>
      <c r="K262" s="87"/>
      <c r="L262" s="87"/>
      <c r="M262" s="87"/>
      <c r="N262" s="87"/>
      <c r="O262" s="87">
        <v>2</v>
      </c>
      <c r="P262" s="87"/>
      <c r="Q262" s="87"/>
      <c r="R262" s="87"/>
      <c r="S262" s="87"/>
      <c r="T262" s="87"/>
      <c r="U262" s="87"/>
      <c r="V262" s="87">
        <v>8</v>
      </c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>
        <v>17</v>
      </c>
      <c r="AI262" s="87"/>
      <c r="AJ262" s="87"/>
      <c r="AK262" s="87"/>
      <c r="AL262" s="87"/>
      <c r="AM262" s="87"/>
      <c r="AN262" s="87"/>
      <c r="AO262" s="87">
        <v>3</v>
      </c>
      <c r="AP262" s="87">
        <v>5</v>
      </c>
      <c r="AQ262" s="87">
        <v>2</v>
      </c>
      <c r="AR262" s="87">
        <v>4</v>
      </c>
      <c r="AS262" s="87"/>
      <c r="AT262" s="87">
        <v>3</v>
      </c>
      <c r="AU262" s="87"/>
      <c r="AV262" s="87"/>
      <c r="AW262" s="88" t="str">
        <f>HYPERLINK("http://www.openstreetmap.org/?mlat=33.3689&amp;mlon=44.3621&amp;zoom=12#map=12/33.3689/44.3621","Maplink1")</f>
        <v>Maplink1</v>
      </c>
      <c r="AX262" s="88" t="str">
        <f>HYPERLINK("https://www.google.iq/maps/search/+33.3689,44.3621/@33.3689,44.3621,14z?hl=en","Maplink2")</f>
        <v>Maplink2</v>
      </c>
      <c r="AY262" s="88" t="str">
        <f>HYPERLINK("http://www.bing.com/maps/?lvl=14&amp;sty=h&amp;cp=33.3689~44.3621&amp;sp=point.33.3689_44.3621","Maplink3")</f>
        <v>Maplink3</v>
      </c>
      <c r="AZ262" s="76"/>
    </row>
    <row r="263" spans="1:52" x14ac:dyDescent="0.25">
      <c r="A263" s="86">
        <v>7730</v>
      </c>
      <c r="B263" s="87" t="s">
        <v>14</v>
      </c>
      <c r="C263" s="87" t="s">
        <v>543</v>
      </c>
      <c r="D263" s="87" t="s">
        <v>548</v>
      </c>
      <c r="E263" s="87" t="s">
        <v>549</v>
      </c>
      <c r="F263" s="87">
        <v>33.370267304499997</v>
      </c>
      <c r="G263" s="87">
        <v>44.356091920200001</v>
      </c>
      <c r="H263" s="86">
        <v>76</v>
      </c>
      <c r="I263" s="86">
        <v>456</v>
      </c>
      <c r="J263" s="87">
        <v>48</v>
      </c>
      <c r="K263" s="87"/>
      <c r="L263" s="87"/>
      <c r="M263" s="87"/>
      <c r="N263" s="87"/>
      <c r="O263" s="87">
        <v>5</v>
      </c>
      <c r="P263" s="87"/>
      <c r="Q263" s="87"/>
      <c r="R263" s="87"/>
      <c r="S263" s="87"/>
      <c r="T263" s="87"/>
      <c r="U263" s="87"/>
      <c r="V263" s="87">
        <v>20</v>
      </c>
      <c r="W263" s="87"/>
      <c r="X263" s="87">
        <v>3</v>
      </c>
      <c r="Y263" s="87"/>
      <c r="Z263" s="87"/>
      <c r="AA263" s="87"/>
      <c r="AB263" s="87"/>
      <c r="AC263" s="87">
        <v>25</v>
      </c>
      <c r="AD263" s="87"/>
      <c r="AE263" s="87"/>
      <c r="AF263" s="87"/>
      <c r="AG263" s="87"/>
      <c r="AH263" s="87">
        <v>30</v>
      </c>
      <c r="AI263" s="87">
        <v>6</v>
      </c>
      <c r="AJ263" s="87"/>
      <c r="AK263" s="87"/>
      <c r="AL263" s="87">
        <v>15</v>
      </c>
      <c r="AM263" s="87"/>
      <c r="AN263" s="87">
        <v>10</v>
      </c>
      <c r="AO263" s="87">
        <v>12</v>
      </c>
      <c r="AP263" s="87">
        <v>14</v>
      </c>
      <c r="AQ263" s="87">
        <v>9</v>
      </c>
      <c r="AR263" s="87">
        <v>5</v>
      </c>
      <c r="AS263" s="87">
        <v>10</v>
      </c>
      <c r="AT263" s="87">
        <v>9</v>
      </c>
      <c r="AU263" s="87">
        <v>7</v>
      </c>
      <c r="AV263" s="87"/>
      <c r="AW263" s="88" t="str">
        <f>HYPERLINK("http://www.openstreetmap.org/?mlat=33.3703&amp;mlon=44.3561&amp;zoom=12#map=12/33.3703/44.3561","Maplink1")</f>
        <v>Maplink1</v>
      </c>
      <c r="AX263" s="88" t="str">
        <f>HYPERLINK("https://www.google.iq/maps/search/+33.3703,44.3561/@33.3703,44.3561,14z?hl=en","Maplink2")</f>
        <v>Maplink2</v>
      </c>
      <c r="AY263" s="88" t="str">
        <f>HYPERLINK("http://www.bing.com/maps/?lvl=14&amp;sty=h&amp;cp=33.3703~44.3561&amp;sp=point.33.3703_44.3561","Maplink3")</f>
        <v>Maplink3</v>
      </c>
      <c r="AZ263" s="76"/>
    </row>
    <row r="264" spans="1:52" x14ac:dyDescent="0.25">
      <c r="A264" s="86">
        <v>23646</v>
      </c>
      <c r="B264" s="87" t="s">
        <v>14</v>
      </c>
      <c r="C264" s="87" t="s">
        <v>543</v>
      </c>
      <c r="D264" s="87" t="s">
        <v>550</v>
      </c>
      <c r="E264" s="87" t="s">
        <v>551</v>
      </c>
      <c r="F264" s="87">
        <v>33.372317283199997</v>
      </c>
      <c r="G264" s="87">
        <v>44.364625934899998</v>
      </c>
      <c r="H264" s="86">
        <v>71</v>
      </c>
      <c r="I264" s="86">
        <v>426</v>
      </c>
      <c r="J264" s="87">
        <v>45</v>
      </c>
      <c r="K264" s="87"/>
      <c r="L264" s="87"/>
      <c r="M264" s="87"/>
      <c r="N264" s="87"/>
      <c r="O264" s="87"/>
      <c r="P264" s="87"/>
      <c r="Q264" s="87"/>
      <c r="R264" s="87">
        <v>2</v>
      </c>
      <c r="S264" s="87"/>
      <c r="T264" s="87"/>
      <c r="U264" s="87"/>
      <c r="V264" s="87">
        <v>19</v>
      </c>
      <c r="W264" s="87"/>
      <c r="X264" s="87">
        <v>5</v>
      </c>
      <c r="Y264" s="87"/>
      <c r="Z264" s="87"/>
      <c r="AA264" s="87"/>
      <c r="AB264" s="87"/>
      <c r="AC264" s="87">
        <v>27</v>
      </c>
      <c r="AD264" s="87"/>
      <c r="AE264" s="87"/>
      <c r="AF264" s="87"/>
      <c r="AG264" s="87"/>
      <c r="AH264" s="87">
        <v>25</v>
      </c>
      <c r="AI264" s="87">
        <v>10</v>
      </c>
      <c r="AJ264" s="87"/>
      <c r="AK264" s="87"/>
      <c r="AL264" s="87">
        <v>9</v>
      </c>
      <c r="AM264" s="87"/>
      <c r="AN264" s="87">
        <v>7</v>
      </c>
      <c r="AO264" s="87">
        <v>14</v>
      </c>
      <c r="AP264" s="87">
        <v>12</v>
      </c>
      <c r="AQ264" s="87">
        <v>10</v>
      </c>
      <c r="AR264" s="87">
        <v>19</v>
      </c>
      <c r="AS264" s="87"/>
      <c r="AT264" s="87">
        <v>9</v>
      </c>
      <c r="AU264" s="87"/>
      <c r="AV264" s="87"/>
      <c r="AW264" s="88" t="str">
        <f>HYPERLINK("http://www.openstreetmap.org/?mlat=33.3723&amp;mlon=44.3646&amp;zoom=12#map=12/33.3723/44.3646","Maplink1")</f>
        <v>Maplink1</v>
      </c>
      <c r="AX264" s="88" t="str">
        <f>HYPERLINK("https://www.google.iq/maps/search/+33.3723,44.3646/@33.3723,44.3646,14z?hl=en","Maplink2")</f>
        <v>Maplink2</v>
      </c>
      <c r="AY264" s="88" t="str">
        <f>HYPERLINK("http://www.bing.com/maps/?lvl=14&amp;sty=h&amp;cp=33.3723~44.3646&amp;sp=point.33.3723_44.3646","Maplink3")</f>
        <v>Maplink3</v>
      </c>
      <c r="AZ264" s="76"/>
    </row>
    <row r="265" spans="1:52" x14ac:dyDescent="0.25">
      <c r="A265" s="86">
        <v>23728</v>
      </c>
      <c r="B265" s="87" t="s">
        <v>14</v>
      </c>
      <c r="C265" s="87" t="s">
        <v>543</v>
      </c>
      <c r="D265" s="87" t="s">
        <v>552</v>
      </c>
      <c r="E265" s="87" t="s">
        <v>553</v>
      </c>
      <c r="F265" s="87">
        <v>33.365762450799998</v>
      </c>
      <c r="G265" s="87">
        <v>44.353388476699998</v>
      </c>
      <c r="H265" s="86">
        <v>20</v>
      </c>
      <c r="I265" s="86">
        <v>120</v>
      </c>
      <c r="J265" s="87">
        <v>6</v>
      </c>
      <c r="K265" s="87"/>
      <c r="L265" s="87"/>
      <c r="M265" s="87"/>
      <c r="N265" s="87"/>
      <c r="O265" s="87">
        <v>3</v>
      </c>
      <c r="P265" s="87"/>
      <c r="Q265" s="87"/>
      <c r="R265" s="87"/>
      <c r="S265" s="87"/>
      <c r="T265" s="87"/>
      <c r="U265" s="87"/>
      <c r="V265" s="87">
        <v>8</v>
      </c>
      <c r="W265" s="87"/>
      <c r="X265" s="87">
        <v>3</v>
      </c>
      <c r="Y265" s="87"/>
      <c r="Z265" s="87"/>
      <c r="AA265" s="87"/>
      <c r="AB265" s="87"/>
      <c r="AC265" s="87">
        <v>7</v>
      </c>
      <c r="AD265" s="87"/>
      <c r="AE265" s="87"/>
      <c r="AF265" s="87"/>
      <c r="AG265" s="87"/>
      <c r="AH265" s="87">
        <v>13</v>
      </c>
      <c r="AI265" s="87"/>
      <c r="AJ265" s="87"/>
      <c r="AK265" s="87"/>
      <c r="AL265" s="87"/>
      <c r="AM265" s="87"/>
      <c r="AN265" s="87"/>
      <c r="AO265" s="87">
        <v>4</v>
      </c>
      <c r="AP265" s="87">
        <v>3</v>
      </c>
      <c r="AQ265" s="87">
        <v>3</v>
      </c>
      <c r="AR265" s="87"/>
      <c r="AS265" s="87">
        <v>6</v>
      </c>
      <c r="AT265" s="87">
        <v>4</v>
      </c>
      <c r="AU265" s="87"/>
      <c r="AV265" s="87"/>
      <c r="AW265" s="88" t="str">
        <f>HYPERLINK("http://www.openstreetmap.org/?mlat=33.3658&amp;mlon=44.3534&amp;zoom=12#map=12/33.3658/44.3534","Maplink1")</f>
        <v>Maplink1</v>
      </c>
      <c r="AX265" s="88" t="str">
        <f>HYPERLINK("https://www.google.iq/maps/search/+33.3658,44.3534/@33.3658,44.3534,14z?hl=en","Maplink2")</f>
        <v>Maplink2</v>
      </c>
      <c r="AY265" s="88" t="str">
        <f>HYPERLINK("http://www.bing.com/maps/?lvl=14&amp;sty=h&amp;cp=33.3658~44.3534&amp;sp=point.33.3658_44.3534","Maplink3")</f>
        <v>Maplink3</v>
      </c>
      <c r="AZ265" s="76"/>
    </row>
    <row r="266" spans="1:52" x14ac:dyDescent="0.25">
      <c r="A266" s="86">
        <v>27192</v>
      </c>
      <c r="B266" s="87" t="s">
        <v>14</v>
      </c>
      <c r="C266" s="87" t="s">
        <v>543</v>
      </c>
      <c r="D266" s="87" t="s">
        <v>554</v>
      </c>
      <c r="E266" s="87" t="s">
        <v>555</v>
      </c>
      <c r="F266" s="87">
        <v>33.534835398200002</v>
      </c>
      <c r="G266" s="87">
        <v>44.346077368400003</v>
      </c>
      <c r="H266" s="86">
        <v>2</v>
      </c>
      <c r="I266" s="86">
        <v>12</v>
      </c>
      <c r="J266" s="87">
        <v>2</v>
      </c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>
        <v>2</v>
      </c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>
        <v>2</v>
      </c>
      <c r="AS266" s="87"/>
      <c r="AT266" s="87"/>
      <c r="AU266" s="87"/>
      <c r="AV266" s="87"/>
      <c r="AW266" s="88" t="str">
        <f>HYPERLINK("http://www.openstreetmap.org/?mlat=33.5348&amp;mlon=44.3461&amp;zoom=12#map=12/33.5348/44.3461","Maplink1")</f>
        <v>Maplink1</v>
      </c>
      <c r="AX266" s="88" t="str">
        <f>HYPERLINK("https://www.google.iq/maps/search/+33.5348,44.3461/@33.5348,44.3461,14z?hl=en","Maplink2")</f>
        <v>Maplink2</v>
      </c>
      <c r="AY266" s="88" t="str">
        <f>HYPERLINK("http://www.bing.com/maps/?lvl=14&amp;sty=h&amp;cp=33.5348~44.3461&amp;sp=point.33.5348_44.3461","Maplink3")</f>
        <v>Maplink3</v>
      </c>
      <c r="AZ266" s="76"/>
    </row>
    <row r="267" spans="1:52" x14ac:dyDescent="0.25">
      <c r="A267" s="86">
        <v>24175</v>
      </c>
      <c r="B267" s="87" t="s">
        <v>14</v>
      </c>
      <c r="C267" s="87" t="s">
        <v>543</v>
      </c>
      <c r="D267" s="87" t="s">
        <v>556</v>
      </c>
      <c r="E267" s="87" t="s">
        <v>557</v>
      </c>
      <c r="F267" s="87">
        <v>33.411700058900003</v>
      </c>
      <c r="G267" s="87">
        <v>44.377333142700003</v>
      </c>
      <c r="H267" s="86">
        <v>3</v>
      </c>
      <c r="I267" s="86">
        <v>18</v>
      </c>
      <c r="J267" s="87">
        <v>1</v>
      </c>
      <c r="K267" s="87"/>
      <c r="L267" s="87"/>
      <c r="M267" s="87"/>
      <c r="N267" s="87"/>
      <c r="O267" s="87">
        <v>1</v>
      </c>
      <c r="P267" s="87"/>
      <c r="Q267" s="87"/>
      <c r="R267" s="87"/>
      <c r="S267" s="87"/>
      <c r="T267" s="87"/>
      <c r="U267" s="87"/>
      <c r="V267" s="87">
        <v>1</v>
      </c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>
        <v>2</v>
      </c>
      <c r="AI267" s="87">
        <v>1</v>
      </c>
      <c r="AJ267" s="87"/>
      <c r="AK267" s="87"/>
      <c r="AL267" s="87"/>
      <c r="AM267" s="87"/>
      <c r="AN267" s="87"/>
      <c r="AO267" s="87">
        <v>3</v>
      </c>
      <c r="AP267" s="87"/>
      <c r="AQ267" s="87"/>
      <c r="AR267" s="87"/>
      <c r="AS267" s="87"/>
      <c r="AT267" s="87"/>
      <c r="AU267" s="87"/>
      <c r="AV267" s="87"/>
      <c r="AW267" s="88" t="str">
        <f>HYPERLINK("http://www.openstreetmap.org/?mlat=33.4117&amp;mlon=44.3773&amp;zoom=12#map=12/33.4117/44.3773","Maplink1")</f>
        <v>Maplink1</v>
      </c>
      <c r="AX267" s="88" t="str">
        <f>HYPERLINK("https://www.google.iq/maps/search/+33.4117,44.3773/@33.4117,44.3773,14z?hl=en","Maplink2")</f>
        <v>Maplink2</v>
      </c>
      <c r="AY267" s="88" t="str">
        <f>HYPERLINK("http://www.bing.com/maps/?lvl=14&amp;sty=h&amp;cp=33.4117~44.3773&amp;sp=point.33.4117_44.3773","Maplink3")</f>
        <v>Maplink3</v>
      </c>
      <c r="AZ267" s="76"/>
    </row>
    <row r="268" spans="1:52" x14ac:dyDescent="0.25">
      <c r="A268" s="86">
        <v>22696</v>
      </c>
      <c r="B268" s="87" t="s">
        <v>14</v>
      </c>
      <c r="C268" s="87" t="s">
        <v>543</v>
      </c>
      <c r="D268" s="87" t="s">
        <v>558</v>
      </c>
      <c r="E268" s="87" t="s">
        <v>559</v>
      </c>
      <c r="F268" s="87">
        <v>33.424542299499997</v>
      </c>
      <c r="G268" s="87">
        <v>44.372657787900003</v>
      </c>
      <c r="H268" s="86">
        <v>6</v>
      </c>
      <c r="I268" s="86">
        <v>36</v>
      </c>
      <c r="J268" s="87"/>
      <c r="K268" s="87">
        <v>3</v>
      </c>
      <c r="L268" s="87"/>
      <c r="M268" s="87"/>
      <c r="N268" s="87"/>
      <c r="O268" s="87">
        <v>2</v>
      </c>
      <c r="P268" s="87"/>
      <c r="Q268" s="87"/>
      <c r="R268" s="87"/>
      <c r="S268" s="87"/>
      <c r="T268" s="87"/>
      <c r="U268" s="87"/>
      <c r="V268" s="87">
        <v>1</v>
      </c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>
        <v>6</v>
      </c>
      <c r="AI268" s="87"/>
      <c r="AJ268" s="87"/>
      <c r="AK268" s="87"/>
      <c r="AL268" s="87"/>
      <c r="AM268" s="87"/>
      <c r="AN268" s="87"/>
      <c r="AO268" s="87"/>
      <c r="AP268" s="87">
        <v>3</v>
      </c>
      <c r="AQ268" s="87">
        <v>3</v>
      </c>
      <c r="AR268" s="87"/>
      <c r="AS268" s="87"/>
      <c r="AT268" s="87"/>
      <c r="AU268" s="87"/>
      <c r="AV268" s="87"/>
      <c r="AW268" s="88" t="str">
        <f>HYPERLINK("http://www.openstreetmap.org/?mlat=33.4245&amp;mlon=44.3727&amp;zoom=12#map=12/33.4245/44.3727","Maplink1")</f>
        <v>Maplink1</v>
      </c>
      <c r="AX268" s="88" t="str">
        <f>HYPERLINK("https://www.google.iq/maps/search/+33.4245,44.3727/@33.4245,44.3727,14z?hl=en","Maplink2")</f>
        <v>Maplink2</v>
      </c>
      <c r="AY268" s="88" t="str">
        <f>HYPERLINK("http://www.bing.com/maps/?lvl=14&amp;sty=h&amp;cp=33.4245~44.3727&amp;sp=point.33.4245_44.3727","Maplink3")</f>
        <v>Maplink3</v>
      </c>
      <c r="AZ268" s="76"/>
    </row>
    <row r="269" spans="1:52" x14ac:dyDescent="0.25">
      <c r="A269" s="86">
        <v>24173</v>
      </c>
      <c r="B269" s="87" t="s">
        <v>14</v>
      </c>
      <c r="C269" s="87" t="s">
        <v>543</v>
      </c>
      <c r="D269" s="87" t="s">
        <v>560</v>
      </c>
      <c r="E269" s="87" t="s">
        <v>561</v>
      </c>
      <c r="F269" s="87">
        <v>33.4423206373</v>
      </c>
      <c r="G269" s="87">
        <v>44.375033699200003</v>
      </c>
      <c r="H269" s="86">
        <v>6</v>
      </c>
      <c r="I269" s="86">
        <v>36</v>
      </c>
      <c r="J269" s="87">
        <v>3</v>
      </c>
      <c r="K269" s="87">
        <v>1</v>
      </c>
      <c r="L269" s="87"/>
      <c r="M269" s="87"/>
      <c r="N269" s="87"/>
      <c r="O269" s="87">
        <v>1</v>
      </c>
      <c r="P269" s="87"/>
      <c r="Q269" s="87"/>
      <c r="R269" s="87"/>
      <c r="S269" s="87"/>
      <c r="T269" s="87"/>
      <c r="U269" s="87"/>
      <c r="V269" s="87">
        <v>1</v>
      </c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>
        <v>6</v>
      </c>
      <c r="AI269" s="87"/>
      <c r="AJ269" s="87"/>
      <c r="AK269" s="87"/>
      <c r="AL269" s="87"/>
      <c r="AM269" s="87"/>
      <c r="AN269" s="87"/>
      <c r="AO269" s="87">
        <v>1</v>
      </c>
      <c r="AP269" s="87">
        <v>1</v>
      </c>
      <c r="AQ269" s="87">
        <v>1</v>
      </c>
      <c r="AR269" s="87"/>
      <c r="AS269" s="87">
        <v>3</v>
      </c>
      <c r="AT269" s="87"/>
      <c r="AU269" s="87"/>
      <c r="AV269" s="87"/>
      <c r="AW269" s="88" t="str">
        <f>HYPERLINK("http://www.openstreetmap.org/?mlat=33.4423&amp;mlon=44.375&amp;zoom=12#map=12/33.4423/44.375","Maplink1")</f>
        <v>Maplink1</v>
      </c>
      <c r="AX269" s="88" t="str">
        <f>HYPERLINK("https://www.google.iq/maps/search/+33.4423,44.375/@33.4423,44.375,14z?hl=en","Maplink2")</f>
        <v>Maplink2</v>
      </c>
      <c r="AY269" s="88" t="str">
        <f>HYPERLINK("http://www.bing.com/maps/?lvl=14&amp;sty=h&amp;cp=33.4423~44.375&amp;sp=point.33.4423_44.375","Maplink3")</f>
        <v>Maplink3</v>
      </c>
      <c r="AZ269" s="76"/>
    </row>
    <row r="270" spans="1:52" x14ac:dyDescent="0.25">
      <c r="A270" s="86">
        <v>23732</v>
      </c>
      <c r="B270" s="87" t="s">
        <v>14</v>
      </c>
      <c r="C270" s="87" t="s">
        <v>543</v>
      </c>
      <c r="D270" s="87" t="s">
        <v>562</v>
      </c>
      <c r="E270" s="87" t="s">
        <v>563</v>
      </c>
      <c r="F270" s="87">
        <v>33.395468529299997</v>
      </c>
      <c r="G270" s="87">
        <v>44.392316858999997</v>
      </c>
      <c r="H270" s="86">
        <v>5</v>
      </c>
      <c r="I270" s="86">
        <v>30</v>
      </c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>
        <v>5</v>
      </c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>
        <v>4</v>
      </c>
      <c r="AI270" s="87"/>
      <c r="AJ270" s="87"/>
      <c r="AK270" s="87"/>
      <c r="AL270" s="87">
        <v>1</v>
      </c>
      <c r="AM270" s="87"/>
      <c r="AN270" s="87"/>
      <c r="AO270" s="87">
        <v>2</v>
      </c>
      <c r="AP270" s="87">
        <v>3</v>
      </c>
      <c r="AQ270" s="87"/>
      <c r="AR270" s="87"/>
      <c r="AS270" s="87"/>
      <c r="AT270" s="87"/>
      <c r="AU270" s="87"/>
      <c r="AV270" s="87"/>
      <c r="AW270" s="88" t="str">
        <f>HYPERLINK("http://www.openstreetmap.org/?mlat=33.3955&amp;mlon=44.3923&amp;zoom=12#map=12/33.3955/44.3923","Maplink1")</f>
        <v>Maplink1</v>
      </c>
      <c r="AX270" s="88" t="str">
        <f>HYPERLINK("https://www.google.iq/maps/search/+33.3955,44.3923/@33.3955,44.3923,14z?hl=en","Maplink2")</f>
        <v>Maplink2</v>
      </c>
      <c r="AY270" s="88" t="str">
        <f>HYPERLINK("http://www.bing.com/maps/?lvl=14&amp;sty=h&amp;cp=33.3955~44.3923&amp;sp=point.33.3955_44.3923","Maplink3")</f>
        <v>Maplink3</v>
      </c>
      <c r="AZ270" s="76"/>
    </row>
    <row r="271" spans="1:52" x14ac:dyDescent="0.25">
      <c r="A271" s="86">
        <v>24030</v>
      </c>
      <c r="B271" s="87" t="s">
        <v>14</v>
      </c>
      <c r="C271" s="87" t="s">
        <v>543</v>
      </c>
      <c r="D271" s="87" t="s">
        <v>564</v>
      </c>
      <c r="E271" s="87" t="s">
        <v>565</v>
      </c>
      <c r="F271" s="87">
        <v>33.387496468899997</v>
      </c>
      <c r="G271" s="87">
        <v>44.404972649100003</v>
      </c>
      <c r="H271" s="86">
        <v>3</v>
      </c>
      <c r="I271" s="86">
        <v>18</v>
      </c>
      <c r="J271" s="87">
        <v>1</v>
      </c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>
        <v>2</v>
      </c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>
        <v>3</v>
      </c>
      <c r="AI271" s="87"/>
      <c r="AJ271" s="87"/>
      <c r="AK271" s="87"/>
      <c r="AL271" s="87"/>
      <c r="AM271" s="87"/>
      <c r="AN271" s="87"/>
      <c r="AO271" s="87"/>
      <c r="AP271" s="87">
        <v>3</v>
      </c>
      <c r="AQ271" s="87"/>
      <c r="AR271" s="87"/>
      <c r="AS271" s="87"/>
      <c r="AT271" s="87"/>
      <c r="AU271" s="87"/>
      <c r="AV271" s="87"/>
      <c r="AW271" s="88" t="str">
        <f>HYPERLINK("http://www.openstreetmap.org/?mlat=33.3875&amp;mlon=44.405&amp;zoom=12#map=12/33.3875/44.405","Maplink1")</f>
        <v>Maplink1</v>
      </c>
      <c r="AX271" s="88" t="str">
        <f>HYPERLINK("https://www.google.iq/maps/search/+33.3875,44.405/@33.3875,44.405,14z?hl=en","Maplink2")</f>
        <v>Maplink2</v>
      </c>
      <c r="AY271" s="88" t="str">
        <f>HYPERLINK("http://www.bing.com/maps/?lvl=14&amp;sty=h&amp;cp=33.3875~44.405&amp;sp=point.33.3875_44.405","Maplink3")</f>
        <v>Maplink3</v>
      </c>
      <c r="AZ271" s="76"/>
    </row>
    <row r="272" spans="1:52" x14ac:dyDescent="0.25">
      <c r="A272" s="86">
        <v>21171</v>
      </c>
      <c r="B272" s="87" t="s">
        <v>14</v>
      </c>
      <c r="C272" s="87" t="s">
        <v>543</v>
      </c>
      <c r="D272" s="87" t="s">
        <v>566</v>
      </c>
      <c r="E272" s="87" t="s">
        <v>567</v>
      </c>
      <c r="F272" s="87">
        <v>33.530445366000002</v>
      </c>
      <c r="G272" s="87">
        <v>44.305656296899997</v>
      </c>
      <c r="H272" s="86">
        <v>2</v>
      </c>
      <c r="I272" s="86">
        <v>12</v>
      </c>
      <c r="J272" s="87"/>
      <c r="K272" s="87"/>
      <c r="L272" s="87"/>
      <c r="M272" s="87"/>
      <c r="N272" s="87"/>
      <c r="O272" s="87">
        <v>2</v>
      </c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>
        <v>2</v>
      </c>
      <c r="AI272" s="87"/>
      <c r="AJ272" s="87"/>
      <c r="AK272" s="87"/>
      <c r="AL272" s="87"/>
      <c r="AM272" s="87"/>
      <c r="AN272" s="87"/>
      <c r="AO272" s="87"/>
      <c r="AP272" s="87"/>
      <c r="AQ272" s="87">
        <v>2</v>
      </c>
      <c r="AR272" s="87"/>
      <c r="AS272" s="87"/>
      <c r="AT272" s="87"/>
      <c r="AU272" s="87"/>
      <c r="AV272" s="87"/>
      <c r="AW272" s="88" t="str">
        <f>HYPERLINK("http://www.openstreetmap.org/?mlat=33.5304&amp;mlon=44.3057&amp;zoom=12#map=12/33.5304/44.3057","Maplink1")</f>
        <v>Maplink1</v>
      </c>
      <c r="AX272" s="88" t="str">
        <f>HYPERLINK("https://www.google.iq/maps/search/+33.5304,44.3057/@33.5304,44.3057,14z?hl=en","Maplink2")</f>
        <v>Maplink2</v>
      </c>
      <c r="AY272" s="88" t="str">
        <f>HYPERLINK("http://www.bing.com/maps/?lvl=14&amp;sty=h&amp;cp=33.5304~44.3057&amp;sp=point.33.5304_44.3057","Maplink3")</f>
        <v>Maplink3</v>
      </c>
      <c r="AZ272" s="76"/>
    </row>
    <row r="273" spans="1:52" x14ac:dyDescent="0.25">
      <c r="A273" s="86">
        <v>24991</v>
      </c>
      <c r="B273" s="87" t="s">
        <v>14</v>
      </c>
      <c r="C273" s="87" t="s">
        <v>543</v>
      </c>
      <c r="D273" s="87" t="s">
        <v>568</v>
      </c>
      <c r="E273" s="87" t="s">
        <v>569</v>
      </c>
      <c r="F273" s="87">
        <v>33.453914861500003</v>
      </c>
      <c r="G273" s="87">
        <v>44.336306756699997</v>
      </c>
      <c r="H273" s="86">
        <v>4</v>
      </c>
      <c r="I273" s="86">
        <v>24</v>
      </c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>
        <v>4</v>
      </c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>
        <v>4</v>
      </c>
      <c r="AI273" s="87"/>
      <c r="AJ273" s="87"/>
      <c r="AK273" s="87"/>
      <c r="AL273" s="87"/>
      <c r="AM273" s="87"/>
      <c r="AN273" s="87"/>
      <c r="AO273" s="87">
        <v>4</v>
      </c>
      <c r="AP273" s="87"/>
      <c r="AQ273" s="87"/>
      <c r="AR273" s="87"/>
      <c r="AS273" s="87"/>
      <c r="AT273" s="87"/>
      <c r="AU273" s="87"/>
      <c r="AV273" s="87"/>
      <c r="AW273" s="88" t="str">
        <f>HYPERLINK("http://www.openstreetmap.org/?mlat=33.4539&amp;mlon=44.3363&amp;zoom=12#map=12/33.4539/44.3363","Maplink1")</f>
        <v>Maplink1</v>
      </c>
      <c r="AX273" s="88" t="str">
        <f>HYPERLINK("https://www.google.iq/maps/search/+33.4539,44.3363/@33.4539,44.3363,14z?hl=en","Maplink2")</f>
        <v>Maplink2</v>
      </c>
      <c r="AY273" s="88" t="str">
        <f>HYPERLINK("http://www.bing.com/maps/?lvl=14&amp;sty=h&amp;cp=33.4539~44.3363&amp;sp=point.33.4539_44.3363","Maplink3")</f>
        <v>Maplink3</v>
      </c>
      <c r="AZ273" s="76"/>
    </row>
    <row r="274" spans="1:52" x14ac:dyDescent="0.25">
      <c r="A274" s="86">
        <v>22004</v>
      </c>
      <c r="B274" s="87" t="s">
        <v>14</v>
      </c>
      <c r="C274" s="87" t="s">
        <v>543</v>
      </c>
      <c r="D274" s="87" t="s">
        <v>570</v>
      </c>
      <c r="E274" s="87" t="s">
        <v>571</v>
      </c>
      <c r="F274" s="87">
        <v>33.553862878399997</v>
      </c>
      <c r="G274" s="87">
        <v>44.3954526554</v>
      </c>
      <c r="H274" s="86">
        <v>5</v>
      </c>
      <c r="I274" s="86">
        <v>30</v>
      </c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>
        <v>1</v>
      </c>
      <c r="W274" s="87"/>
      <c r="X274" s="87">
        <v>4</v>
      </c>
      <c r="Y274" s="87"/>
      <c r="Z274" s="87"/>
      <c r="AA274" s="87"/>
      <c r="AB274" s="87"/>
      <c r="AC274" s="87"/>
      <c r="AD274" s="87"/>
      <c r="AE274" s="87"/>
      <c r="AF274" s="87"/>
      <c r="AG274" s="87"/>
      <c r="AH274" s="87">
        <v>5</v>
      </c>
      <c r="AI274" s="87"/>
      <c r="AJ274" s="87"/>
      <c r="AK274" s="87"/>
      <c r="AL274" s="87"/>
      <c r="AM274" s="87"/>
      <c r="AN274" s="87"/>
      <c r="AO274" s="87"/>
      <c r="AP274" s="87">
        <v>1</v>
      </c>
      <c r="AQ274" s="87">
        <v>4</v>
      </c>
      <c r="AR274" s="87"/>
      <c r="AS274" s="87"/>
      <c r="AT274" s="87"/>
      <c r="AU274" s="87"/>
      <c r="AV274" s="87"/>
      <c r="AW274" s="88" t="str">
        <f>HYPERLINK("http://www.openstreetmap.org/?mlat=33.5539&amp;mlon=44.3955&amp;zoom=12#map=12/33.5539/44.3955","Maplink1")</f>
        <v>Maplink1</v>
      </c>
      <c r="AX274" s="88" t="str">
        <f>HYPERLINK("https://www.google.iq/maps/search/+33.5539,44.3955/@33.5539,44.3955,14z?hl=en","Maplink2")</f>
        <v>Maplink2</v>
      </c>
      <c r="AY274" s="88" t="str">
        <f>HYPERLINK("http://www.bing.com/maps/?lvl=14&amp;sty=h&amp;cp=33.5539~44.3955&amp;sp=point.33.5539_44.3955","Maplink3")</f>
        <v>Maplink3</v>
      </c>
      <c r="AZ274" s="76"/>
    </row>
    <row r="275" spans="1:52" x14ac:dyDescent="0.25">
      <c r="A275" s="86">
        <v>22005</v>
      </c>
      <c r="B275" s="87" t="s">
        <v>14</v>
      </c>
      <c r="C275" s="87" t="s">
        <v>543</v>
      </c>
      <c r="D275" s="87" t="s">
        <v>572</v>
      </c>
      <c r="E275" s="87" t="s">
        <v>573</v>
      </c>
      <c r="F275" s="87">
        <v>33.545127182900004</v>
      </c>
      <c r="G275" s="87">
        <v>44.390142752700001</v>
      </c>
      <c r="H275" s="86">
        <v>8</v>
      </c>
      <c r="I275" s="86">
        <v>48</v>
      </c>
      <c r="J275" s="87"/>
      <c r="K275" s="87"/>
      <c r="L275" s="87"/>
      <c r="M275" s="87"/>
      <c r="N275" s="87"/>
      <c r="O275" s="87">
        <v>2</v>
      </c>
      <c r="P275" s="87"/>
      <c r="Q275" s="87"/>
      <c r="R275" s="87"/>
      <c r="S275" s="87"/>
      <c r="T275" s="87"/>
      <c r="U275" s="87"/>
      <c r="V275" s="87">
        <v>6</v>
      </c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>
        <v>8</v>
      </c>
      <c r="AI275" s="87"/>
      <c r="AJ275" s="87"/>
      <c r="AK275" s="87"/>
      <c r="AL275" s="87"/>
      <c r="AM275" s="87"/>
      <c r="AN275" s="87"/>
      <c r="AO275" s="87">
        <v>2</v>
      </c>
      <c r="AP275" s="87">
        <v>6</v>
      </c>
      <c r="AQ275" s="87"/>
      <c r="AR275" s="87"/>
      <c r="AS275" s="87"/>
      <c r="AT275" s="87"/>
      <c r="AU275" s="87"/>
      <c r="AV275" s="87"/>
      <c r="AW275" s="88" t="str">
        <f>HYPERLINK("http://www.openstreetmap.org/?mlat=33.5451&amp;mlon=44.3901&amp;zoom=12#map=12/33.5451/44.3901","Maplink1")</f>
        <v>Maplink1</v>
      </c>
      <c r="AX275" s="88" t="str">
        <f>HYPERLINK("https://www.google.iq/maps/search/+33.5451,44.3901/@33.5451,44.3901,14z?hl=en","Maplink2")</f>
        <v>Maplink2</v>
      </c>
      <c r="AY275" s="88" t="str">
        <f>HYPERLINK("http://www.bing.com/maps/?lvl=14&amp;sty=h&amp;cp=33.5451~44.3901&amp;sp=point.33.5451_44.3901","Maplink3")</f>
        <v>Maplink3</v>
      </c>
      <c r="AZ275" s="76"/>
    </row>
    <row r="276" spans="1:52" x14ac:dyDescent="0.25">
      <c r="A276" s="86">
        <v>22032</v>
      </c>
      <c r="B276" s="87" t="s">
        <v>14</v>
      </c>
      <c r="C276" s="87" t="s">
        <v>543</v>
      </c>
      <c r="D276" s="87" t="s">
        <v>574</v>
      </c>
      <c r="E276" s="87" t="s">
        <v>575</v>
      </c>
      <c r="F276" s="87">
        <v>33.541121589399999</v>
      </c>
      <c r="G276" s="87">
        <v>44.422160288500002</v>
      </c>
      <c r="H276" s="86">
        <v>4</v>
      </c>
      <c r="I276" s="86">
        <v>24</v>
      </c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>
        <v>2</v>
      </c>
      <c r="W276" s="87"/>
      <c r="X276" s="87">
        <v>2</v>
      </c>
      <c r="Y276" s="87"/>
      <c r="Z276" s="87"/>
      <c r="AA276" s="87"/>
      <c r="AB276" s="87"/>
      <c r="AC276" s="87"/>
      <c r="AD276" s="87"/>
      <c r="AE276" s="87"/>
      <c r="AF276" s="87"/>
      <c r="AG276" s="87"/>
      <c r="AH276" s="87">
        <v>4</v>
      </c>
      <c r="AI276" s="87"/>
      <c r="AJ276" s="87"/>
      <c r="AK276" s="87"/>
      <c r="AL276" s="87"/>
      <c r="AM276" s="87"/>
      <c r="AN276" s="87"/>
      <c r="AO276" s="87">
        <v>2</v>
      </c>
      <c r="AP276" s="87"/>
      <c r="AQ276" s="87">
        <v>2</v>
      </c>
      <c r="AR276" s="87"/>
      <c r="AS276" s="87"/>
      <c r="AT276" s="87"/>
      <c r="AU276" s="87"/>
      <c r="AV276" s="87"/>
      <c r="AW276" s="88" t="str">
        <f>HYPERLINK("http://www.openstreetmap.org/?mlat=33.5411&amp;mlon=44.4222&amp;zoom=12#map=12/33.5411/44.4222","Maplink1")</f>
        <v>Maplink1</v>
      </c>
      <c r="AX276" s="88" t="str">
        <f>HYPERLINK("https://www.google.iq/maps/search/+33.5411,44.4222/@33.5411,44.4222,14z?hl=en","Maplink2")</f>
        <v>Maplink2</v>
      </c>
      <c r="AY276" s="88" t="str">
        <f>HYPERLINK("http://www.bing.com/maps/?lvl=14&amp;sty=h&amp;cp=33.5411~44.4222&amp;sp=point.33.5411_44.4222","Maplink3")</f>
        <v>Maplink3</v>
      </c>
      <c r="AZ276" s="76"/>
    </row>
    <row r="277" spans="1:52" x14ac:dyDescent="0.25">
      <c r="A277" s="86">
        <v>22252</v>
      </c>
      <c r="B277" s="87" t="s">
        <v>14</v>
      </c>
      <c r="C277" s="87" t="s">
        <v>543</v>
      </c>
      <c r="D277" s="87" t="s">
        <v>576</v>
      </c>
      <c r="E277" s="87" t="s">
        <v>577</v>
      </c>
      <c r="F277" s="87">
        <v>33.545343447299999</v>
      </c>
      <c r="G277" s="87">
        <v>44.404812674399999</v>
      </c>
      <c r="H277" s="86">
        <v>4</v>
      </c>
      <c r="I277" s="86">
        <v>24</v>
      </c>
      <c r="J277" s="87"/>
      <c r="K277" s="87"/>
      <c r="L277" s="87"/>
      <c r="M277" s="87"/>
      <c r="N277" s="87"/>
      <c r="O277" s="87">
        <v>1</v>
      </c>
      <c r="P277" s="87"/>
      <c r="Q277" s="87"/>
      <c r="R277" s="87"/>
      <c r="S277" s="87"/>
      <c r="T277" s="87"/>
      <c r="U277" s="87"/>
      <c r="V277" s="87">
        <v>1</v>
      </c>
      <c r="W277" s="87"/>
      <c r="X277" s="87">
        <v>2</v>
      </c>
      <c r="Y277" s="87"/>
      <c r="Z277" s="87"/>
      <c r="AA277" s="87"/>
      <c r="AB277" s="87"/>
      <c r="AC277" s="87"/>
      <c r="AD277" s="87"/>
      <c r="AE277" s="87"/>
      <c r="AF277" s="87"/>
      <c r="AG277" s="87"/>
      <c r="AH277" s="87">
        <v>4</v>
      </c>
      <c r="AI277" s="87"/>
      <c r="AJ277" s="87"/>
      <c r="AK277" s="87"/>
      <c r="AL277" s="87"/>
      <c r="AM277" s="87"/>
      <c r="AN277" s="87"/>
      <c r="AO277" s="87">
        <v>1</v>
      </c>
      <c r="AP277" s="87"/>
      <c r="AQ277" s="87">
        <v>3</v>
      </c>
      <c r="AR277" s="87"/>
      <c r="AS277" s="87"/>
      <c r="AT277" s="87"/>
      <c r="AU277" s="87"/>
      <c r="AV277" s="87"/>
      <c r="AW277" s="88" t="str">
        <f>HYPERLINK("http://www.openstreetmap.org/?mlat=33.5453&amp;mlon=44.4048&amp;zoom=12#map=12/33.5453/44.4048","Maplink1")</f>
        <v>Maplink1</v>
      </c>
      <c r="AX277" s="88" t="str">
        <f>HYPERLINK("https://www.google.iq/maps/search/+33.5453,44.4048/@33.5453,44.4048,14z?hl=en","Maplink2")</f>
        <v>Maplink2</v>
      </c>
      <c r="AY277" s="88" t="str">
        <f>HYPERLINK("http://www.bing.com/maps/?lvl=14&amp;sty=h&amp;cp=33.5453~44.4048&amp;sp=point.33.5453_44.4048","Maplink3")</f>
        <v>Maplink3</v>
      </c>
      <c r="AZ277" s="76"/>
    </row>
    <row r="278" spans="1:52" x14ac:dyDescent="0.25">
      <c r="A278" s="86">
        <v>21907</v>
      </c>
      <c r="B278" s="87" t="s">
        <v>14</v>
      </c>
      <c r="C278" s="87" t="s">
        <v>543</v>
      </c>
      <c r="D278" s="87" t="s">
        <v>578</v>
      </c>
      <c r="E278" s="87" t="s">
        <v>579</v>
      </c>
      <c r="F278" s="87">
        <v>33.549402245000003</v>
      </c>
      <c r="G278" s="87">
        <v>44.408951143199999</v>
      </c>
      <c r="H278" s="86">
        <v>3</v>
      </c>
      <c r="I278" s="86">
        <v>18</v>
      </c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>
        <v>1</v>
      </c>
      <c r="W278" s="87"/>
      <c r="X278" s="87">
        <v>2</v>
      </c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>
        <v>3</v>
      </c>
      <c r="AJ278" s="87"/>
      <c r="AK278" s="87"/>
      <c r="AL278" s="87"/>
      <c r="AM278" s="87"/>
      <c r="AN278" s="87"/>
      <c r="AO278" s="87">
        <v>1</v>
      </c>
      <c r="AP278" s="87"/>
      <c r="AQ278" s="87">
        <v>2</v>
      </c>
      <c r="AR278" s="87"/>
      <c r="AS278" s="87"/>
      <c r="AT278" s="87"/>
      <c r="AU278" s="87"/>
      <c r="AV278" s="87"/>
      <c r="AW278" s="88" t="str">
        <f>HYPERLINK("http://www.openstreetmap.org/?mlat=33.5494&amp;mlon=44.409&amp;zoom=12#map=12/33.5494/44.409","Maplink1")</f>
        <v>Maplink1</v>
      </c>
      <c r="AX278" s="88" t="str">
        <f>HYPERLINK("https://www.google.iq/maps/search/+33.5494,44.409/@33.5494,44.409,14z?hl=en","Maplink2")</f>
        <v>Maplink2</v>
      </c>
      <c r="AY278" s="88" t="str">
        <f>HYPERLINK("http://www.bing.com/maps/?lvl=14&amp;sty=h&amp;cp=33.5494~44.409&amp;sp=point.33.5494_44.409","Maplink3")</f>
        <v>Maplink3</v>
      </c>
      <c r="AZ278" s="76"/>
    </row>
    <row r="279" spans="1:52" x14ac:dyDescent="0.25">
      <c r="A279" s="86">
        <v>22698</v>
      </c>
      <c r="B279" s="87" t="s">
        <v>14</v>
      </c>
      <c r="C279" s="87" t="s">
        <v>543</v>
      </c>
      <c r="D279" s="87" t="s">
        <v>580</v>
      </c>
      <c r="E279" s="87" t="s">
        <v>581</v>
      </c>
      <c r="F279" s="87">
        <v>33.554644404599998</v>
      </c>
      <c r="G279" s="87">
        <v>44.4063590421</v>
      </c>
      <c r="H279" s="86">
        <v>3</v>
      </c>
      <c r="I279" s="86">
        <v>18</v>
      </c>
      <c r="J279" s="87">
        <v>2</v>
      </c>
      <c r="K279" s="87"/>
      <c r="L279" s="87"/>
      <c r="M279" s="87"/>
      <c r="N279" s="87"/>
      <c r="O279" s="87">
        <v>1</v>
      </c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>
        <v>3</v>
      </c>
      <c r="AI279" s="87"/>
      <c r="AJ279" s="87"/>
      <c r="AK279" s="87"/>
      <c r="AL279" s="87"/>
      <c r="AM279" s="87"/>
      <c r="AN279" s="87"/>
      <c r="AO279" s="87">
        <v>1</v>
      </c>
      <c r="AP279" s="87"/>
      <c r="AQ279" s="87"/>
      <c r="AR279" s="87">
        <v>2</v>
      </c>
      <c r="AS279" s="87"/>
      <c r="AT279" s="87"/>
      <c r="AU279" s="87"/>
      <c r="AV279" s="87"/>
      <c r="AW279" s="88" t="str">
        <f>HYPERLINK("http://www.openstreetmap.org/?mlat=33.5546&amp;mlon=44.4064&amp;zoom=12#map=12/33.5546/44.4064","Maplink1")</f>
        <v>Maplink1</v>
      </c>
      <c r="AX279" s="88" t="str">
        <f>HYPERLINK("https://www.google.iq/maps/search/+33.5546,44.4064/@33.5546,44.4064,14z?hl=en","Maplink2")</f>
        <v>Maplink2</v>
      </c>
      <c r="AY279" s="88" t="str">
        <f>HYPERLINK("http://www.bing.com/maps/?lvl=14&amp;sty=h&amp;cp=33.5546~44.4064&amp;sp=point.33.5546_44.4064","Maplink3")</f>
        <v>Maplink3</v>
      </c>
      <c r="AZ279" s="76"/>
    </row>
    <row r="280" spans="1:52" x14ac:dyDescent="0.25">
      <c r="A280" s="86">
        <v>22380</v>
      </c>
      <c r="B280" s="87" t="s">
        <v>14</v>
      </c>
      <c r="C280" s="87" t="s">
        <v>543</v>
      </c>
      <c r="D280" s="87" t="s">
        <v>582</v>
      </c>
      <c r="E280" s="87" t="s">
        <v>583</v>
      </c>
      <c r="F280" s="87">
        <v>33.5526130358</v>
      </c>
      <c r="G280" s="87">
        <v>44.422398608199998</v>
      </c>
      <c r="H280" s="86">
        <v>2</v>
      </c>
      <c r="I280" s="86">
        <v>12</v>
      </c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>
        <v>2</v>
      </c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>
        <v>2</v>
      </c>
      <c r="AI280" s="87"/>
      <c r="AJ280" s="87"/>
      <c r="AK280" s="87"/>
      <c r="AL280" s="87"/>
      <c r="AM280" s="87"/>
      <c r="AN280" s="87"/>
      <c r="AO280" s="87">
        <v>2</v>
      </c>
      <c r="AP280" s="87"/>
      <c r="AQ280" s="87"/>
      <c r="AR280" s="87"/>
      <c r="AS280" s="87"/>
      <c r="AT280" s="87"/>
      <c r="AU280" s="87"/>
      <c r="AV280" s="87"/>
      <c r="AW280" s="88" t="str">
        <f>HYPERLINK("http://www.openstreetmap.org/?mlat=33.5526&amp;mlon=44.4224&amp;zoom=12#map=12/33.5526/44.4224","Maplink1")</f>
        <v>Maplink1</v>
      </c>
      <c r="AX280" s="88" t="str">
        <f>HYPERLINK("https://www.google.iq/maps/search/+33.5526,44.4224/@33.5526,44.4224,14z?hl=en","Maplink2")</f>
        <v>Maplink2</v>
      </c>
      <c r="AY280" s="88" t="str">
        <f>HYPERLINK("http://www.bing.com/maps/?lvl=14&amp;sty=h&amp;cp=33.5526~44.4224&amp;sp=point.33.5526_44.4224","Maplink3")</f>
        <v>Maplink3</v>
      </c>
      <c r="AZ280" s="76"/>
    </row>
    <row r="281" spans="1:52" x14ac:dyDescent="0.25">
      <c r="A281" s="86">
        <v>22699</v>
      </c>
      <c r="B281" s="87" t="s">
        <v>14</v>
      </c>
      <c r="C281" s="87" t="s">
        <v>543</v>
      </c>
      <c r="D281" s="87" t="s">
        <v>584</v>
      </c>
      <c r="E281" s="87" t="s">
        <v>585</v>
      </c>
      <c r="F281" s="87">
        <v>33.5459316898</v>
      </c>
      <c r="G281" s="87">
        <v>44.393882110299998</v>
      </c>
      <c r="H281" s="86">
        <v>3</v>
      </c>
      <c r="I281" s="86">
        <v>18</v>
      </c>
      <c r="J281" s="87">
        <v>1</v>
      </c>
      <c r="K281" s="87"/>
      <c r="L281" s="87"/>
      <c r="M281" s="87"/>
      <c r="N281" s="87"/>
      <c r="O281" s="87"/>
      <c r="P281" s="87"/>
      <c r="Q281" s="87"/>
      <c r="R281" s="87">
        <v>1</v>
      </c>
      <c r="S281" s="87"/>
      <c r="T281" s="87"/>
      <c r="U281" s="87"/>
      <c r="V281" s="87">
        <v>1</v>
      </c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>
        <v>3</v>
      </c>
      <c r="AI281" s="87"/>
      <c r="AJ281" s="87"/>
      <c r="AK281" s="87"/>
      <c r="AL281" s="87"/>
      <c r="AM281" s="87"/>
      <c r="AN281" s="87">
        <v>1</v>
      </c>
      <c r="AO281" s="87"/>
      <c r="AP281" s="87">
        <v>1</v>
      </c>
      <c r="AQ281" s="87">
        <v>1</v>
      </c>
      <c r="AR281" s="87"/>
      <c r="AS281" s="87"/>
      <c r="AT281" s="87"/>
      <c r="AU281" s="87"/>
      <c r="AV281" s="87"/>
      <c r="AW281" s="88" t="str">
        <f>HYPERLINK("http://www.openstreetmap.org/?mlat=33.5459&amp;mlon=44.3939&amp;zoom=12#map=12/33.5459/44.3939","Maplink1")</f>
        <v>Maplink1</v>
      </c>
      <c r="AX281" s="88" t="str">
        <f>HYPERLINK("https://www.google.iq/maps/search/+33.5459,44.3939/@33.5459,44.3939,14z?hl=en","Maplink2")</f>
        <v>Maplink2</v>
      </c>
      <c r="AY281" s="88" t="str">
        <f>HYPERLINK("http://www.bing.com/maps/?lvl=14&amp;sty=h&amp;cp=33.5459~44.3939&amp;sp=point.33.5459_44.3939","Maplink3")</f>
        <v>Maplink3</v>
      </c>
      <c r="AZ281" s="76"/>
    </row>
    <row r="282" spans="1:52" x14ac:dyDescent="0.25">
      <c r="A282" s="86">
        <v>22381</v>
      </c>
      <c r="B282" s="87" t="s">
        <v>14</v>
      </c>
      <c r="C282" s="87" t="s">
        <v>543</v>
      </c>
      <c r="D282" s="87" t="s">
        <v>586</v>
      </c>
      <c r="E282" s="87" t="s">
        <v>587</v>
      </c>
      <c r="F282" s="87">
        <v>33.547759344500001</v>
      </c>
      <c r="G282" s="87">
        <v>44.393471429900003</v>
      </c>
      <c r="H282" s="86">
        <v>3</v>
      </c>
      <c r="I282" s="86">
        <v>18</v>
      </c>
      <c r="J282" s="87">
        <v>1</v>
      </c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>
        <v>1</v>
      </c>
      <c r="W282" s="87"/>
      <c r="X282" s="87">
        <v>1</v>
      </c>
      <c r="Y282" s="87"/>
      <c r="Z282" s="87"/>
      <c r="AA282" s="87"/>
      <c r="AB282" s="87"/>
      <c r="AC282" s="87"/>
      <c r="AD282" s="87"/>
      <c r="AE282" s="87"/>
      <c r="AF282" s="87"/>
      <c r="AG282" s="87"/>
      <c r="AH282" s="87">
        <v>3</v>
      </c>
      <c r="AI282" s="87"/>
      <c r="AJ282" s="87"/>
      <c r="AK282" s="87"/>
      <c r="AL282" s="87"/>
      <c r="AM282" s="87"/>
      <c r="AN282" s="87"/>
      <c r="AO282" s="87">
        <v>1</v>
      </c>
      <c r="AP282" s="87"/>
      <c r="AQ282" s="87"/>
      <c r="AR282" s="87">
        <v>2</v>
      </c>
      <c r="AS282" s="87"/>
      <c r="AT282" s="87"/>
      <c r="AU282" s="87"/>
      <c r="AV282" s="87"/>
      <c r="AW282" s="88" t="str">
        <f>HYPERLINK("http://www.openstreetmap.org/?mlat=33.5478&amp;mlon=44.3935&amp;zoom=12#map=12/33.5478/44.3935","Maplink1")</f>
        <v>Maplink1</v>
      </c>
      <c r="AX282" s="88" t="str">
        <f>HYPERLINK("https://www.google.iq/maps/search/+33.5478,44.3935/@33.5478,44.3935,14z?hl=en","Maplink2")</f>
        <v>Maplink2</v>
      </c>
      <c r="AY282" s="88" t="str">
        <f>HYPERLINK("http://www.bing.com/maps/?lvl=14&amp;sty=h&amp;cp=33.5478~44.3935&amp;sp=point.33.5478_44.3935","Maplink3")</f>
        <v>Maplink3</v>
      </c>
      <c r="AZ282" s="76"/>
    </row>
    <row r="283" spans="1:52" x14ac:dyDescent="0.25">
      <c r="A283" s="86">
        <v>22033</v>
      </c>
      <c r="B283" s="87" t="s">
        <v>14</v>
      </c>
      <c r="C283" s="87" t="s">
        <v>543</v>
      </c>
      <c r="D283" s="87" t="s">
        <v>588</v>
      </c>
      <c r="E283" s="87" t="s">
        <v>589</v>
      </c>
      <c r="F283" s="87">
        <v>33.541326612699997</v>
      </c>
      <c r="G283" s="87">
        <v>44.410533412500001</v>
      </c>
      <c r="H283" s="86">
        <v>5</v>
      </c>
      <c r="I283" s="86">
        <v>30</v>
      </c>
      <c r="J283" s="87">
        <v>1</v>
      </c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>
        <v>3</v>
      </c>
      <c r="W283" s="87"/>
      <c r="X283" s="87">
        <v>1</v>
      </c>
      <c r="Y283" s="87"/>
      <c r="Z283" s="87"/>
      <c r="AA283" s="87"/>
      <c r="AB283" s="87"/>
      <c r="AC283" s="87"/>
      <c r="AD283" s="87"/>
      <c r="AE283" s="87"/>
      <c r="AF283" s="87"/>
      <c r="AG283" s="87"/>
      <c r="AH283" s="87">
        <v>5</v>
      </c>
      <c r="AI283" s="87"/>
      <c r="AJ283" s="87"/>
      <c r="AK283" s="87"/>
      <c r="AL283" s="87"/>
      <c r="AM283" s="87"/>
      <c r="AN283" s="87">
        <v>1</v>
      </c>
      <c r="AO283" s="87">
        <v>3</v>
      </c>
      <c r="AP283" s="87">
        <v>1</v>
      </c>
      <c r="AQ283" s="87"/>
      <c r="AR283" s="87"/>
      <c r="AS283" s="87"/>
      <c r="AT283" s="87"/>
      <c r="AU283" s="87"/>
      <c r="AV283" s="87"/>
      <c r="AW283" s="88" t="str">
        <f>HYPERLINK("http://www.openstreetmap.org/?mlat=33.5413&amp;mlon=44.4105&amp;zoom=12#map=12/33.5413/44.4105","Maplink1")</f>
        <v>Maplink1</v>
      </c>
      <c r="AX283" s="88" t="str">
        <f>HYPERLINK("https://www.google.iq/maps/search/+33.5413,44.4105/@33.5413,44.4105,14z?hl=en","Maplink2")</f>
        <v>Maplink2</v>
      </c>
      <c r="AY283" s="88" t="str">
        <f>HYPERLINK("http://www.bing.com/maps/?lvl=14&amp;sty=h&amp;cp=33.5413~44.4105&amp;sp=point.33.5413_44.4105","Maplink3")</f>
        <v>Maplink3</v>
      </c>
      <c r="AZ283" s="76"/>
    </row>
    <row r="284" spans="1:52" x14ac:dyDescent="0.25">
      <c r="A284" s="86">
        <v>21627</v>
      </c>
      <c r="B284" s="87" t="s">
        <v>14</v>
      </c>
      <c r="C284" s="87" t="s">
        <v>543</v>
      </c>
      <c r="D284" s="87" t="s">
        <v>590</v>
      </c>
      <c r="E284" s="87" t="s">
        <v>591</v>
      </c>
      <c r="F284" s="87">
        <v>33.544137660899999</v>
      </c>
      <c r="G284" s="87">
        <v>44.420329396900001</v>
      </c>
      <c r="H284" s="86">
        <v>2</v>
      </c>
      <c r="I284" s="86">
        <v>12</v>
      </c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>
        <v>2</v>
      </c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>
        <v>2</v>
      </c>
      <c r="AI284" s="87"/>
      <c r="AJ284" s="87"/>
      <c r="AK284" s="87"/>
      <c r="AL284" s="87"/>
      <c r="AM284" s="87"/>
      <c r="AN284" s="87"/>
      <c r="AO284" s="87">
        <v>2</v>
      </c>
      <c r="AP284" s="87"/>
      <c r="AQ284" s="87"/>
      <c r="AR284" s="87"/>
      <c r="AS284" s="87"/>
      <c r="AT284" s="87"/>
      <c r="AU284" s="87"/>
      <c r="AV284" s="87"/>
      <c r="AW284" s="88" t="str">
        <f>HYPERLINK("http://www.openstreetmap.org/?mlat=33.5441&amp;mlon=44.4203&amp;zoom=12#map=12/33.5441/44.4203","Maplink1")</f>
        <v>Maplink1</v>
      </c>
      <c r="AX284" s="88" t="str">
        <f>HYPERLINK("https://www.google.iq/maps/search/+33.5441,44.4203/@33.5441,44.4203,14z?hl=en","Maplink2")</f>
        <v>Maplink2</v>
      </c>
      <c r="AY284" s="88" t="str">
        <f>HYPERLINK("http://www.bing.com/maps/?lvl=14&amp;sty=h&amp;cp=33.5441~44.4203&amp;sp=point.33.5441_44.4203","Maplink3")</f>
        <v>Maplink3</v>
      </c>
      <c r="AZ284" s="76"/>
    </row>
    <row r="285" spans="1:52" x14ac:dyDescent="0.25">
      <c r="A285" s="86">
        <v>21873</v>
      </c>
      <c r="B285" s="87" t="s">
        <v>14</v>
      </c>
      <c r="C285" s="87" t="s">
        <v>543</v>
      </c>
      <c r="D285" s="87" t="s">
        <v>592</v>
      </c>
      <c r="E285" s="87" t="s">
        <v>593</v>
      </c>
      <c r="F285" s="87">
        <v>33.553025213600002</v>
      </c>
      <c r="G285" s="87">
        <v>44.428852532500002</v>
      </c>
      <c r="H285" s="86">
        <v>2</v>
      </c>
      <c r="I285" s="86">
        <v>12</v>
      </c>
      <c r="J285" s="87"/>
      <c r="K285" s="87"/>
      <c r="L285" s="87"/>
      <c r="M285" s="87"/>
      <c r="N285" s="87"/>
      <c r="O285" s="87"/>
      <c r="P285" s="87"/>
      <c r="Q285" s="87"/>
      <c r="R285" s="87">
        <v>1</v>
      </c>
      <c r="S285" s="87"/>
      <c r="T285" s="87"/>
      <c r="U285" s="87"/>
      <c r="V285" s="87">
        <v>1</v>
      </c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>
        <v>2</v>
      </c>
      <c r="AI285" s="87"/>
      <c r="AJ285" s="87"/>
      <c r="AK285" s="87"/>
      <c r="AL285" s="87"/>
      <c r="AM285" s="87"/>
      <c r="AN285" s="87"/>
      <c r="AO285" s="87"/>
      <c r="AP285" s="87">
        <v>1</v>
      </c>
      <c r="AQ285" s="87"/>
      <c r="AR285" s="87"/>
      <c r="AS285" s="87"/>
      <c r="AT285" s="87">
        <v>1</v>
      </c>
      <c r="AU285" s="87"/>
      <c r="AV285" s="87"/>
      <c r="AW285" s="88" t="str">
        <f>HYPERLINK("http://www.openstreetmap.org/?mlat=33.553&amp;mlon=44.4289&amp;zoom=12#map=12/33.553/44.4289","Maplink1")</f>
        <v>Maplink1</v>
      </c>
      <c r="AX285" s="88" t="str">
        <f>HYPERLINK("https://www.google.iq/maps/search/+33.553,44.4289/@33.553,44.4289,14z?hl=en","Maplink2")</f>
        <v>Maplink2</v>
      </c>
      <c r="AY285" s="88" t="str">
        <f>HYPERLINK("http://www.bing.com/maps/?lvl=14&amp;sty=h&amp;cp=33.553~44.4289&amp;sp=point.33.553_44.4289","Maplink3")</f>
        <v>Maplink3</v>
      </c>
      <c r="AZ285" s="76"/>
    </row>
    <row r="286" spans="1:52" x14ac:dyDescent="0.25">
      <c r="A286" s="86">
        <v>21628</v>
      </c>
      <c r="B286" s="87" t="s">
        <v>14</v>
      </c>
      <c r="C286" s="87" t="s">
        <v>543</v>
      </c>
      <c r="D286" s="87" t="s">
        <v>594</v>
      </c>
      <c r="E286" s="87" t="s">
        <v>595</v>
      </c>
      <c r="F286" s="87">
        <v>33.5562003418</v>
      </c>
      <c r="G286" s="87">
        <v>44.425413645600003</v>
      </c>
      <c r="H286" s="86">
        <v>2</v>
      </c>
      <c r="I286" s="86">
        <v>12</v>
      </c>
      <c r="J286" s="87"/>
      <c r="K286" s="87"/>
      <c r="L286" s="87"/>
      <c r="M286" s="87"/>
      <c r="N286" s="87"/>
      <c r="O286" s="87"/>
      <c r="P286" s="87"/>
      <c r="Q286" s="87"/>
      <c r="R286" s="87">
        <v>1</v>
      </c>
      <c r="S286" s="87"/>
      <c r="T286" s="87"/>
      <c r="U286" s="87"/>
      <c r="V286" s="87">
        <v>1</v>
      </c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>
        <v>2</v>
      </c>
      <c r="AI286" s="87"/>
      <c r="AJ286" s="87"/>
      <c r="AK286" s="87"/>
      <c r="AL286" s="87"/>
      <c r="AM286" s="87"/>
      <c r="AN286" s="87"/>
      <c r="AO286" s="87">
        <v>1</v>
      </c>
      <c r="AP286" s="87"/>
      <c r="AQ286" s="87"/>
      <c r="AR286" s="87"/>
      <c r="AS286" s="87"/>
      <c r="AT286" s="87">
        <v>1</v>
      </c>
      <c r="AU286" s="87"/>
      <c r="AV286" s="87"/>
      <c r="AW286" s="88" t="str">
        <f>HYPERLINK("http://www.openstreetmap.org/?mlat=33.5562&amp;mlon=44.4254&amp;zoom=12#map=12/33.5562/44.4254","Maplink1")</f>
        <v>Maplink1</v>
      </c>
      <c r="AX286" s="88" t="str">
        <f>HYPERLINK("https://www.google.iq/maps/search/+33.5562,44.4254/@33.5562,44.4254,14z?hl=en","Maplink2")</f>
        <v>Maplink2</v>
      </c>
      <c r="AY286" s="88" t="str">
        <f>HYPERLINK("http://www.bing.com/maps/?lvl=14&amp;sty=h&amp;cp=33.5562~44.4254&amp;sp=point.33.5562_44.4254","Maplink3")</f>
        <v>Maplink3</v>
      </c>
      <c r="AZ286" s="76"/>
    </row>
    <row r="287" spans="1:52" x14ac:dyDescent="0.25">
      <c r="A287" s="86">
        <v>24621</v>
      </c>
      <c r="B287" s="87" t="s">
        <v>14</v>
      </c>
      <c r="C287" s="87" t="s">
        <v>543</v>
      </c>
      <c r="D287" s="87" t="s">
        <v>596</v>
      </c>
      <c r="E287" s="87" t="s">
        <v>597</v>
      </c>
      <c r="F287" s="87">
        <v>33.532819141300003</v>
      </c>
      <c r="G287" s="87">
        <v>44.393674285199999</v>
      </c>
      <c r="H287" s="86">
        <v>4</v>
      </c>
      <c r="I287" s="86">
        <v>24</v>
      </c>
      <c r="J287" s="87">
        <v>1</v>
      </c>
      <c r="K287" s="87"/>
      <c r="L287" s="87"/>
      <c r="M287" s="87"/>
      <c r="N287" s="87"/>
      <c r="O287" s="87"/>
      <c r="P287" s="87"/>
      <c r="Q287" s="87"/>
      <c r="R287" s="87">
        <v>1</v>
      </c>
      <c r="S287" s="87"/>
      <c r="T287" s="87"/>
      <c r="U287" s="87"/>
      <c r="V287" s="87">
        <v>2</v>
      </c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>
        <v>4</v>
      </c>
      <c r="AI287" s="87"/>
      <c r="AJ287" s="87"/>
      <c r="AK287" s="87"/>
      <c r="AL287" s="87"/>
      <c r="AM287" s="87"/>
      <c r="AN287" s="87">
        <v>1</v>
      </c>
      <c r="AO287" s="87"/>
      <c r="AP287" s="87"/>
      <c r="AQ287" s="87">
        <v>3</v>
      </c>
      <c r="AR287" s="87"/>
      <c r="AS287" s="87"/>
      <c r="AT287" s="87"/>
      <c r="AU287" s="87"/>
      <c r="AV287" s="87"/>
      <c r="AW287" s="88" t="str">
        <f>HYPERLINK("http://www.openstreetmap.org/?mlat=33.5328&amp;mlon=44.3937&amp;zoom=12#map=12/33.5328/44.3937","Maplink1")</f>
        <v>Maplink1</v>
      </c>
      <c r="AX287" s="88" t="str">
        <f>HYPERLINK("https://www.google.iq/maps/search/+33.5328,44.3937/@33.5328,44.3937,14z?hl=en","Maplink2")</f>
        <v>Maplink2</v>
      </c>
      <c r="AY287" s="88" t="str">
        <f>HYPERLINK("http://www.bing.com/maps/?lvl=14&amp;sty=h&amp;cp=33.5328~44.3937&amp;sp=point.33.5328_44.3937","Maplink3")</f>
        <v>Maplink3</v>
      </c>
      <c r="AZ287" s="76"/>
    </row>
    <row r="288" spans="1:52" x14ac:dyDescent="0.25">
      <c r="A288" s="86">
        <v>25208</v>
      </c>
      <c r="B288" s="87" t="s">
        <v>14</v>
      </c>
      <c r="C288" s="87" t="s">
        <v>543</v>
      </c>
      <c r="D288" s="87" t="s">
        <v>598</v>
      </c>
      <c r="E288" s="87" t="s">
        <v>599</v>
      </c>
      <c r="F288" s="87">
        <v>33.536626012100001</v>
      </c>
      <c r="G288" s="87">
        <v>44.354765951600001</v>
      </c>
      <c r="H288" s="86">
        <v>3</v>
      </c>
      <c r="I288" s="86">
        <v>18</v>
      </c>
      <c r="J288" s="87">
        <v>2</v>
      </c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>
        <v>1</v>
      </c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>
        <v>3</v>
      </c>
      <c r="AI288" s="87"/>
      <c r="AJ288" s="87"/>
      <c r="AK288" s="87"/>
      <c r="AL288" s="87"/>
      <c r="AM288" s="87"/>
      <c r="AN288" s="87"/>
      <c r="AO288" s="87"/>
      <c r="AP288" s="87"/>
      <c r="AQ288" s="87">
        <v>3</v>
      </c>
      <c r="AR288" s="87"/>
      <c r="AS288" s="87"/>
      <c r="AT288" s="87"/>
      <c r="AU288" s="87"/>
      <c r="AV288" s="87"/>
      <c r="AW288" s="88" t="str">
        <f>HYPERLINK("http://www.openstreetmap.org/?mlat=33.5366&amp;mlon=44.3548&amp;zoom=12#map=12/33.5366/44.3548","Maplink1")</f>
        <v>Maplink1</v>
      </c>
      <c r="AX288" s="88" t="str">
        <f>HYPERLINK("https://www.google.iq/maps/search/+33.5366,44.3548/@33.5366,44.3548,14z?hl=en","Maplink2")</f>
        <v>Maplink2</v>
      </c>
      <c r="AY288" s="88" t="str">
        <f>HYPERLINK("http://www.bing.com/maps/?lvl=14&amp;sty=h&amp;cp=33.5366~44.3548&amp;sp=point.33.5366_44.3548","Maplink3")</f>
        <v>Maplink3</v>
      </c>
      <c r="AZ288" s="76"/>
    </row>
    <row r="289" spans="1:52" x14ac:dyDescent="0.25">
      <c r="A289" s="86">
        <v>24004</v>
      </c>
      <c r="B289" s="87" t="s">
        <v>14</v>
      </c>
      <c r="C289" s="87" t="s">
        <v>543</v>
      </c>
      <c r="D289" s="87" t="s">
        <v>600</v>
      </c>
      <c r="E289" s="87" t="s">
        <v>601</v>
      </c>
      <c r="F289" s="87">
        <v>33.357757237199998</v>
      </c>
      <c r="G289" s="87">
        <v>44.380984620699998</v>
      </c>
      <c r="H289" s="86">
        <v>9</v>
      </c>
      <c r="I289" s="86">
        <v>54</v>
      </c>
      <c r="J289" s="87">
        <v>3</v>
      </c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>
        <v>4</v>
      </c>
      <c r="W289" s="87"/>
      <c r="X289" s="87">
        <v>2</v>
      </c>
      <c r="Y289" s="87"/>
      <c r="Z289" s="87"/>
      <c r="AA289" s="87"/>
      <c r="AB289" s="87"/>
      <c r="AC289" s="87"/>
      <c r="AD289" s="87"/>
      <c r="AE289" s="87"/>
      <c r="AF289" s="87"/>
      <c r="AG289" s="87"/>
      <c r="AH289" s="87">
        <v>9</v>
      </c>
      <c r="AI289" s="87"/>
      <c r="AJ289" s="87"/>
      <c r="AK289" s="87"/>
      <c r="AL289" s="87"/>
      <c r="AM289" s="87"/>
      <c r="AN289" s="87"/>
      <c r="AO289" s="87"/>
      <c r="AP289" s="87"/>
      <c r="AQ289" s="87">
        <v>5</v>
      </c>
      <c r="AR289" s="87"/>
      <c r="AS289" s="87"/>
      <c r="AT289" s="87">
        <v>4</v>
      </c>
      <c r="AU289" s="87"/>
      <c r="AV289" s="87"/>
      <c r="AW289" s="88" t="str">
        <f>HYPERLINK("http://www.openstreetmap.org/?mlat=33.3578&amp;mlon=44.381&amp;zoom=12#map=12/33.3578/44.381","Maplink1")</f>
        <v>Maplink1</v>
      </c>
      <c r="AX289" s="88" t="str">
        <f>HYPERLINK("https://www.google.iq/maps/search/+33.3578,44.381/@33.3578,44.381,14z?hl=en","Maplink2")</f>
        <v>Maplink2</v>
      </c>
      <c r="AY289" s="88" t="str">
        <f>HYPERLINK("http://www.bing.com/maps/?lvl=14&amp;sty=h&amp;cp=33.3578~44.381&amp;sp=point.33.3578_44.381","Maplink3")</f>
        <v>Maplink3</v>
      </c>
      <c r="AZ289" s="76"/>
    </row>
    <row r="290" spans="1:52" x14ac:dyDescent="0.25">
      <c r="A290" s="86">
        <v>24005</v>
      </c>
      <c r="B290" s="87" t="s">
        <v>14</v>
      </c>
      <c r="C290" s="87" t="s">
        <v>543</v>
      </c>
      <c r="D290" s="87" t="s">
        <v>602</v>
      </c>
      <c r="E290" s="87" t="s">
        <v>603</v>
      </c>
      <c r="F290" s="87">
        <v>33.367844871300001</v>
      </c>
      <c r="G290" s="87">
        <v>44.381984911700002</v>
      </c>
      <c r="H290" s="86">
        <v>5</v>
      </c>
      <c r="I290" s="86">
        <v>30</v>
      </c>
      <c r="J290" s="87">
        <v>2</v>
      </c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>
        <v>3</v>
      </c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>
        <v>3</v>
      </c>
      <c r="AI290" s="87"/>
      <c r="AJ290" s="87"/>
      <c r="AK290" s="87"/>
      <c r="AL290" s="87">
        <v>2</v>
      </c>
      <c r="AM290" s="87"/>
      <c r="AN290" s="87">
        <v>2</v>
      </c>
      <c r="AO290" s="87"/>
      <c r="AP290" s="87"/>
      <c r="AQ290" s="87"/>
      <c r="AR290" s="87"/>
      <c r="AS290" s="87"/>
      <c r="AT290" s="87">
        <v>3</v>
      </c>
      <c r="AU290" s="87"/>
      <c r="AV290" s="87"/>
      <c r="AW290" s="88" t="str">
        <f>HYPERLINK("http://www.openstreetmap.org/?mlat=33.3678&amp;mlon=44.382&amp;zoom=12#map=12/33.3678/44.382","Maplink1")</f>
        <v>Maplink1</v>
      </c>
      <c r="AX290" s="88" t="str">
        <f>HYPERLINK("https://www.google.iq/maps/search/+33.3678,44.382/@33.3678,44.382,14z?hl=en","Maplink2")</f>
        <v>Maplink2</v>
      </c>
      <c r="AY290" s="88" t="str">
        <f>HYPERLINK("http://www.bing.com/maps/?lvl=14&amp;sty=h&amp;cp=33.3678~44.382&amp;sp=point.33.3678_44.382","Maplink3")</f>
        <v>Maplink3</v>
      </c>
      <c r="AZ290" s="76"/>
    </row>
    <row r="291" spans="1:52" x14ac:dyDescent="0.25">
      <c r="A291" s="86">
        <v>7549</v>
      </c>
      <c r="B291" s="87" t="s">
        <v>14</v>
      </c>
      <c r="C291" s="87" t="s">
        <v>543</v>
      </c>
      <c r="D291" s="87" t="s">
        <v>604</v>
      </c>
      <c r="E291" s="87" t="s">
        <v>605</v>
      </c>
      <c r="F291" s="87">
        <v>33.553764082199997</v>
      </c>
      <c r="G291" s="87">
        <v>44.3433837599</v>
      </c>
      <c r="H291" s="86">
        <v>2</v>
      </c>
      <c r="I291" s="86">
        <v>12</v>
      </c>
      <c r="J291" s="87">
        <v>1</v>
      </c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>
        <v>1</v>
      </c>
      <c r="Y291" s="87"/>
      <c r="Z291" s="87"/>
      <c r="AA291" s="87"/>
      <c r="AB291" s="87"/>
      <c r="AC291" s="87"/>
      <c r="AD291" s="87"/>
      <c r="AE291" s="87"/>
      <c r="AF291" s="87"/>
      <c r="AG291" s="87"/>
      <c r="AH291" s="87">
        <v>2</v>
      </c>
      <c r="AI291" s="87"/>
      <c r="AJ291" s="87"/>
      <c r="AK291" s="87"/>
      <c r="AL291" s="87"/>
      <c r="AM291" s="87"/>
      <c r="AN291" s="87"/>
      <c r="AO291" s="87"/>
      <c r="AP291" s="87"/>
      <c r="AQ291" s="87">
        <v>2</v>
      </c>
      <c r="AR291" s="87"/>
      <c r="AS291" s="87"/>
      <c r="AT291" s="87"/>
      <c r="AU291" s="87"/>
      <c r="AV291" s="87"/>
      <c r="AW291" s="88" t="str">
        <f>HYPERLINK("http://www.openstreetmap.org/?mlat=33.5538&amp;mlon=44.3434&amp;zoom=12#map=12/33.5538/44.3434","Maplink1")</f>
        <v>Maplink1</v>
      </c>
      <c r="AX291" s="88" t="str">
        <f>HYPERLINK("https://www.google.iq/maps/search/+33.5538,44.3434/@33.5538,44.3434,14z?hl=en","Maplink2")</f>
        <v>Maplink2</v>
      </c>
      <c r="AY291" s="88" t="str">
        <f>HYPERLINK("http://www.bing.com/maps/?lvl=14&amp;sty=h&amp;cp=33.5538~44.3434&amp;sp=point.33.5538_44.3434","Maplink3")</f>
        <v>Maplink3</v>
      </c>
      <c r="AZ291" s="76"/>
    </row>
    <row r="292" spans="1:52" x14ac:dyDescent="0.25">
      <c r="A292" s="86">
        <v>25220</v>
      </c>
      <c r="B292" s="87" t="s">
        <v>14</v>
      </c>
      <c r="C292" s="87" t="s">
        <v>543</v>
      </c>
      <c r="D292" s="87" t="s">
        <v>606</v>
      </c>
      <c r="E292" s="87" t="s">
        <v>607</v>
      </c>
      <c r="F292" s="87">
        <v>33.545706940999999</v>
      </c>
      <c r="G292" s="87">
        <v>44.3529059874</v>
      </c>
      <c r="H292" s="86">
        <v>2</v>
      </c>
      <c r="I292" s="86">
        <v>12</v>
      </c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>
        <v>2</v>
      </c>
      <c r="Y292" s="87"/>
      <c r="Z292" s="87"/>
      <c r="AA292" s="87"/>
      <c r="AB292" s="87"/>
      <c r="AC292" s="87">
        <v>2</v>
      </c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>
        <v>2</v>
      </c>
      <c r="AR292" s="87"/>
      <c r="AS292" s="87"/>
      <c r="AT292" s="87"/>
      <c r="AU292" s="87"/>
      <c r="AV292" s="87"/>
      <c r="AW292" s="88" t="str">
        <f>HYPERLINK("http://www.openstreetmap.org/?mlat=33.5457&amp;mlon=44.3529&amp;zoom=12#map=12/33.5457/44.3529","Maplink1")</f>
        <v>Maplink1</v>
      </c>
      <c r="AX292" s="88" t="str">
        <f>HYPERLINK("https://www.google.iq/maps/search/+33.5457,44.3529/@33.5457,44.3529,14z?hl=en","Maplink2")</f>
        <v>Maplink2</v>
      </c>
      <c r="AY292" s="88" t="str">
        <f>HYPERLINK("http://www.bing.com/maps/?lvl=14&amp;sty=h&amp;cp=33.5457~44.3529&amp;sp=point.33.5457_44.3529","Maplink3")</f>
        <v>Maplink3</v>
      </c>
      <c r="AZ292" s="76"/>
    </row>
    <row r="293" spans="1:52" x14ac:dyDescent="0.25">
      <c r="A293" s="86">
        <v>23999</v>
      </c>
      <c r="B293" s="87" t="s">
        <v>14</v>
      </c>
      <c r="C293" s="87" t="s">
        <v>543</v>
      </c>
      <c r="D293" s="87" t="s">
        <v>608</v>
      </c>
      <c r="E293" s="87" t="s">
        <v>609</v>
      </c>
      <c r="F293" s="87">
        <v>33.378767863</v>
      </c>
      <c r="G293" s="87">
        <v>44.390372643799999</v>
      </c>
      <c r="H293" s="86">
        <v>28</v>
      </c>
      <c r="I293" s="86">
        <v>168</v>
      </c>
      <c r="J293" s="87">
        <v>13</v>
      </c>
      <c r="K293" s="87"/>
      <c r="L293" s="87"/>
      <c r="M293" s="87"/>
      <c r="N293" s="87"/>
      <c r="O293" s="87">
        <v>1</v>
      </c>
      <c r="P293" s="87"/>
      <c r="Q293" s="87"/>
      <c r="R293" s="87"/>
      <c r="S293" s="87"/>
      <c r="T293" s="87"/>
      <c r="U293" s="87"/>
      <c r="V293" s="87">
        <v>14</v>
      </c>
      <c r="W293" s="87"/>
      <c r="X293" s="87"/>
      <c r="Y293" s="87"/>
      <c r="Z293" s="87"/>
      <c r="AA293" s="87"/>
      <c r="AB293" s="87"/>
      <c r="AC293" s="87">
        <v>10</v>
      </c>
      <c r="AD293" s="87"/>
      <c r="AE293" s="87"/>
      <c r="AF293" s="87"/>
      <c r="AG293" s="87"/>
      <c r="AH293" s="87">
        <v>18</v>
      </c>
      <c r="AI293" s="87"/>
      <c r="AJ293" s="87"/>
      <c r="AK293" s="87"/>
      <c r="AL293" s="87"/>
      <c r="AM293" s="87"/>
      <c r="AN293" s="87"/>
      <c r="AO293" s="87">
        <v>3</v>
      </c>
      <c r="AP293" s="87"/>
      <c r="AQ293" s="87">
        <v>10</v>
      </c>
      <c r="AR293" s="87">
        <v>4</v>
      </c>
      <c r="AS293" s="87">
        <v>11</v>
      </c>
      <c r="AT293" s="87"/>
      <c r="AU293" s="87"/>
      <c r="AV293" s="87"/>
      <c r="AW293" s="88" t="str">
        <f>HYPERLINK("http://www.openstreetmap.org/?mlat=33.3788&amp;mlon=44.3904&amp;zoom=12#map=12/33.3788/44.3904","Maplink1")</f>
        <v>Maplink1</v>
      </c>
      <c r="AX293" s="88" t="str">
        <f>HYPERLINK("https://www.google.iq/maps/search/+33.3788,44.3904/@33.3788,44.3904,14z?hl=en","Maplink2")</f>
        <v>Maplink2</v>
      </c>
      <c r="AY293" s="88" t="str">
        <f>HYPERLINK("http://www.bing.com/maps/?lvl=14&amp;sty=h&amp;cp=33.3788~44.3904&amp;sp=point.33.3788_44.3904","Maplink3")</f>
        <v>Maplink3</v>
      </c>
      <c r="AZ293" s="76"/>
    </row>
    <row r="294" spans="1:52" x14ac:dyDescent="0.25">
      <c r="A294" s="86">
        <v>24000</v>
      </c>
      <c r="B294" s="87" t="s">
        <v>14</v>
      </c>
      <c r="C294" s="87" t="s">
        <v>543</v>
      </c>
      <c r="D294" s="87" t="s">
        <v>610</v>
      </c>
      <c r="E294" s="87" t="s">
        <v>611</v>
      </c>
      <c r="F294" s="87">
        <v>33.377627572599998</v>
      </c>
      <c r="G294" s="87">
        <v>44.4001392913</v>
      </c>
      <c r="H294" s="86">
        <v>7</v>
      </c>
      <c r="I294" s="86">
        <v>42</v>
      </c>
      <c r="J294" s="87">
        <v>2</v>
      </c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>
        <v>5</v>
      </c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>
        <v>7</v>
      </c>
      <c r="AI294" s="87"/>
      <c r="AJ294" s="87"/>
      <c r="AK294" s="87"/>
      <c r="AL294" s="87"/>
      <c r="AM294" s="87"/>
      <c r="AN294" s="87"/>
      <c r="AO294" s="87"/>
      <c r="AP294" s="87"/>
      <c r="AQ294" s="87">
        <v>3</v>
      </c>
      <c r="AR294" s="87">
        <v>3</v>
      </c>
      <c r="AS294" s="87"/>
      <c r="AT294" s="87">
        <v>1</v>
      </c>
      <c r="AU294" s="87"/>
      <c r="AV294" s="87"/>
      <c r="AW294" s="88" t="str">
        <f>HYPERLINK("http://www.openstreetmap.org/?mlat=33.3776&amp;mlon=44.4001&amp;zoom=12#map=12/33.3776/44.4001","Maplink1")</f>
        <v>Maplink1</v>
      </c>
      <c r="AX294" s="88" t="str">
        <f>HYPERLINK("https://www.google.iq/maps/search/+33.3776,44.4001/@33.3776,44.4001,14z?hl=en","Maplink2")</f>
        <v>Maplink2</v>
      </c>
      <c r="AY294" s="88" t="str">
        <f>HYPERLINK("http://www.bing.com/maps/?lvl=14&amp;sty=h&amp;cp=33.3776~44.4001&amp;sp=point.33.3776_44.4001","Maplink3")</f>
        <v>Maplink3</v>
      </c>
      <c r="AZ294" s="76"/>
    </row>
    <row r="295" spans="1:52" x14ac:dyDescent="0.25">
      <c r="A295" s="86">
        <v>25454</v>
      </c>
      <c r="B295" s="87" t="s">
        <v>14</v>
      </c>
      <c r="C295" s="87" t="s">
        <v>543</v>
      </c>
      <c r="D295" s="87" t="s">
        <v>612</v>
      </c>
      <c r="E295" s="87" t="s">
        <v>613</v>
      </c>
      <c r="F295" s="87">
        <v>33.382919215800001</v>
      </c>
      <c r="G295" s="87">
        <v>44.396158180100002</v>
      </c>
      <c r="H295" s="86">
        <v>6</v>
      </c>
      <c r="I295" s="86">
        <v>36</v>
      </c>
      <c r="J295" s="87">
        <v>3</v>
      </c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>
        <v>3</v>
      </c>
      <c r="W295" s="87"/>
      <c r="X295" s="87"/>
      <c r="Y295" s="87"/>
      <c r="Z295" s="87"/>
      <c r="AA295" s="87"/>
      <c r="AB295" s="87"/>
      <c r="AC295" s="87">
        <v>3</v>
      </c>
      <c r="AD295" s="87"/>
      <c r="AE295" s="87"/>
      <c r="AF295" s="87"/>
      <c r="AG295" s="87"/>
      <c r="AH295" s="87">
        <v>3</v>
      </c>
      <c r="AI295" s="87"/>
      <c r="AJ295" s="87"/>
      <c r="AK295" s="87"/>
      <c r="AL295" s="87"/>
      <c r="AM295" s="87"/>
      <c r="AN295" s="87">
        <v>2</v>
      </c>
      <c r="AO295" s="87">
        <v>1</v>
      </c>
      <c r="AP295" s="87">
        <v>3</v>
      </c>
      <c r="AQ295" s="87"/>
      <c r="AR295" s="87"/>
      <c r="AS295" s="87"/>
      <c r="AT295" s="87"/>
      <c r="AU295" s="87"/>
      <c r="AV295" s="87"/>
      <c r="AW295" s="88" t="str">
        <f>HYPERLINK("http://www.openstreetmap.org/?mlat=33.3829&amp;mlon=44.3962&amp;zoom=12#map=12/33.3829/44.3962","Maplink1")</f>
        <v>Maplink1</v>
      </c>
      <c r="AX295" s="88" t="str">
        <f>HYPERLINK("https://www.google.iq/maps/search/+33.3829,44.3962/@33.3829,44.3962,14z?hl=en","Maplink2")</f>
        <v>Maplink2</v>
      </c>
      <c r="AY295" s="88" t="str">
        <f>HYPERLINK("http://www.bing.com/maps/?lvl=14&amp;sty=h&amp;cp=33.3829~44.3962&amp;sp=point.33.3829_44.3962","Maplink3")</f>
        <v>Maplink3</v>
      </c>
      <c r="AZ295" s="76"/>
    </row>
    <row r="296" spans="1:52" x14ac:dyDescent="0.25">
      <c r="A296" s="86">
        <v>25455</v>
      </c>
      <c r="B296" s="87" t="s">
        <v>14</v>
      </c>
      <c r="C296" s="87" t="s">
        <v>543</v>
      </c>
      <c r="D296" s="87" t="s">
        <v>614</v>
      </c>
      <c r="E296" s="87" t="s">
        <v>615</v>
      </c>
      <c r="F296" s="87">
        <v>33.387382644100001</v>
      </c>
      <c r="G296" s="87">
        <v>44.388409681100001</v>
      </c>
      <c r="H296" s="86">
        <v>3</v>
      </c>
      <c r="I296" s="86">
        <v>18</v>
      </c>
      <c r="J296" s="87">
        <v>1</v>
      </c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>
        <v>2</v>
      </c>
      <c r="Y296" s="87"/>
      <c r="Z296" s="87"/>
      <c r="AA296" s="87"/>
      <c r="AB296" s="87"/>
      <c r="AC296" s="87"/>
      <c r="AD296" s="87"/>
      <c r="AE296" s="87"/>
      <c r="AF296" s="87"/>
      <c r="AG296" s="87"/>
      <c r="AH296" s="87">
        <v>3</v>
      </c>
      <c r="AI296" s="87"/>
      <c r="AJ296" s="87"/>
      <c r="AK296" s="87"/>
      <c r="AL296" s="87"/>
      <c r="AM296" s="87"/>
      <c r="AN296" s="87"/>
      <c r="AO296" s="87"/>
      <c r="AP296" s="87"/>
      <c r="AQ296" s="87">
        <v>2</v>
      </c>
      <c r="AR296" s="87">
        <v>1</v>
      </c>
      <c r="AS296" s="87"/>
      <c r="AT296" s="87"/>
      <c r="AU296" s="87"/>
      <c r="AV296" s="87"/>
      <c r="AW296" s="88" t="str">
        <f>HYPERLINK("http://www.openstreetmap.org/?mlat=33.3874&amp;mlon=44.3884&amp;zoom=12#map=12/33.3874/44.3884","Maplink1")</f>
        <v>Maplink1</v>
      </c>
      <c r="AX296" s="88" t="str">
        <f>HYPERLINK("https://www.google.iq/maps/search/+33.3874,44.3884/@33.3874,44.3884,14z?hl=en","Maplink2")</f>
        <v>Maplink2</v>
      </c>
      <c r="AY296" s="88" t="str">
        <f>HYPERLINK("http://www.bing.com/maps/?lvl=14&amp;sty=h&amp;cp=33.3874~44.3884&amp;sp=point.33.3874_44.3884","Maplink3")</f>
        <v>Maplink3</v>
      </c>
      <c r="AZ296" s="76"/>
    </row>
    <row r="297" spans="1:52" x14ac:dyDescent="0.25">
      <c r="A297" s="86">
        <v>25456</v>
      </c>
      <c r="B297" s="87" t="s">
        <v>14</v>
      </c>
      <c r="C297" s="87" t="s">
        <v>543</v>
      </c>
      <c r="D297" s="87" t="s">
        <v>616</v>
      </c>
      <c r="E297" s="87" t="s">
        <v>617</v>
      </c>
      <c r="F297" s="87">
        <v>33.380808113199997</v>
      </c>
      <c r="G297" s="87">
        <v>44.380614053099997</v>
      </c>
      <c r="H297" s="86">
        <v>6</v>
      </c>
      <c r="I297" s="86">
        <v>36</v>
      </c>
      <c r="J297" s="87">
        <v>3</v>
      </c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>
        <v>3</v>
      </c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>
        <v>6</v>
      </c>
      <c r="AI297" s="87"/>
      <c r="AJ297" s="87"/>
      <c r="AK297" s="87"/>
      <c r="AL297" s="87"/>
      <c r="AM297" s="87"/>
      <c r="AN297" s="87"/>
      <c r="AO297" s="87"/>
      <c r="AP297" s="87">
        <v>3</v>
      </c>
      <c r="AQ297" s="87">
        <v>3</v>
      </c>
      <c r="AR297" s="87"/>
      <c r="AS297" s="87"/>
      <c r="AT297" s="87"/>
      <c r="AU297" s="87"/>
      <c r="AV297" s="87"/>
      <c r="AW297" s="88" t="str">
        <f>HYPERLINK("http://www.openstreetmap.org/?mlat=33.3808&amp;mlon=44.3806&amp;zoom=12#map=12/33.3808/44.3806","Maplink1")</f>
        <v>Maplink1</v>
      </c>
      <c r="AX297" s="88" t="str">
        <f>HYPERLINK("https://www.google.iq/maps/search/+33.3808,44.3806/@33.3808,44.3806,14z?hl=en","Maplink2")</f>
        <v>Maplink2</v>
      </c>
      <c r="AY297" s="88" t="str">
        <f>HYPERLINK("http://www.bing.com/maps/?lvl=14&amp;sty=h&amp;cp=33.3808~44.3806&amp;sp=point.33.3808_44.3806","Maplink3")</f>
        <v>Maplink3</v>
      </c>
      <c r="AZ297" s="76"/>
    </row>
    <row r="298" spans="1:52" x14ac:dyDescent="0.25">
      <c r="A298" s="86">
        <v>23729</v>
      </c>
      <c r="B298" s="87" t="s">
        <v>14</v>
      </c>
      <c r="C298" s="87" t="s">
        <v>543</v>
      </c>
      <c r="D298" s="87" t="s">
        <v>618</v>
      </c>
      <c r="E298" s="87" t="s">
        <v>619</v>
      </c>
      <c r="F298" s="87">
        <v>33.384730182299997</v>
      </c>
      <c r="G298" s="87">
        <v>44.383448081399997</v>
      </c>
      <c r="H298" s="86">
        <v>21</v>
      </c>
      <c r="I298" s="86">
        <v>126</v>
      </c>
      <c r="J298" s="87">
        <v>4</v>
      </c>
      <c r="K298" s="87"/>
      <c r="L298" s="87"/>
      <c r="M298" s="87"/>
      <c r="N298" s="87"/>
      <c r="O298" s="87">
        <v>3</v>
      </c>
      <c r="P298" s="87"/>
      <c r="Q298" s="87"/>
      <c r="R298" s="87"/>
      <c r="S298" s="87"/>
      <c r="T298" s="87"/>
      <c r="U298" s="87"/>
      <c r="V298" s="87">
        <v>14</v>
      </c>
      <c r="W298" s="87"/>
      <c r="X298" s="87"/>
      <c r="Y298" s="87"/>
      <c r="Z298" s="87"/>
      <c r="AA298" s="87"/>
      <c r="AB298" s="87"/>
      <c r="AC298" s="87">
        <v>8</v>
      </c>
      <c r="AD298" s="87"/>
      <c r="AE298" s="87"/>
      <c r="AF298" s="87"/>
      <c r="AG298" s="87"/>
      <c r="AH298" s="87">
        <v>13</v>
      </c>
      <c r="AI298" s="87"/>
      <c r="AJ298" s="87"/>
      <c r="AK298" s="87"/>
      <c r="AL298" s="87"/>
      <c r="AM298" s="87"/>
      <c r="AN298" s="87"/>
      <c r="AO298" s="87">
        <v>13</v>
      </c>
      <c r="AP298" s="87"/>
      <c r="AQ298" s="87">
        <v>8</v>
      </c>
      <c r="AR298" s="87"/>
      <c r="AS298" s="87"/>
      <c r="AT298" s="87"/>
      <c r="AU298" s="87"/>
      <c r="AV298" s="87"/>
      <c r="AW298" s="88" t="str">
        <f>HYPERLINK("http://www.openstreetmap.org/?mlat=33.3847&amp;mlon=44.3834&amp;zoom=12#map=12/33.3847/44.3834","Maplink1")</f>
        <v>Maplink1</v>
      </c>
      <c r="AX298" s="88" t="str">
        <f>HYPERLINK("https://www.google.iq/maps/search/+33.3847,44.3834/@33.3847,44.3834,14z?hl=en","Maplink2")</f>
        <v>Maplink2</v>
      </c>
      <c r="AY298" s="88" t="str">
        <f>HYPERLINK("http://www.bing.com/maps/?lvl=14&amp;sty=h&amp;cp=33.3847~44.3834&amp;sp=point.33.3847_44.3834","Maplink3")</f>
        <v>Maplink3</v>
      </c>
      <c r="AZ298" s="76"/>
    </row>
    <row r="299" spans="1:52" x14ac:dyDescent="0.25">
      <c r="A299" s="86">
        <v>7548</v>
      </c>
      <c r="B299" s="87" t="s">
        <v>14</v>
      </c>
      <c r="C299" s="87" t="s">
        <v>543</v>
      </c>
      <c r="D299" s="87" t="s">
        <v>620</v>
      </c>
      <c r="E299" s="87" t="s">
        <v>621</v>
      </c>
      <c r="F299" s="87">
        <v>33.550207655000001</v>
      </c>
      <c r="G299" s="87">
        <v>44.372851817799997</v>
      </c>
      <c r="H299" s="86">
        <v>2</v>
      </c>
      <c r="I299" s="86">
        <v>12</v>
      </c>
      <c r="J299" s="87"/>
      <c r="K299" s="87"/>
      <c r="L299" s="87"/>
      <c r="M299" s="87"/>
      <c r="N299" s="87"/>
      <c r="O299" s="87">
        <v>1</v>
      </c>
      <c r="P299" s="87"/>
      <c r="Q299" s="87"/>
      <c r="R299" s="87"/>
      <c r="S299" s="87"/>
      <c r="T299" s="87"/>
      <c r="U299" s="87"/>
      <c r="V299" s="87">
        <v>1</v>
      </c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>
        <v>2</v>
      </c>
      <c r="AI299" s="87"/>
      <c r="AJ299" s="87"/>
      <c r="AK299" s="87"/>
      <c r="AL299" s="87"/>
      <c r="AM299" s="87"/>
      <c r="AN299" s="87"/>
      <c r="AO299" s="87">
        <v>1</v>
      </c>
      <c r="AP299" s="87"/>
      <c r="AQ299" s="87"/>
      <c r="AR299" s="87"/>
      <c r="AS299" s="87"/>
      <c r="AT299" s="87">
        <v>1</v>
      </c>
      <c r="AU299" s="87"/>
      <c r="AV299" s="87"/>
      <c r="AW299" s="88" t="str">
        <f>HYPERLINK("http://www.openstreetmap.org/?mlat=33.5502&amp;mlon=44.3729&amp;zoom=12#map=12/33.5502/44.3729","Maplink1")</f>
        <v>Maplink1</v>
      </c>
      <c r="AX299" s="88" t="str">
        <f>HYPERLINK("https://www.google.iq/maps/search/+33.5502,44.3729/@33.5502,44.3729,14z?hl=en","Maplink2")</f>
        <v>Maplink2</v>
      </c>
      <c r="AY299" s="88" t="str">
        <f>HYPERLINK("http://www.bing.com/maps/?lvl=14&amp;sty=h&amp;cp=33.5502~44.3729&amp;sp=point.33.5502_44.3729","Maplink3")</f>
        <v>Maplink3</v>
      </c>
      <c r="AZ299" s="76"/>
    </row>
    <row r="300" spans="1:52" x14ac:dyDescent="0.25">
      <c r="A300" s="86">
        <v>23005</v>
      </c>
      <c r="B300" s="87" t="s">
        <v>14</v>
      </c>
      <c r="C300" s="87" t="s">
        <v>543</v>
      </c>
      <c r="D300" s="87" t="s">
        <v>622</v>
      </c>
      <c r="E300" s="87" t="s">
        <v>623</v>
      </c>
      <c r="F300" s="87">
        <v>33.419886372000001</v>
      </c>
      <c r="G300" s="87">
        <v>44.418091758300001</v>
      </c>
      <c r="H300" s="86">
        <v>2</v>
      </c>
      <c r="I300" s="86">
        <v>12</v>
      </c>
      <c r="J300" s="87">
        <v>1</v>
      </c>
      <c r="K300" s="87"/>
      <c r="L300" s="87"/>
      <c r="M300" s="87"/>
      <c r="N300" s="87"/>
      <c r="O300" s="87">
        <v>1</v>
      </c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>
        <v>2</v>
      </c>
      <c r="AI300" s="87"/>
      <c r="AJ300" s="87"/>
      <c r="AK300" s="87"/>
      <c r="AL300" s="87"/>
      <c r="AM300" s="87"/>
      <c r="AN300" s="87"/>
      <c r="AO300" s="87"/>
      <c r="AP300" s="87">
        <v>1</v>
      </c>
      <c r="AQ300" s="87"/>
      <c r="AR300" s="87"/>
      <c r="AS300" s="87">
        <v>1</v>
      </c>
      <c r="AT300" s="87"/>
      <c r="AU300" s="87"/>
      <c r="AV300" s="87"/>
      <c r="AW300" s="88" t="str">
        <f>HYPERLINK("http://www.openstreetmap.org/?mlat=33.4199&amp;mlon=44.4181&amp;zoom=12#map=12/33.4199/44.4181","Maplink1")</f>
        <v>Maplink1</v>
      </c>
      <c r="AX300" s="88" t="str">
        <f>HYPERLINK("https://www.google.iq/maps/search/+33.4199,44.4181/@33.4199,44.4181,14z?hl=en","Maplink2")</f>
        <v>Maplink2</v>
      </c>
      <c r="AY300" s="88" t="str">
        <f>HYPERLINK("http://www.bing.com/maps/?lvl=14&amp;sty=h&amp;cp=33.4199~44.4181&amp;sp=point.33.4199_44.4181","Maplink3")</f>
        <v>Maplink3</v>
      </c>
      <c r="AZ300" s="76"/>
    </row>
    <row r="301" spans="1:52" x14ac:dyDescent="0.25">
      <c r="A301" s="86">
        <v>23736</v>
      </c>
      <c r="B301" s="87" t="s">
        <v>14</v>
      </c>
      <c r="C301" s="87" t="s">
        <v>543</v>
      </c>
      <c r="D301" s="87" t="s">
        <v>624</v>
      </c>
      <c r="E301" s="87" t="s">
        <v>625</v>
      </c>
      <c r="F301" s="87">
        <v>33.414817348600003</v>
      </c>
      <c r="G301" s="87">
        <v>44.411514244499998</v>
      </c>
      <c r="H301" s="86">
        <v>4</v>
      </c>
      <c r="I301" s="86">
        <v>24</v>
      </c>
      <c r="J301" s="87">
        <v>1</v>
      </c>
      <c r="K301" s="87"/>
      <c r="L301" s="87"/>
      <c r="M301" s="87"/>
      <c r="N301" s="87"/>
      <c r="O301" s="87">
        <v>1</v>
      </c>
      <c r="P301" s="87"/>
      <c r="Q301" s="87"/>
      <c r="R301" s="87"/>
      <c r="S301" s="87"/>
      <c r="T301" s="87"/>
      <c r="U301" s="87"/>
      <c r="V301" s="87">
        <v>1</v>
      </c>
      <c r="W301" s="87"/>
      <c r="X301" s="87">
        <v>1</v>
      </c>
      <c r="Y301" s="87"/>
      <c r="Z301" s="87"/>
      <c r="AA301" s="87"/>
      <c r="AB301" s="87"/>
      <c r="AC301" s="87"/>
      <c r="AD301" s="87"/>
      <c r="AE301" s="87"/>
      <c r="AF301" s="87"/>
      <c r="AG301" s="87"/>
      <c r="AH301" s="87">
        <v>4</v>
      </c>
      <c r="AI301" s="87"/>
      <c r="AJ301" s="87"/>
      <c r="AK301" s="87"/>
      <c r="AL301" s="87"/>
      <c r="AM301" s="87"/>
      <c r="AN301" s="87">
        <v>1</v>
      </c>
      <c r="AO301" s="87">
        <v>2</v>
      </c>
      <c r="AP301" s="87"/>
      <c r="AQ301" s="87">
        <v>1</v>
      </c>
      <c r="AR301" s="87"/>
      <c r="AS301" s="87"/>
      <c r="AT301" s="87"/>
      <c r="AU301" s="87"/>
      <c r="AV301" s="87"/>
      <c r="AW301" s="88" t="str">
        <f>HYPERLINK("http://www.openstreetmap.org/?mlat=33.4148&amp;mlon=44.4115&amp;zoom=12#map=12/33.4148/44.4115","Maplink1")</f>
        <v>Maplink1</v>
      </c>
      <c r="AX301" s="88" t="str">
        <f>HYPERLINK("https://www.google.iq/maps/search/+33.4148,44.4115/@33.4148,44.4115,14z?hl=en","Maplink2")</f>
        <v>Maplink2</v>
      </c>
      <c r="AY301" s="88" t="str">
        <f>HYPERLINK("http://www.bing.com/maps/?lvl=14&amp;sty=h&amp;cp=33.4148~44.4115&amp;sp=point.33.4148_44.4115","Maplink3")</f>
        <v>Maplink3</v>
      </c>
      <c r="AZ301" s="76"/>
    </row>
    <row r="302" spans="1:52" x14ac:dyDescent="0.25">
      <c r="A302" s="86">
        <v>24440</v>
      </c>
      <c r="B302" s="87" t="s">
        <v>14</v>
      </c>
      <c r="C302" s="87" t="s">
        <v>543</v>
      </c>
      <c r="D302" s="87" t="s">
        <v>626</v>
      </c>
      <c r="E302" s="87" t="s">
        <v>627</v>
      </c>
      <c r="F302" s="87">
        <v>33.422279183599997</v>
      </c>
      <c r="G302" s="87">
        <v>44.4146510498</v>
      </c>
      <c r="H302" s="86">
        <v>15</v>
      </c>
      <c r="I302" s="86">
        <v>90</v>
      </c>
      <c r="J302" s="87">
        <v>4</v>
      </c>
      <c r="K302" s="87"/>
      <c r="L302" s="87"/>
      <c r="M302" s="87"/>
      <c r="N302" s="87"/>
      <c r="O302" s="87">
        <v>3</v>
      </c>
      <c r="P302" s="87"/>
      <c r="Q302" s="87"/>
      <c r="R302" s="87"/>
      <c r="S302" s="87"/>
      <c r="T302" s="87"/>
      <c r="U302" s="87"/>
      <c r="V302" s="87">
        <v>5</v>
      </c>
      <c r="W302" s="87"/>
      <c r="X302" s="87">
        <v>3</v>
      </c>
      <c r="Y302" s="87"/>
      <c r="Z302" s="87"/>
      <c r="AA302" s="87"/>
      <c r="AB302" s="87"/>
      <c r="AC302" s="87"/>
      <c r="AD302" s="87"/>
      <c r="AE302" s="87"/>
      <c r="AF302" s="87"/>
      <c r="AG302" s="87"/>
      <c r="AH302" s="87">
        <v>15</v>
      </c>
      <c r="AI302" s="87"/>
      <c r="AJ302" s="87"/>
      <c r="AK302" s="87"/>
      <c r="AL302" s="87"/>
      <c r="AM302" s="87"/>
      <c r="AN302" s="87"/>
      <c r="AO302" s="87"/>
      <c r="AP302" s="87">
        <v>3</v>
      </c>
      <c r="AQ302" s="87">
        <v>8</v>
      </c>
      <c r="AR302" s="87">
        <v>4</v>
      </c>
      <c r="AS302" s="87"/>
      <c r="AT302" s="87"/>
      <c r="AU302" s="87"/>
      <c r="AV302" s="87"/>
      <c r="AW302" s="88" t="str">
        <f>HYPERLINK("http://www.openstreetmap.org/?mlat=33.4223&amp;mlon=44.4147&amp;zoom=12#map=12/33.4223/44.4147","Maplink1")</f>
        <v>Maplink1</v>
      </c>
      <c r="AX302" s="88" t="str">
        <f>HYPERLINK("https://www.google.iq/maps/search/+33.4223,44.4147/@33.4223,44.4147,14z?hl=en","Maplink2")</f>
        <v>Maplink2</v>
      </c>
      <c r="AY302" s="88" t="str">
        <f>HYPERLINK("http://www.bing.com/maps/?lvl=14&amp;sty=h&amp;cp=33.4223~44.4147&amp;sp=point.33.4223_44.4147","Maplink3")</f>
        <v>Maplink3</v>
      </c>
      <c r="AZ302" s="76"/>
    </row>
    <row r="303" spans="1:52" x14ac:dyDescent="0.25">
      <c r="A303" s="86">
        <v>24441</v>
      </c>
      <c r="B303" s="87" t="s">
        <v>14</v>
      </c>
      <c r="C303" s="87" t="s">
        <v>543</v>
      </c>
      <c r="D303" s="87" t="s">
        <v>628</v>
      </c>
      <c r="E303" s="87" t="s">
        <v>629</v>
      </c>
      <c r="F303" s="87">
        <v>33.409143526199998</v>
      </c>
      <c r="G303" s="87">
        <v>44.388093304900003</v>
      </c>
      <c r="H303" s="86">
        <v>11</v>
      </c>
      <c r="I303" s="86">
        <v>66</v>
      </c>
      <c r="J303" s="87">
        <v>5</v>
      </c>
      <c r="K303" s="87"/>
      <c r="L303" s="87"/>
      <c r="M303" s="87"/>
      <c r="N303" s="87"/>
      <c r="O303" s="87">
        <v>2</v>
      </c>
      <c r="P303" s="87"/>
      <c r="Q303" s="87"/>
      <c r="R303" s="87"/>
      <c r="S303" s="87"/>
      <c r="T303" s="87"/>
      <c r="U303" s="87"/>
      <c r="V303" s="87">
        <v>4</v>
      </c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>
        <v>11</v>
      </c>
      <c r="AI303" s="87"/>
      <c r="AJ303" s="87"/>
      <c r="AK303" s="87"/>
      <c r="AL303" s="87"/>
      <c r="AM303" s="87"/>
      <c r="AN303" s="87">
        <v>5</v>
      </c>
      <c r="AO303" s="87">
        <v>2</v>
      </c>
      <c r="AP303" s="87"/>
      <c r="AQ303" s="87">
        <v>4</v>
      </c>
      <c r="AR303" s="87"/>
      <c r="AS303" s="87"/>
      <c r="AT303" s="87"/>
      <c r="AU303" s="87"/>
      <c r="AV303" s="87"/>
      <c r="AW303" s="88" t="str">
        <f>HYPERLINK("http://www.openstreetmap.org/?mlat=33.4091&amp;mlon=44.3881&amp;zoom=12#map=12/33.4091/44.3881","Maplink1")</f>
        <v>Maplink1</v>
      </c>
      <c r="AX303" s="88" t="str">
        <f>HYPERLINK("https://www.google.iq/maps/search/+33.4091,44.3881/@33.4091,44.3881,14z?hl=en","Maplink2")</f>
        <v>Maplink2</v>
      </c>
      <c r="AY303" s="88" t="str">
        <f>HYPERLINK("http://www.bing.com/maps/?lvl=14&amp;sty=h&amp;cp=33.4091~44.3881&amp;sp=point.33.4091_44.3881","Maplink3")</f>
        <v>Maplink3</v>
      </c>
      <c r="AZ303" s="76"/>
    </row>
    <row r="304" spans="1:52" x14ac:dyDescent="0.25">
      <c r="A304" s="86">
        <v>23978</v>
      </c>
      <c r="B304" s="87" t="s">
        <v>14</v>
      </c>
      <c r="C304" s="87" t="s">
        <v>543</v>
      </c>
      <c r="D304" s="87" t="s">
        <v>630</v>
      </c>
      <c r="E304" s="87" t="s">
        <v>631</v>
      </c>
      <c r="F304" s="87">
        <v>33.415615666699999</v>
      </c>
      <c r="G304" s="87">
        <v>44.389566755899999</v>
      </c>
      <c r="H304" s="86">
        <v>11</v>
      </c>
      <c r="I304" s="86">
        <v>66</v>
      </c>
      <c r="J304" s="87">
        <v>3</v>
      </c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>
        <v>4</v>
      </c>
      <c r="W304" s="87"/>
      <c r="X304" s="87">
        <v>4</v>
      </c>
      <c r="Y304" s="87"/>
      <c r="Z304" s="87"/>
      <c r="AA304" s="87"/>
      <c r="AB304" s="87"/>
      <c r="AC304" s="87"/>
      <c r="AD304" s="87"/>
      <c r="AE304" s="87"/>
      <c r="AF304" s="87"/>
      <c r="AG304" s="87"/>
      <c r="AH304" s="87">
        <v>11</v>
      </c>
      <c r="AI304" s="87"/>
      <c r="AJ304" s="87"/>
      <c r="AK304" s="87"/>
      <c r="AL304" s="87"/>
      <c r="AM304" s="87"/>
      <c r="AN304" s="87">
        <v>3</v>
      </c>
      <c r="AO304" s="87">
        <v>4</v>
      </c>
      <c r="AP304" s="87"/>
      <c r="AQ304" s="87">
        <v>4</v>
      </c>
      <c r="AR304" s="87"/>
      <c r="AS304" s="87"/>
      <c r="AT304" s="87"/>
      <c r="AU304" s="87"/>
      <c r="AV304" s="87"/>
      <c r="AW304" s="88" t="str">
        <f>HYPERLINK("http://www.openstreetmap.org/?mlat=33.4156&amp;mlon=44.3896&amp;zoom=12#map=12/33.4156/44.3896","Maplink1")</f>
        <v>Maplink1</v>
      </c>
      <c r="AX304" s="88" t="str">
        <f>HYPERLINK("https://www.google.iq/maps/search/+33.4156,44.3896/@33.4156,44.3896,14z?hl=en","Maplink2")</f>
        <v>Maplink2</v>
      </c>
      <c r="AY304" s="88" t="str">
        <f>HYPERLINK("http://www.bing.com/maps/?lvl=14&amp;sty=h&amp;cp=33.4156~44.3896&amp;sp=point.33.4156_44.3896","Maplink3")</f>
        <v>Maplink3</v>
      </c>
      <c r="AZ304" s="76"/>
    </row>
    <row r="305" spans="1:52" x14ac:dyDescent="0.25">
      <c r="A305" s="86">
        <v>24443</v>
      </c>
      <c r="B305" s="87" t="s">
        <v>14</v>
      </c>
      <c r="C305" s="87" t="s">
        <v>543</v>
      </c>
      <c r="D305" s="87" t="s">
        <v>632</v>
      </c>
      <c r="E305" s="87" t="s">
        <v>633</v>
      </c>
      <c r="F305" s="87">
        <v>33.427859501999997</v>
      </c>
      <c r="G305" s="87">
        <v>44.423597770900003</v>
      </c>
      <c r="H305" s="86">
        <v>5</v>
      </c>
      <c r="I305" s="86">
        <v>30</v>
      </c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>
        <v>3</v>
      </c>
      <c r="W305" s="87"/>
      <c r="X305" s="87">
        <v>2</v>
      </c>
      <c r="Y305" s="87"/>
      <c r="Z305" s="87"/>
      <c r="AA305" s="87"/>
      <c r="AB305" s="87"/>
      <c r="AC305" s="87"/>
      <c r="AD305" s="87"/>
      <c r="AE305" s="87"/>
      <c r="AF305" s="87"/>
      <c r="AG305" s="87"/>
      <c r="AH305" s="87">
        <v>5</v>
      </c>
      <c r="AI305" s="87"/>
      <c r="AJ305" s="87"/>
      <c r="AK305" s="87"/>
      <c r="AL305" s="87"/>
      <c r="AM305" s="87"/>
      <c r="AN305" s="87"/>
      <c r="AO305" s="87"/>
      <c r="AP305" s="87">
        <v>3</v>
      </c>
      <c r="AQ305" s="87">
        <v>2</v>
      </c>
      <c r="AR305" s="87"/>
      <c r="AS305" s="87"/>
      <c r="AT305" s="87"/>
      <c r="AU305" s="87"/>
      <c r="AV305" s="87"/>
      <c r="AW305" s="88" t="str">
        <f>HYPERLINK("http://www.openstreetmap.org/?mlat=33.4279&amp;mlon=44.4236&amp;zoom=12#map=12/33.4279/44.4236","Maplink1")</f>
        <v>Maplink1</v>
      </c>
      <c r="AX305" s="88" t="str">
        <f>HYPERLINK("https://www.google.iq/maps/search/+33.4279,44.4236/@33.4279,44.4236,14z?hl=en","Maplink2")</f>
        <v>Maplink2</v>
      </c>
      <c r="AY305" s="88" t="str">
        <f>HYPERLINK("http://www.bing.com/maps/?lvl=14&amp;sty=h&amp;cp=33.4279~44.4236&amp;sp=point.33.4279_44.4236","Maplink3")</f>
        <v>Maplink3</v>
      </c>
      <c r="AZ305" s="76"/>
    </row>
    <row r="306" spans="1:52" x14ac:dyDescent="0.25">
      <c r="A306" s="86">
        <v>21629</v>
      </c>
      <c r="B306" s="87" t="s">
        <v>14</v>
      </c>
      <c r="C306" s="87" t="s">
        <v>543</v>
      </c>
      <c r="D306" s="87" t="s">
        <v>634</v>
      </c>
      <c r="E306" s="87" t="s">
        <v>635</v>
      </c>
      <c r="F306" s="87">
        <v>33.422821851999998</v>
      </c>
      <c r="G306" s="87">
        <v>44.389964004100001</v>
      </c>
      <c r="H306" s="86">
        <v>1</v>
      </c>
      <c r="I306" s="86">
        <v>6</v>
      </c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>
        <v>1</v>
      </c>
      <c r="Y306" s="87"/>
      <c r="Z306" s="87"/>
      <c r="AA306" s="87"/>
      <c r="AB306" s="87"/>
      <c r="AC306" s="87"/>
      <c r="AD306" s="87"/>
      <c r="AE306" s="87"/>
      <c r="AF306" s="87"/>
      <c r="AG306" s="87"/>
      <c r="AH306" s="87">
        <v>1</v>
      </c>
      <c r="AI306" s="87"/>
      <c r="AJ306" s="87"/>
      <c r="AK306" s="87"/>
      <c r="AL306" s="87"/>
      <c r="AM306" s="87"/>
      <c r="AN306" s="87"/>
      <c r="AO306" s="87"/>
      <c r="AP306" s="87">
        <v>1</v>
      </c>
      <c r="AQ306" s="87"/>
      <c r="AR306" s="87"/>
      <c r="AS306" s="87"/>
      <c r="AT306" s="87"/>
      <c r="AU306" s="87"/>
      <c r="AV306" s="87"/>
      <c r="AW306" s="88" t="str">
        <f>HYPERLINK("http://www.openstreetmap.org/?mlat=33.4228&amp;mlon=44.39&amp;zoom=12#map=12/33.4228/44.39","Maplink1")</f>
        <v>Maplink1</v>
      </c>
      <c r="AX306" s="88" t="str">
        <f>HYPERLINK("https://www.google.iq/maps/search/+33.4228,44.39/@33.4228,44.39,14z?hl=en","Maplink2")</f>
        <v>Maplink2</v>
      </c>
      <c r="AY306" s="88" t="str">
        <f>HYPERLINK("http://www.bing.com/maps/?lvl=14&amp;sty=h&amp;cp=33.4228~44.39&amp;sp=point.33.4228_44.39","Maplink3")</f>
        <v>Maplink3</v>
      </c>
      <c r="AZ306" s="76"/>
    </row>
    <row r="307" spans="1:52" x14ac:dyDescent="0.25">
      <c r="A307" s="86">
        <v>24450</v>
      </c>
      <c r="B307" s="87" t="s">
        <v>14</v>
      </c>
      <c r="C307" s="87" t="s">
        <v>543</v>
      </c>
      <c r="D307" s="87" t="s">
        <v>636</v>
      </c>
      <c r="E307" s="87" t="s">
        <v>637</v>
      </c>
      <c r="F307" s="87">
        <v>33.425729114299997</v>
      </c>
      <c r="G307" s="87">
        <v>44.396332227800002</v>
      </c>
      <c r="H307" s="86">
        <v>6</v>
      </c>
      <c r="I307" s="86">
        <v>36</v>
      </c>
      <c r="J307" s="87"/>
      <c r="K307" s="87"/>
      <c r="L307" s="87"/>
      <c r="M307" s="87"/>
      <c r="N307" s="87"/>
      <c r="O307" s="87">
        <v>2</v>
      </c>
      <c r="P307" s="87"/>
      <c r="Q307" s="87"/>
      <c r="R307" s="87"/>
      <c r="S307" s="87"/>
      <c r="T307" s="87"/>
      <c r="U307" s="87"/>
      <c r="V307" s="87">
        <v>3</v>
      </c>
      <c r="W307" s="87"/>
      <c r="X307" s="87">
        <v>1</v>
      </c>
      <c r="Y307" s="87"/>
      <c r="Z307" s="87"/>
      <c r="AA307" s="87"/>
      <c r="AB307" s="87"/>
      <c r="AC307" s="87"/>
      <c r="AD307" s="87"/>
      <c r="AE307" s="87"/>
      <c r="AF307" s="87"/>
      <c r="AG307" s="87"/>
      <c r="AH307" s="87">
        <v>6</v>
      </c>
      <c r="AI307" s="87"/>
      <c r="AJ307" s="87"/>
      <c r="AK307" s="87"/>
      <c r="AL307" s="87"/>
      <c r="AM307" s="87"/>
      <c r="AN307" s="87"/>
      <c r="AO307" s="87"/>
      <c r="AP307" s="87">
        <v>5</v>
      </c>
      <c r="AQ307" s="87">
        <v>1</v>
      </c>
      <c r="AR307" s="87"/>
      <c r="AS307" s="87"/>
      <c r="AT307" s="87"/>
      <c r="AU307" s="87"/>
      <c r="AV307" s="87"/>
      <c r="AW307" s="88" t="str">
        <f>HYPERLINK("http://www.openstreetmap.org/?mlat=33.4257&amp;mlon=44.3963&amp;zoom=12#map=12/33.4257/44.3963","Maplink1")</f>
        <v>Maplink1</v>
      </c>
      <c r="AX307" s="88" t="str">
        <f>HYPERLINK("https://www.google.iq/maps/search/+33.4257,44.3963/@33.4257,44.3963,14z?hl=en","Maplink2")</f>
        <v>Maplink2</v>
      </c>
      <c r="AY307" s="88" t="str">
        <f>HYPERLINK("http://www.bing.com/maps/?lvl=14&amp;sty=h&amp;cp=33.4257~44.3963&amp;sp=point.33.4257_44.3963","Maplink3")</f>
        <v>Maplink3</v>
      </c>
      <c r="AZ307" s="76"/>
    </row>
    <row r="308" spans="1:52" x14ac:dyDescent="0.25">
      <c r="A308" s="86">
        <v>24449</v>
      </c>
      <c r="B308" s="87" t="s">
        <v>14</v>
      </c>
      <c r="C308" s="87" t="s">
        <v>543</v>
      </c>
      <c r="D308" s="87" t="s">
        <v>5880</v>
      </c>
      <c r="E308" s="87" t="s">
        <v>5881</v>
      </c>
      <c r="F308" s="87">
        <v>33.420789999999997</v>
      </c>
      <c r="G308" s="87">
        <v>44.393900000000002</v>
      </c>
      <c r="H308" s="86">
        <v>2</v>
      </c>
      <c r="I308" s="86">
        <v>12</v>
      </c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>
        <v>2</v>
      </c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>
        <v>2</v>
      </c>
      <c r="AI308" s="87"/>
      <c r="AJ308" s="87"/>
      <c r="AK308" s="87"/>
      <c r="AL308" s="87"/>
      <c r="AM308" s="87"/>
      <c r="AN308" s="87"/>
      <c r="AO308" s="87"/>
      <c r="AP308" s="87">
        <v>2</v>
      </c>
      <c r="AQ308" s="87"/>
      <c r="AR308" s="87"/>
      <c r="AS308" s="87"/>
      <c r="AT308" s="87"/>
      <c r="AU308" s="87"/>
      <c r="AV308" s="87"/>
      <c r="AW308" s="88" t="str">
        <f>HYPERLINK("http://www.openstreetmap.org/?mlat=33.4208&amp;mlon=44.3939&amp;zoom=12#map=12/33.4208/44.3939","Maplink1")</f>
        <v>Maplink1</v>
      </c>
      <c r="AX308" s="88" t="str">
        <f>HYPERLINK("https://www.google.iq/maps/search/+33.4208,44.3939/@33.4208,44.3939,14z?hl=en","Maplink2")</f>
        <v>Maplink2</v>
      </c>
      <c r="AY308" s="88" t="str">
        <f>HYPERLINK("http://www.bing.com/maps/?lvl=14&amp;sty=h&amp;cp=33.4208~44.3939&amp;sp=point.33.4208_44.3939","Maplink3")</f>
        <v>Maplink3</v>
      </c>
      <c r="AZ308" s="76"/>
    </row>
    <row r="309" spans="1:52" x14ac:dyDescent="0.25">
      <c r="A309" s="86">
        <v>24002</v>
      </c>
      <c r="B309" s="87" t="s">
        <v>14</v>
      </c>
      <c r="C309" s="87" t="s">
        <v>543</v>
      </c>
      <c r="D309" s="87" t="s">
        <v>638</v>
      </c>
      <c r="E309" s="87" t="s">
        <v>639</v>
      </c>
      <c r="F309" s="87">
        <v>33.372837986900002</v>
      </c>
      <c r="G309" s="87">
        <v>44.374540080700001</v>
      </c>
      <c r="H309" s="86">
        <v>40</v>
      </c>
      <c r="I309" s="86">
        <v>240</v>
      </c>
      <c r="J309" s="87">
        <v>24</v>
      </c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>
        <v>16</v>
      </c>
      <c r="W309" s="87"/>
      <c r="X309" s="87"/>
      <c r="Y309" s="87"/>
      <c r="Z309" s="87"/>
      <c r="AA309" s="87"/>
      <c r="AB309" s="87"/>
      <c r="AC309" s="87">
        <v>16</v>
      </c>
      <c r="AD309" s="87"/>
      <c r="AE309" s="87"/>
      <c r="AF309" s="87"/>
      <c r="AG309" s="87"/>
      <c r="AH309" s="87">
        <v>20</v>
      </c>
      <c r="AI309" s="87"/>
      <c r="AJ309" s="87"/>
      <c r="AK309" s="87"/>
      <c r="AL309" s="87">
        <v>4</v>
      </c>
      <c r="AM309" s="87"/>
      <c r="AN309" s="87">
        <v>10</v>
      </c>
      <c r="AO309" s="87">
        <v>9</v>
      </c>
      <c r="AP309" s="87">
        <v>4</v>
      </c>
      <c r="AQ309" s="87"/>
      <c r="AR309" s="87"/>
      <c r="AS309" s="87"/>
      <c r="AT309" s="87">
        <v>12</v>
      </c>
      <c r="AU309" s="87">
        <v>5</v>
      </c>
      <c r="AV309" s="87"/>
      <c r="AW309" s="88" t="str">
        <f>HYPERLINK("http://www.openstreetmap.org/?mlat=33.3728&amp;mlon=44.3745&amp;zoom=12#map=12/33.3728/44.3745","Maplink1")</f>
        <v>Maplink1</v>
      </c>
      <c r="AX309" s="88" t="str">
        <f>HYPERLINK("https://www.google.iq/maps/search/+33.3728,44.3745/@33.3728,44.3745,14z?hl=en","Maplink2")</f>
        <v>Maplink2</v>
      </c>
      <c r="AY309" s="88" t="str">
        <f>HYPERLINK("http://www.bing.com/maps/?lvl=14&amp;sty=h&amp;cp=33.3728~44.3745&amp;sp=point.33.3728_44.3745","Maplink3")</f>
        <v>Maplink3</v>
      </c>
      <c r="AZ309" s="76"/>
    </row>
    <row r="310" spans="1:52" x14ac:dyDescent="0.25">
      <c r="A310" s="86">
        <v>23987</v>
      </c>
      <c r="B310" s="87" t="s">
        <v>14</v>
      </c>
      <c r="C310" s="87" t="s">
        <v>543</v>
      </c>
      <c r="D310" s="87" t="s">
        <v>640</v>
      </c>
      <c r="E310" s="87" t="s">
        <v>641</v>
      </c>
      <c r="F310" s="87">
        <v>33.380460414300003</v>
      </c>
      <c r="G310" s="87">
        <v>44.366404685799999</v>
      </c>
      <c r="H310" s="86">
        <v>31</v>
      </c>
      <c r="I310" s="86">
        <v>186</v>
      </c>
      <c r="J310" s="87">
        <v>23</v>
      </c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>
        <v>8</v>
      </c>
      <c r="W310" s="87"/>
      <c r="X310" s="87"/>
      <c r="Y310" s="87"/>
      <c r="Z310" s="87"/>
      <c r="AA310" s="87"/>
      <c r="AB310" s="87"/>
      <c r="AC310" s="87">
        <v>10</v>
      </c>
      <c r="AD310" s="87"/>
      <c r="AE310" s="87"/>
      <c r="AF310" s="87"/>
      <c r="AG310" s="87"/>
      <c r="AH310" s="87">
        <v>11</v>
      </c>
      <c r="AI310" s="87">
        <v>4</v>
      </c>
      <c r="AJ310" s="87"/>
      <c r="AK310" s="87"/>
      <c r="AL310" s="87">
        <v>6</v>
      </c>
      <c r="AM310" s="87"/>
      <c r="AN310" s="87"/>
      <c r="AO310" s="87">
        <v>8</v>
      </c>
      <c r="AP310" s="87"/>
      <c r="AQ310" s="87">
        <v>13</v>
      </c>
      <c r="AR310" s="87"/>
      <c r="AS310" s="87"/>
      <c r="AT310" s="87">
        <v>10</v>
      </c>
      <c r="AU310" s="87"/>
      <c r="AV310" s="87"/>
      <c r="AW310" s="88" t="str">
        <f>HYPERLINK("http://www.openstreetmap.org/?mlat=33.3805&amp;mlon=44.3664&amp;zoom=12#map=12/33.3805/44.3664","Maplink1")</f>
        <v>Maplink1</v>
      </c>
      <c r="AX310" s="88" t="str">
        <f>HYPERLINK("https://www.google.iq/maps/search/+33.3805,44.3664/@33.3805,44.3664,14z?hl=en","Maplink2")</f>
        <v>Maplink2</v>
      </c>
      <c r="AY310" s="88" t="str">
        <f>HYPERLINK("http://www.bing.com/maps/?lvl=14&amp;sty=h&amp;cp=33.3805~44.3664&amp;sp=point.33.3805_44.3664","Maplink3")</f>
        <v>Maplink3</v>
      </c>
      <c r="AZ310" s="76"/>
    </row>
    <row r="311" spans="1:52" x14ac:dyDescent="0.25">
      <c r="A311" s="86">
        <v>24003</v>
      </c>
      <c r="B311" s="87" t="s">
        <v>14</v>
      </c>
      <c r="C311" s="87" t="s">
        <v>543</v>
      </c>
      <c r="D311" s="87" t="s">
        <v>642</v>
      </c>
      <c r="E311" s="87" t="s">
        <v>643</v>
      </c>
      <c r="F311" s="87">
        <v>33.382424723900002</v>
      </c>
      <c r="G311" s="87">
        <v>44.3774598814</v>
      </c>
      <c r="H311" s="86">
        <v>30</v>
      </c>
      <c r="I311" s="86">
        <v>180</v>
      </c>
      <c r="J311" s="87">
        <v>27</v>
      </c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>
        <v>3</v>
      </c>
      <c r="W311" s="87"/>
      <c r="X311" s="87"/>
      <c r="Y311" s="87"/>
      <c r="Z311" s="87"/>
      <c r="AA311" s="87"/>
      <c r="AB311" s="87"/>
      <c r="AC311" s="87">
        <v>14</v>
      </c>
      <c r="AD311" s="87"/>
      <c r="AE311" s="87"/>
      <c r="AF311" s="87"/>
      <c r="AG311" s="87"/>
      <c r="AH311" s="87">
        <v>14</v>
      </c>
      <c r="AI311" s="87"/>
      <c r="AJ311" s="87"/>
      <c r="AK311" s="87"/>
      <c r="AL311" s="87">
        <v>2</v>
      </c>
      <c r="AM311" s="87"/>
      <c r="AN311" s="87"/>
      <c r="AO311" s="87">
        <v>12</v>
      </c>
      <c r="AP311" s="87"/>
      <c r="AQ311" s="87">
        <v>9</v>
      </c>
      <c r="AR311" s="87"/>
      <c r="AS311" s="87"/>
      <c r="AT311" s="87">
        <v>9</v>
      </c>
      <c r="AU311" s="87"/>
      <c r="AV311" s="87"/>
      <c r="AW311" s="88" t="str">
        <f>HYPERLINK("http://www.openstreetmap.org/?mlat=33.3824&amp;mlon=44.3775&amp;zoom=12#map=12/33.3824/44.3775","Maplink1")</f>
        <v>Maplink1</v>
      </c>
      <c r="AX311" s="88" t="str">
        <f>HYPERLINK("https://www.google.iq/maps/search/+33.3824,44.3775/@33.3824,44.3775,14z?hl=en","Maplink2")</f>
        <v>Maplink2</v>
      </c>
      <c r="AY311" s="88" t="str">
        <f>HYPERLINK("http://www.bing.com/maps/?lvl=14&amp;sty=h&amp;cp=33.3824~44.3775&amp;sp=point.33.3824_44.3775","Maplink3")</f>
        <v>Maplink3</v>
      </c>
      <c r="AZ311" s="76"/>
    </row>
    <row r="312" spans="1:52" x14ac:dyDescent="0.25">
      <c r="A312" s="86">
        <v>25219</v>
      </c>
      <c r="B312" s="87" t="s">
        <v>14</v>
      </c>
      <c r="C312" s="87" t="s">
        <v>543</v>
      </c>
      <c r="D312" s="87" t="s">
        <v>644</v>
      </c>
      <c r="E312" s="87" t="s">
        <v>645</v>
      </c>
      <c r="F312" s="87">
        <v>33.6216721965</v>
      </c>
      <c r="G312" s="87">
        <v>44.361402446500001</v>
      </c>
      <c r="H312" s="86">
        <v>3</v>
      </c>
      <c r="I312" s="86">
        <v>18</v>
      </c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>
        <v>3</v>
      </c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>
        <v>3</v>
      </c>
      <c r="AI312" s="87"/>
      <c r="AJ312" s="87"/>
      <c r="AK312" s="87"/>
      <c r="AL312" s="87"/>
      <c r="AM312" s="87"/>
      <c r="AN312" s="87"/>
      <c r="AO312" s="87"/>
      <c r="AP312" s="87"/>
      <c r="AQ312" s="87">
        <v>3</v>
      </c>
      <c r="AR312" s="87"/>
      <c r="AS312" s="87"/>
      <c r="AT312" s="87"/>
      <c r="AU312" s="87"/>
      <c r="AV312" s="87"/>
      <c r="AW312" s="88" t="str">
        <f>HYPERLINK("http://www.openstreetmap.org/?mlat=33.6217&amp;mlon=44.3614&amp;zoom=12#map=12/33.6217/44.3614","Maplink1")</f>
        <v>Maplink1</v>
      </c>
      <c r="AX312" s="88" t="str">
        <f>HYPERLINK("https://www.google.iq/maps/search/+33.6217,44.3614/@33.6217,44.3614,14z?hl=en","Maplink2")</f>
        <v>Maplink2</v>
      </c>
      <c r="AY312" s="88" t="str">
        <f>HYPERLINK("http://www.bing.com/maps/?lvl=14&amp;sty=h&amp;cp=33.6217~44.3614&amp;sp=point.33.6217_44.3614","Maplink3")</f>
        <v>Maplink3</v>
      </c>
      <c r="AZ312" s="76"/>
    </row>
    <row r="313" spans="1:52" x14ac:dyDescent="0.25">
      <c r="A313" s="86">
        <v>25619</v>
      </c>
      <c r="B313" s="87" t="s">
        <v>14</v>
      </c>
      <c r="C313" s="87" t="s">
        <v>543</v>
      </c>
      <c r="D313" s="87" t="s">
        <v>646</v>
      </c>
      <c r="E313" s="87" t="s">
        <v>647</v>
      </c>
      <c r="F313" s="87">
        <v>33.358793617099998</v>
      </c>
      <c r="G313" s="87">
        <v>44.389716700000001</v>
      </c>
      <c r="H313" s="86">
        <v>5</v>
      </c>
      <c r="I313" s="86">
        <v>30</v>
      </c>
      <c r="J313" s="87">
        <v>2</v>
      </c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>
        <v>3</v>
      </c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>
        <v>5</v>
      </c>
      <c r="AI313" s="87"/>
      <c r="AJ313" s="87"/>
      <c r="AK313" s="87"/>
      <c r="AL313" s="87"/>
      <c r="AM313" s="87"/>
      <c r="AN313" s="87"/>
      <c r="AO313" s="87">
        <v>4</v>
      </c>
      <c r="AP313" s="87"/>
      <c r="AQ313" s="87"/>
      <c r="AR313" s="87"/>
      <c r="AS313" s="87"/>
      <c r="AT313" s="87">
        <v>1</v>
      </c>
      <c r="AU313" s="87"/>
      <c r="AV313" s="87"/>
      <c r="AW313" s="88" t="str">
        <f>HYPERLINK("http://www.openstreetmap.org/?mlat=33.3588&amp;mlon=44.3897&amp;zoom=12#map=12/33.3588/44.3897","Maplink1")</f>
        <v>Maplink1</v>
      </c>
      <c r="AX313" s="88" t="str">
        <f>HYPERLINK("https://www.google.iq/maps/search/+33.3588,44.3897/@33.3588,44.3897,14z?hl=en","Maplink2")</f>
        <v>Maplink2</v>
      </c>
      <c r="AY313" s="88" t="str">
        <f>HYPERLINK("http://www.bing.com/maps/?lvl=14&amp;sty=h&amp;cp=33.3588~44.3897&amp;sp=point.33.3588_44.3897","Maplink3")</f>
        <v>Maplink3</v>
      </c>
      <c r="AZ313" s="76"/>
    </row>
    <row r="314" spans="1:52" x14ac:dyDescent="0.25">
      <c r="A314" s="86">
        <v>25216</v>
      </c>
      <c r="B314" s="87" t="s">
        <v>14</v>
      </c>
      <c r="C314" s="87" t="s">
        <v>543</v>
      </c>
      <c r="D314" s="87" t="s">
        <v>648</v>
      </c>
      <c r="E314" s="87" t="s">
        <v>649</v>
      </c>
      <c r="F314" s="87">
        <v>33.561009459499999</v>
      </c>
      <c r="G314" s="87">
        <v>44.353045250699999</v>
      </c>
      <c r="H314" s="86">
        <v>2</v>
      </c>
      <c r="I314" s="86">
        <v>12</v>
      </c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>
        <v>2</v>
      </c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>
        <v>2</v>
      </c>
      <c r="AI314" s="87"/>
      <c r="AJ314" s="87"/>
      <c r="AK314" s="87"/>
      <c r="AL314" s="87"/>
      <c r="AM314" s="87"/>
      <c r="AN314" s="87"/>
      <c r="AO314" s="87"/>
      <c r="AP314" s="87"/>
      <c r="AQ314" s="87">
        <v>2</v>
      </c>
      <c r="AR314" s="87"/>
      <c r="AS314" s="87"/>
      <c r="AT314" s="87"/>
      <c r="AU314" s="87"/>
      <c r="AV314" s="87"/>
      <c r="AW314" s="88" t="str">
        <f>HYPERLINK("http://www.openstreetmap.org/?mlat=33.561&amp;mlon=44.353&amp;zoom=12#map=12/33.561/44.353","Maplink1")</f>
        <v>Maplink1</v>
      </c>
      <c r="AX314" s="88" t="str">
        <f>HYPERLINK("https://www.google.iq/maps/search/+33.561,44.353/@33.561,44.353,14z?hl=en","Maplink2")</f>
        <v>Maplink2</v>
      </c>
      <c r="AY314" s="88" t="str">
        <f>HYPERLINK("http://www.bing.com/maps/?lvl=14&amp;sty=h&amp;cp=33.561~44.353&amp;sp=point.33.561_44.353","Maplink3")</f>
        <v>Maplink3</v>
      </c>
      <c r="AZ314" s="76"/>
    </row>
    <row r="315" spans="1:52" x14ac:dyDescent="0.25">
      <c r="A315" s="86">
        <v>25394</v>
      </c>
      <c r="B315" s="87" t="s">
        <v>14</v>
      </c>
      <c r="C315" s="87" t="s">
        <v>543</v>
      </c>
      <c r="D315" s="87" t="s">
        <v>650</v>
      </c>
      <c r="E315" s="87" t="s">
        <v>651</v>
      </c>
      <c r="F315" s="87">
        <v>33.466951093900001</v>
      </c>
      <c r="G315" s="87">
        <v>44.385250364500003</v>
      </c>
      <c r="H315" s="86">
        <v>13</v>
      </c>
      <c r="I315" s="86">
        <v>78</v>
      </c>
      <c r="J315" s="87">
        <v>4</v>
      </c>
      <c r="K315" s="87"/>
      <c r="L315" s="87"/>
      <c r="M315" s="87"/>
      <c r="N315" s="87"/>
      <c r="O315" s="87"/>
      <c r="P315" s="87"/>
      <c r="Q315" s="87"/>
      <c r="R315" s="87">
        <v>2</v>
      </c>
      <c r="S315" s="87"/>
      <c r="T315" s="87"/>
      <c r="U315" s="87"/>
      <c r="V315" s="87"/>
      <c r="W315" s="87"/>
      <c r="X315" s="87">
        <v>7</v>
      </c>
      <c r="Y315" s="87"/>
      <c r="Z315" s="87"/>
      <c r="AA315" s="87"/>
      <c r="AB315" s="87"/>
      <c r="AC315" s="87"/>
      <c r="AD315" s="87"/>
      <c r="AE315" s="87"/>
      <c r="AF315" s="87"/>
      <c r="AG315" s="87"/>
      <c r="AH315" s="87">
        <v>11</v>
      </c>
      <c r="AI315" s="87">
        <v>2</v>
      </c>
      <c r="AJ315" s="87"/>
      <c r="AK315" s="87"/>
      <c r="AL315" s="87"/>
      <c r="AM315" s="87"/>
      <c r="AN315" s="87">
        <v>4</v>
      </c>
      <c r="AO315" s="87">
        <v>7</v>
      </c>
      <c r="AP315" s="87"/>
      <c r="AQ315" s="87"/>
      <c r="AR315" s="87"/>
      <c r="AS315" s="87">
        <v>2</v>
      </c>
      <c r="AT315" s="87"/>
      <c r="AU315" s="87"/>
      <c r="AV315" s="87"/>
      <c r="AW315" s="88" t="str">
        <f>HYPERLINK("http://www.openstreetmap.org/?mlat=33.467&amp;mlon=44.3853&amp;zoom=12#map=12/33.467/44.3853","Maplink1")</f>
        <v>Maplink1</v>
      </c>
      <c r="AX315" s="88" t="str">
        <f>HYPERLINK("https://www.google.iq/maps/search/+33.467,44.3853/@33.467,44.3853,14z?hl=en","Maplink2")</f>
        <v>Maplink2</v>
      </c>
      <c r="AY315" s="88" t="str">
        <f>HYPERLINK("http://www.bing.com/maps/?lvl=14&amp;sty=h&amp;cp=33.467~44.3853&amp;sp=point.33.467_44.3853","Maplink3")</f>
        <v>Maplink3</v>
      </c>
      <c r="AZ315" s="76"/>
    </row>
    <row r="316" spans="1:52" x14ac:dyDescent="0.25">
      <c r="A316" s="86">
        <v>25397</v>
      </c>
      <c r="B316" s="87" t="s">
        <v>14</v>
      </c>
      <c r="C316" s="87" t="s">
        <v>543</v>
      </c>
      <c r="D316" s="87" t="s">
        <v>652</v>
      </c>
      <c r="E316" s="87" t="s">
        <v>653</v>
      </c>
      <c r="F316" s="87">
        <v>33.446439558599998</v>
      </c>
      <c r="G316" s="87">
        <v>44.386211407600001</v>
      </c>
      <c r="H316" s="86">
        <v>10</v>
      </c>
      <c r="I316" s="86">
        <v>60</v>
      </c>
      <c r="J316" s="87">
        <v>2</v>
      </c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>
        <v>3</v>
      </c>
      <c r="W316" s="87"/>
      <c r="X316" s="87">
        <v>5</v>
      </c>
      <c r="Y316" s="87"/>
      <c r="Z316" s="87"/>
      <c r="AA316" s="87"/>
      <c r="AB316" s="87"/>
      <c r="AC316" s="87">
        <v>3</v>
      </c>
      <c r="AD316" s="87"/>
      <c r="AE316" s="87"/>
      <c r="AF316" s="87"/>
      <c r="AG316" s="87"/>
      <c r="AH316" s="87">
        <v>7</v>
      </c>
      <c r="AI316" s="87"/>
      <c r="AJ316" s="87"/>
      <c r="AK316" s="87"/>
      <c r="AL316" s="87"/>
      <c r="AM316" s="87"/>
      <c r="AN316" s="87"/>
      <c r="AO316" s="87"/>
      <c r="AP316" s="87">
        <v>5</v>
      </c>
      <c r="AQ316" s="87">
        <v>5</v>
      </c>
      <c r="AR316" s="87"/>
      <c r="AS316" s="87"/>
      <c r="AT316" s="87"/>
      <c r="AU316" s="87"/>
      <c r="AV316" s="87"/>
      <c r="AW316" s="88" t="str">
        <f>HYPERLINK("http://www.openstreetmap.org/?mlat=33.4464&amp;mlon=44.3862&amp;zoom=12#map=12/33.4464/44.3862","Maplink1")</f>
        <v>Maplink1</v>
      </c>
      <c r="AX316" s="88" t="str">
        <f>HYPERLINK("https://www.google.iq/maps/search/+33.4464,44.3862/@33.4464,44.3862,14z?hl=en","Maplink2")</f>
        <v>Maplink2</v>
      </c>
      <c r="AY316" s="88" t="str">
        <f>HYPERLINK("http://www.bing.com/maps/?lvl=14&amp;sty=h&amp;cp=33.4464~44.3862&amp;sp=point.33.4464_44.3862","Maplink3")</f>
        <v>Maplink3</v>
      </c>
      <c r="AZ316" s="76"/>
    </row>
    <row r="317" spans="1:52" x14ac:dyDescent="0.25">
      <c r="A317" s="86">
        <v>25396</v>
      </c>
      <c r="B317" s="87" t="s">
        <v>14</v>
      </c>
      <c r="C317" s="87" t="s">
        <v>543</v>
      </c>
      <c r="D317" s="87" t="s">
        <v>654</v>
      </c>
      <c r="E317" s="87" t="s">
        <v>655</v>
      </c>
      <c r="F317" s="87">
        <v>33.439286322100003</v>
      </c>
      <c r="G317" s="87">
        <v>44.3917032158</v>
      </c>
      <c r="H317" s="86">
        <v>7</v>
      </c>
      <c r="I317" s="86">
        <v>42</v>
      </c>
      <c r="J317" s="87"/>
      <c r="K317" s="87"/>
      <c r="L317" s="87"/>
      <c r="M317" s="87"/>
      <c r="N317" s="87"/>
      <c r="O317" s="87">
        <v>2</v>
      </c>
      <c r="P317" s="87"/>
      <c r="Q317" s="87"/>
      <c r="R317" s="87"/>
      <c r="S317" s="87"/>
      <c r="T317" s="87"/>
      <c r="U317" s="87"/>
      <c r="V317" s="87"/>
      <c r="W317" s="87"/>
      <c r="X317" s="87">
        <v>5</v>
      </c>
      <c r="Y317" s="87"/>
      <c r="Z317" s="87"/>
      <c r="AA317" s="87"/>
      <c r="AB317" s="87"/>
      <c r="AC317" s="87"/>
      <c r="AD317" s="87"/>
      <c r="AE317" s="87"/>
      <c r="AF317" s="87"/>
      <c r="AG317" s="87"/>
      <c r="AH317" s="87">
        <v>7</v>
      </c>
      <c r="AI317" s="87"/>
      <c r="AJ317" s="87"/>
      <c r="AK317" s="87"/>
      <c r="AL317" s="87"/>
      <c r="AM317" s="87"/>
      <c r="AN317" s="87"/>
      <c r="AO317" s="87">
        <v>2</v>
      </c>
      <c r="AP317" s="87"/>
      <c r="AQ317" s="87">
        <v>5</v>
      </c>
      <c r="AR317" s="87"/>
      <c r="AS317" s="87"/>
      <c r="AT317" s="87"/>
      <c r="AU317" s="87"/>
      <c r="AV317" s="87"/>
      <c r="AW317" s="88" t="str">
        <f>HYPERLINK("http://www.openstreetmap.org/?mlat=33.4393&amp;mlon=44.3917&amp;zoom=12#map=12/33.4393/44.3917","Maplink1")</f>
        <v>Maplink1</v>
      </c>
      <c r="AX317" s="88" t="str">
        <f>HYPERLINK("https://www.google.iq/maps/search/+33.4393,44.3917/@33.4393,44.3917,14z?hl=en","Maplink2")</f>
        <v>Maplink2</v>
      </c>
      <c r="AY317" s="88" t="str">
        <f>HYPERLINK("http://www.bing.com/maps/?lvl=14&amp;sty=h&amp;cp=33.4393~44.3917&amp;sp=point.33.4393_44.3917","Maplink3")</f>
        <v>Maplink3</v>
      </c>
      <c r="AZ317" s="76"/>
    </row>
    <row r="318" spans="1:52" x14ac:dyDescent="0.25">
      <c r="A318" s="86">
        <v>25398</v>
      </c>
      <c r="B318" s="87" t="s">
        <v>14</v>
      </c>
      <c r="C318" s="87" t="s">
        <v>543</v>
      </c>
      <c r="D318" s="87" t="s">
        <v>656</v>
      </c>
      <c r="E318" s="87" t="s">
        <v>657</v>
      </c>
      <c r="F318" s="87">
        <v>33.4566134174</v>
      </c>
      <c r="G318" s="87">
        <v>44.364923504499998</v>
      </c>
      <c r="H318" s="86">
        <v>8</v>
      </c>
      <c r="I318" s="86">
        <v>48</v>
      </c>
      <c r="J318" s="87">
        <v>2</v>
      </c>
      <c r="K318" s="87"/>
      <c r="L318" s="87"/>
      <c r="M318" s="87"/>
      <c r="N318" s="87"/>
      <c r="O318" s="87">
        <v>2</v>
      </c>
      <c r="P318" s="87"/>
      <c r="Q318" s="87"/>
      <c r="R318" s="87"/>
      <c r="S318" s="87"/>
      <c r="T318" s="87"/>
      <c r="U318" s="87"/>
      <c r="V318" s="87">
        <v>1</v>
      </c>
      <c r="W318" s="87"/>
      <c r="X318" s="87">
        <v>3</v>
      </c>
      <c r="Y318" s="87"/>
      <c r="Z318" s="87"/>
      <c r="AA318" s="87"/>
      <c r="AB318" s="87"/>
      <c r="AC318" s="87">
        <v>3</v>
      </c>
      <c r="AD318" s="87"/>
      <c r="AE318" s="87"/>
      <c r="AF318" s="87"/>
      <c r="AG318" s="87"/>
      <c r="AH318" s="87">
        <v>5</v>
      </c>
      <c r="AI318" s="87"/>
      <c r="AJ318" s="87"/>
      <c r="AK318" s="87"/>
      <c r="AL318" s="87"/>
      <c r="AM318" s="87"/>
      <c r="AN318" s="87"/>
      <c r="AO318" s="87"/>
      <c r="AP318" s="87">
        <v>1</v>
      </c>
      <c r="AQ318" s="87">
        <v>3</v>
      </c>
      <c r="AR318" s="87">
        <v>4</v>
      </c>
      <c r="AS318" s="87"/>
      <c r="AT318" s="87"/>
      <c r="AU318" s="87"/>
      <c r="AV318" s="87"/>
      <c r="AW318" s="88" t="str">
        <f>HYPERLINK("http://www.openstreetmap.org/?mlat=33.4566&amp;mlon=44.3649&amp;zoom=12#map=12/33.4566/44.3649","Maplink1")</f>
        <v>Maplink1</v>
      </c>
      <c r="AX318" s="88" t="str">
        <f>HYPERLINK("https://www.google.iq/maps/search/+33.4566,44.3649/@33.4566,44.3649,14z?hl=en","Maplink2")</f>
        <v>Maplink2</v>
      </c>
      <c r="AY318" s="88" t="str">
        <f>HYPERLINK("http://www.bing.com/maps/?lvl=14&amp;sty=h&amp;cp=33.4566~44.3649&amp;sp=point.33.4566_44.3649","Maplink3")</f>
        <v>Maplink3</v>
      </c>
      <c r="AZ318" s="76"/>
    </row>
    <row r="319" spans="1:52" x14ac:dyDescent="0.25">
      <c r="A319" s="86">
        <v>24988</v>
      </c>
      <c r="B319" s="87" t="s">
        <v>14</v>
      </c>
      <c r="C319" s="87" t="s">
        <v>543</v>
      </c>
      <c r="D319" s="87" t="s">
        <v>658</v>
      </c>
      <c r="E319" s="87" t="s">
        <v>659</v>
      </c>
      <c r="F319" s="87">
        <v>33.4534079242</v>
      </c>
      <c r="G319" s="87">
        <v>44.345116615199998</v>
      </c>
      <c r="H319" s="86">
        <v>12</v>
      </c>
      <c r="I319" s="86">
        <v>72</v>
      </c>
      <c r="J319" s="87">
        <v>4</v>
      </c>
      <c r="K319" s="87"/>
      <c r="L319" s="87"/>
      <c r="M319" s="87"/>
      <c r="N319" s="87"/>
      <c r="O319" s="87">
        <v>4</v>
      </c>
      <c r="P319" s="87"/>
      <c r="Q319" s="87"/>
      <c r="R319" s="87"/>
      <c r="S319" s="87"/>
      <c r="T319" s="87"/>
      <c r="U319" s="87"/>
      <c r="V319" s="87">
        <v>4</v>
      </c>
      <c r="W319" s="87"/>
      <c r="X319" s="87"/>
      <c r="Y319" s="87"/>
      <c r="Z319" s="87"/>
      <c r="AA319" s="87"/>
      <c r="AB319" s="87"/>
      <c r="AC319" s="87">
        <v>4</v>
      </c>
      <c r="AD319" s="87"/>
      <c r="AE319" s="87"/>
      <c r="AF319" s="87"/>
      <c r="AG319" s="87"/>
      <c r="AH319" s="87">
        <v>8</v>
      </c>
      <c r="AI319" s="87"/>
      <c r="AJ319" s="87"/>
      <c r="AK319" s="87"/>
      <c r="AL319" s="87"/>
      <c r="AM319" s="87"/>
      <c r="AN319" s="87"/>
      <c r="AO319" s="87"/>
      <c r="AP319" s="87">
        <v>12</v>
      </c>
      <c r="AQ319" s="87"/>
      <c r="AR319" s="87"/>
      <c r="AS319" s="87"/>
      <c r="AT319" s="87"/>
      <c r="AU319" s="87"/>
      <c r="AV319" s="87"/>
      <c r="AW319" s="88" t="str">
        <f>HYPERLINK("http://www.openstreetmap.org/?mlat=33.4534&amp;mlon=44.3451&amp;zoom=12#map=12/33.4534/44.3451","Maplink1")</f>
        <v>Maplink1</v>
      </c>
      <c r="AX319" s="88" t="str">
        <f>HYPERLINK("https://www.google.iq/maps/search/+33.4534,44.3451/@33.4534,44.3451,14z?hl=en","Maplink2")</f>
        <v>Maplink2</v>
      </c>
      <c r="AY319" s="88" t="str">
        <f>HYPERLINK("http://www.bing.com/maps/?lvl=14&amp;sty=h&amp;cp=33.4534~44.3451&amp;sp=point.33.4534_44.3451","Maplink3")</f>
        <v>Maplink3</v>
      </c>
      <c r="AZ319" s="76"/>
    </row>
    <row r="320" spans="1:52" x14ac:dyDescent="0.25">
      <c r="A320" s="86">
        <v>24176</v>
      </c>
      <c r="B320" s="87" t="s">
        <v>14</v>
      </c>
      <c r="C320" s="87" t="s">
        <v>543</v>
      </c>
      <c r="D320" s="87" t="s">
        <v>660</v>
      </c>
      <c r="E320" s="87" t="s">
        <v>661</v>
      </c>
      <c r="F320" s="87">
        <v>33.398022281199999</v>
      </c>
      <c r="G320" s="87">
        <v>44.353749895699998</v>
      </c>
      <c r="H320" s="86">
        <v>34</v>
      </c>
      <c r="I320" s="86">
        <v>204</v>
      </c>
      <c r="J320" s="87">
        <v>15</v>
      </c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>
        <v>12</v>
      </c>
      <c r="W320" s="87"/>
      <c r="X320" s="87">
        <v>7</v>
      </c>
      <c r="Y320" s="87"/>
      <c r="Z320" s="87"/>
      <c r="AA320" s="87"/>
      <c r="AB320" s="87"/>
      <c r="AC320" s="87"/>
      <c r="AD320" s="87"/>
      <c r="AE320" s="87"/>
      <c r="AF320" s="87"/>
      <c r="AG320" s="87"/>
      <c r="AH320" s="87">
        <v>34</v>
      </c>
      <c r="AI320" s="87"/>
      <c r="AJ320" s="87"/>
      <c r="AK320" s="87"/>
      <c r="AL320" s="87"/>
      <c r="AM320" s="87"/>
      <c r="AN320" s="87">
        <v>15</v>
      </c>
      <c r="AO320" s="87">
        <v>12</v>
      </c>
      <c r="AP320" s="87"/>
      <c r="AQ320" s="87">
        <v>7</v>
      </c>
      <c r="AR320" s="87"/>
      <c r="AS320" s="87"/>
      <c r="AT320" s="87"/>
      <c r="AU320" s="87"/>
      <c r="AV320" s="87"/>
      <c r="AW320" s="88" t="str">
        <f>HYPERLINK("http://www.openstreetmap.org/?mlat=33.398&amp;mlon=44.3537&amp;zoom=12#map=12/33.398/44.3537","Maplink1")</f>
        <v>Maplink1</v>
      </c>
      <c r="AX320" s="88" t="str">
        <f>HYPERLINK("https://www.google.iq/maps/search/+33.398,44.3537/@33.398,44.3537,14z?hl=en","Maplink2")</f>
        <v>Maplink2</v>
      </c>
      <c r="AY320" s="88" t="str">
        <f>HYPERLINK("http://www.bing.com/maps/?lvl=14&amp;sty=h&amp;cp=33.398~44.3537&amp;sp=point.33.398_44.3537","Maplink3")</f>
        <v>Maplink3</v>
      </c>
      <c r="AZ320" s="76"/>
    </row>
    <row r="321" spans="1:52" x14ac:dyDescent="0.25">
      <c r="A321" s="86">
        <v>27255</v>
      </c>
      <c r="B321" s="87" t="s">
        <v>14</v>
      </c>
      <c r="C321" s="87" t="s">
        <v>543</v>
      </c>
      <c r="D321" s="87" t="s">
        <v>662</v>
      </c>
      <c r="E321" s="87" t="s">
        <v>663</v>
      </c>
      <c r="F321" s="87">
        <v>33.4011153179</v>
      </c>
      <c r="G321" s="87">
        <v>44.351246144999998</v>
      </c>
      <c r="H321" s="86">
        <v>15</v>
      </c>
      <c r="I321" s="86">
        <v>90</v>
      </c>
      <c r="J321" s="87">
        <v>5</v>
      </c>
      <c r="K321" s="87"/>
      <c r="L321" s="87"/>
      <c r="M321" s="87"/>
      <c r="N321" s="87"/>
      <c r="O321" s="87">
        <v>2</v>
      </c>
      <c r="P321" s="87"/>
      <c r="Q321" s="87"/>
      <c r="R321" s="87"/>
      <c r="S321" s="87"/>
      <c r="T321" s="87"/>
      <c r="U321" s="87"/>
      <c r="V321" s="87">
        <v>4</v>
      </c>
      <c r="W321" s="87"/>
      <c r="X321" s="87">
        <v>4</v>
      </c>
      <c r="Y321" s="87"/>
      <c r="Z321" s="87"/>
      <c r="AA321" s="87"/>
      <c r="AB321" s="87"/>
      <c r="AC321" s="87"/>
      <c r="AD321" s="87"/>
      <c r="AE321" s="87"/>
      <c r="AF321" s="87"/>
      <c r="AG321" s="87"/>
      <c r="AH321" s="87">
        <v>15</v>
      </c>
      <c r="AI321" s="87"/>
      <c r="AJ321" s="87"/>
      <c r="AK321" s="87"/>
      <c r="AL321" s="87"/>
      <c r="AM321" s="87"/>
      <c r="AN321" s="87"/>
      <c r="AO321" s="87"/>
      <c r="AP321" s="87"/>
      <c r="AQ321" s="87">
        <v>5</v>
      </c>
      <c r="AR321" s="87">
        <v>6</v>
      </c>
      <c r="AS321" s="87"/>
      <c r="AT321" s="87">
        <v>4</v>
      </c>
      <c r="AU321" s="87"/>
      <c r="AV321" s="87"/>
      <c r="AW321" s="88" t="str">
        <f>HYPERLINK("http://www.openstreetmap.org/?mlat=33.4011&amp;mlon=44.3512&amp;zoom=12#map=12/33.4011/44.3512","Maplink1")</f>
        <v>Maplink1</v>
      </c>
      <c r="AX321" s="88" t="str">
        <f>HYPERLINK("https://www.google.iq/maps/search/+33.4011,44.3512/@33.4011,44.3512,14z?hl=en","Maplink2")</f>
        <v>Maplink2</v>
      </c>
      <c r="AY321" s="88" t="str">
        <f>HYPERLINK("http://www.bing.com/maps/?lvl=14&amp;sty=h&amp;cp=33.4011~44.3512&amp;sp=point.33.4011_44.3512","Maplink3")</f>
        <v>Maplink3</v>
      </c>
      <c r="AZ321" s="76"/>
    </row>
    <row r="322" spans="1:52" x14ac:dyDescent="0.25">
      <c r="A322" s="86">
        <v>27256</v>
      </c>
      <c r="B322" s="87" t="s">
        <v>14</v>
      </c>
      <c r="C322" s="87" t="s">
        <v>543</v>
      </c>
      <c r="D322" s="87" t="s">
        <v>664</v>
      </c>
      <c r="E322" s="87" t="s">
        <v>665</v>
      </c>
      <c r="F322" s="87">
        <v>33.402868917399999</v>
      </c>
      <c r="G322" s="87">
        <v>44.3419580869</v>
      </c>
      <c r="H322" s="86">
        <v>36</v>
      </c>
      <c r="I322" s="86">
        <v>216</v>
      </c>
      <c r="J322" s="87">
        <v>11</v>
      </c>
      <c r="K322" s="87"/>
      <c r="L322" s="87"/>
      <c r="M322" s="87"/>
      <c r="N322" s="87"/>
      <c r="O322" s="87">
        <v>6</v>
      </c>
      <c r="P322" s="87"/>
      <c r="Q322" s="87"/>
      <c r="R322" s="87">
        <v>2</v>
      </c>
      <c r="S322" s="87"/>
      <c r="T322" s="87"/>
      <c r="U322" s="87"/>
      <c r="V322" s="87">
        <v>12</v>
      </c>
      <c r="W322" s="87"/>
      <c r="X322" s="87">
        <v>5</v>
      </c>
      <c r="Y322" s="87"/>
      <c r="Z322" s="87"/>
      <c r="AA322" s="87"/>
      <c r="AB322" s="87"/>
      <c r="AC322" s="87"/>
      <c r="AD322" s="87"/>
      <c r="AE322" s="87"/>
      <c r="AF322" s="87"/>
      <c r="AG322" s="87"/>
      <c r="AH322" s="87">
        <v>36</v>
      </c>
      <c r="AI322" s="87"/>
      <c r="AJ322" s="87"/>
      <c r="AK322" s="87"/>
      <c r="AL322" s="87"/>
      <c r="AM322" s="87"/>
      <c r="AN322" s="87">
        <v>11</v>
      </c>
      <c r="AO322" s="87"/>
      <c r="AP322" s="87">
        <v>18</v>
      </c>
      <c r="AQ322" s="87">
        <v>5</v>
      </c>
      <c r="AR322" s="87"/>
      <c r="AS322" s="87"/>
      <c r="AT322" s="87">
        <v>2</v>
      </c>
      <c r="AU322" s="87"/>
      <c r="AV322" s="87"/>
      <c r="AW322" s="88" t="str">
        <f>HYPERLINK("http://www.openstreetmap.org/?mlat=33.4029&amp;mlon=44.342&amp;zoom=12#map=12/33.4029/44.342","Maplink1")</f>
        <v>Maplink1</v>
      </c>
      <c r="AX322" s="88" t="str">
        <f>HYPERLINK("https://www.google.iq/maps/search/+33.4029,44.342/@33.4029,44.342,14z?hl=en","Maplink2")</f>
        <v>Maplink2</v>
      </c>
      <c r="AY322" s="88" t="str">
        <f>HYPERLINK("http://www.bing.com/maps/?lvl=14&amp;sty=h&amp;cp=33.4029~44.342&amp;sp=point.33.4029_44.342","Maplink3")</f>
        <v>Maplink3</v>
      </c>
      <c r="AZ322" s="76"/>
    </row>
    <row r="323" spans="1:52" x14ac:dyDescent="0.25">
      <c r="A323" s="86">
        <v>22777</v>
      </c>
      <c r="B323" s="87" t="s">
        <v>14</v>
      </c>
      <c r="C323" s="87" t="s">
        <v>543</v>
      </c>
      <c r="D323" s="87" t="s">
        <v>666</v>
      </c>
      <c r="E323" s="87" t="s">
        <v>667</v>
      </c>
      <c r="F323" s="87">
        <v>33.405383388499999</v>
      </c>
      <c r="G323" s="87">
        <v>44.359334803400003</v>
      </c>
      <c r="H323" s="86">
        <v>39</v>
      </c>
      <c r="I323" s="86">
        <v>234</v>
      </c>
      <c r="J323" s="87">
        <v>21</v>
      </c>
      <c r="K323" s="87"/>
      <c r="L323" s="87"/>
      <c r="M323" s="87"/>
      <c r="N323" s="87"/>
      <c r="O323" s="87">
        <v>3</v>
      </c>
      <c r="P323" s="87"/>
      <c r="Q323" s="87"/>
      <c r="R323" s="87"/>
      <c r="S323" s="87"/>
      <c r="T323" s="87"/>
      <c r="U323" s="87"/>
      <c r="V323" s="87">
        <v>15</v>
      </c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>
        <v>39</v>
      </c>
      <c r="AI323" s="87"/>
      <c r="AJ323" s="87"/>
      <c r="AK323" s="87"/>
      <c r="AL323" s="87"/>
      <c r="AM323" s="87"/>
      <c r="AN323" s="87">
        <v>21</v>
      </c>
      <c r="AO323" s="87">
        <v>3</v>
      </c>
      <c r="AP323" s="87">
        <v>15</v>
      </c>
      <c r="AQ323" s="87"/>
      <c r="AR323" s="87"/>
      <c r="AS323" s="87"/>
      <c r="AT323" s="87"/>
      <c r="AU323" s="87"/>
      <c r="AV323" s="87"/>
      <c r="AW323" s="88" t="str">
        <f>HYPERLINK("http://www.openstreetmap.org/?mlat=33.4054&amp;mlon=44.3593&amp;zoom=12#map=12/33.4054/44.3593","Maplink1")</f>
        <v>Maplink1</v>
      </c>
      <c r="AX323" s="88" t="str">
        <f>HYPERLINK("https://www.google.iq/maps/search/+33.4054,44.3593/@33.4054,44.3593,14z?hl=en","Maplink2")</f>
        <v>Maplink2</v>
      </c>
      <c r="AY323" s="88" t="str">
        <f>HYPERLINK("http://www.bing.com/maps/?lvl=14&amp;sty=h&amp;cp=33.4054~44.3593&amp;sp=point.33.4054_44.3593","Maplink3")</f>
        <v>Maplink3</v>
      </c>
      <c r="AZ323" s="76"/>
    </row>
    <row r="324" spans="1:52" x14ac:dyDescent="0.25">
      <c r="A324" s="86">
        <v>22874</v>
      </c>
      <c r="B324" s="87" t="s">
        <v>14</v>
      </c>
      <c r="C324" s="87" t="s">
        <v>543</v>
      </c>
      <c r="D324" s="87" t="s">
        <v>668</v>
      </c>
      <c r="E324" s="87" t="s">
        <v>669</v>
      </c>
      <c r="F324" s="87">
        <v>33.410444766300003</v>
      </c>
      <c r="G324" s="87">
        <v>44.348084185300003</v>
      </c>
      <c r="H324" s="86">
        <v>25</v>
      </c>
      <c r="I324" s="86">
        <v>150</v>
      </c>
      <c r="J324" s="87">
        <v>12</v>
      </c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>
        <v>13</v>
      </c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>
        <v>25</v>
      </c>
      <c r="AI324" s="87"/>
      <c r="AJ324" s="87"/>
      <c r="AK324" s="87"/>
      <c r="AL324" s="87"/>
      <c r="AM324" s="87"/>
      <c r="AN324" s="87">
        <v>13</v>
      </c>
      <c r="AO324" s="87"/>
      <c r="AP324" s="87">
        <v>12</v>
      </c>
      <c r="AQ324" s="87"/>
      <c r="AR324" s="87"/>
      <c r="AS324" s="87"/>
      <c r="AT324" s="87"/>
      <c r="AU324" s="87"/>
      <c r="AV324" s="87"/>
      <c r="AW324" s="88" t="str">
        <f>HYPERLINK("http://www.openstreetmap.org/?mlat=33.4104&amp;mlon=44.3481&amp;zoom=12#map=12/33.4104/44.3481","Maplink1")</f>
        <v>Maplink1</v>
      </c>
      <c r="AX324" s="88" t="str">
        <f>HYPERLINK("https://www.google.iq/maps/search/+33.4104,44.3481/@33.4104,44.3481,14z?hl=en","Maplink2")</f>
        <v>Maplink2</v>
      </c>
      <c r="AY324" s="88" t="str">
        <f>HYPERLINK("http://www.bing.com/maps/?lvl=14&amp;sty=h&amp;cp=33.4104~44.3481&amp;sp=point.33.4104_44.3481","Maplink3")</f>
        <v>Maplink3</v>
      </c>
      <c r="AZ324" s="76"/>
    </row>
    <row r="325" spans="1:52" x14ac:dyDescent="0.25">
      <c r="A325" s="86">
        <v>27325</v>
      </c>
      <c r="B325" s="87" t="s">
        <v>14</v>
      </c>
      <c r="C325" s="87" t="s">
        <v>543</v>
      </c>
      <c r="D325" s="87" t="s">
        <v>670</v>
      </c>
      <c r="E325" s="87" t="s">
        <v>671</v>
      </c>
      <c r="F325" s="87">
        <v>33.396988610100003</v>
      </c>
      <c r="G325" s="87">
        <v>44.416917232999999</v>
      </c>
      <c r="H325" s="86">
        <v>23</v>
      </c>
      <c r="I325" s="86">
        <v>138</v>
      </c>
      <c r="J325" s="87">
        <v>5</v>
      </c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>
        <v>14</v>
      </c>
      <c r="W325" s="87"/>
      <c r="X325" s="87">
        <v>4</v>
      </c>
      <c r="Y325" s="87"/>
      <c r="Z325" s="87"/>
      <c r="AA325" s="87"/>
      <c r="AB325" s="87"/>
      <c r="AC325" s="87">
        <v>7</v>
      </c>
      <c r="AD325" s="87"/>
      <c r="AE325" s="87"/>
      <c r="AF325" s="87"/>
      <c r="AG325" s="87"/>
      <c r="AH325" s="87">
        <v>16</v>
      </c>
      <c r="AI325" s="87"/>
      <c r="AJ325" s="87"/>
      <c r="AK325" s="87"/>
      <c r="AL325" s="87"/>
      <c r="AM325" s="87"/>
      <c r="AN325" s="87">
        <v>6</v>
      </c>
      <c r="AO325" s="87">
        <v>2</v>
      </c>
      <c r="AP325" s="87">
        <v>6</v>
      </c>
      <c r="AQ325" s="87">
        <v>4</v>
      </c>
      <c r="AR325" s="87">
        <v>3</v>
      </c>
      <c r="AS325" s="87">
        <v>2</v>
      </c>
      <c r="AT325" s="87"/>
      <c r="AU325" s="87"/>
      <c r="AV325" s="87"/>
      <c r="AW325" s="88" t="str">
        <f>HYPERLINK("http://www.openstreetmap.org/?mlat=33.397&amp;mlon=44.4169&amp;zoom=12#map=12/33.397/44.4169","Maplink1")</f>
        <v>Maplink1</v>
      </c>
      <c r="AX325" s="88" t="str">
        <f>HYPERLINK("https://www.google.iq/maps/search/+33.397,44.4169/@33.397,44.4169,14z?hl=en","Maplink2")</f>
        <v>Maplink2</v>
      </c>
      <c r="AY325" s="88" t="str">
        <f>HYPERLINK("http://www.bing.com/maps/?lvl=14&amp;sty=h&amp;cp=33.397~44.4169&amp;sp=point.33.397_44.4169","Maplink3")</f>
        <v>Maplink3</v>
      </c>
      <c r="AZ325" s="76"/>
    </row>
    <row r="326" spans="1:52" x14ac:dyDescent="0.25">
      <c r="A326" s="86">
        <v>24029</v>
      </c>
      <c r="B326" s="87" t="s">
        <v>14</v>
      </c>
      <c r="C326" s="87" t="s">
        <v>543</v>
      </c>
      <c r="D326" s="87" t="s">
        <v>672</v>
      </c>
      <c r="E326" s="87" t="s">
        <v>673</v>
      </c>
      <c r="F326" s="87">
        <v>33.408051460099998</v>
      </c>
      <c r="G326" s="87">
        <v>44.417835886600002</v>
      </c>
      <c r="H326" s="86">
        <v>5</v>
      </c>
      <c r="I326" s="86">
        <v>30</v>
      </c>
      <c r="J326" s="87">
        <v>2</v>
      </c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>
        <v>3</v>
      </c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>
        <v>5</v>
      </c>
      <c r="AI326" s="87"/>
      <c r="AJ326" s="87"/>
      <c r="AK326" s="87"/>
      <c r="AL326" s="87"/>
      <c r="AM326" s="87"/>
      <c r="AN326" s="87">
        <v>1</v>
      </c>
      <c r="AO326" s="87">
        <v>2</v>
      </c>
      <c r="AP326" s="87"/>
      <c r="AQ326" s="87"/>
      <c r="AR326" s="87"/>
      <c r="AS326" s="87"/>
      <c r="AT326" s="87">
        <v>2</v>
      </c>
      <c r="AU326" s="87"/>
      <c r="AV326" s="87"/>
      <c r="AW326" s="88" t="str">
        <f>HYPERLINK("http://www.openstreetmap.org/?mlat=33.4081&amp;mlon=44.4178&amp;zoom=12#map=12/33.4081/44.4178","Maplink1")</f>
        <v>Maplink1</v>
      </c>
      <c r="AX326" s="88" t="str">
        <f>HYPERLINK("https://www.google.iq/maps/search/+33.4081,44.4178/@33.4081,44.4178,14z?hl=en","Maplink2")</f>
        <v>Maplink2</v>
      </c>
      <c r="AY326" s="88" t="str">
        <f>HYPERLINK("http://www.bing.com/maps/?lvl=14&amp;sty=h&amp;cp=33.4081~44.4178&amp;sp=point.33.4081_44.4178","Maplink3")</f>
        <v>Maplink3</v>
      </c>
      <c r="AZ326" s="76"/>
    </row>
    <row r="327" spans="1:52" x14ac:dyDescent="0.25">
      <c r="A327" s="86">
        <v>7688</v>
      </c>
      <c r="B327" s="87" t="s">
        <v>14</v>
      </c>
      <c r="C327" s="87" t="s">
        <v>543</v>
      </c>
      <c r="D327" s="87" t="s">
        <v>674</v>
      </c>
      <c r="E327" s="87" t="s">
        <v>675</v>
      </c>
      <c r="F327" s="87">
        <v>33.505889543999999</v>
      </c>
      <c r="G327" s="87">
        <v>44.378349330900001</v>
      </c>
      <c r="H327" s="86">
        <v>2</v>
      </c>
      <c r="I327" s="86">
        <v>12</v>
      </c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>
        <v>2</v>
      </c>
      <c r="W327" s="87"/>
      <c r="X327" s="87"/>
      <c r="Y327" s="87"/>
      <c r="Z327" s="87"/>
      <c r="AA327" s="87"/>
      <c r="AB327" s="87"/>
      <c r="AC327" s="87">
        <v>2</v>
      </c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>
        <v>2</v>
      </c>
      <c r="AP327" s="87"/>
      <c r="AQ327" s="87"/>
      <c r="AR327" s="87"/>
      <c r="AS327" s="87"/>
      <c r="AT327" s="87"/>
      <c r="AU327" s="87"/>
      <c r="AV327" s="87"/>
      <c r="AW327" s="88" t="str">
        <f>HYPERLINK("http://www.openstreetmap.org/?mlat=33.5059&amp;mlon=44.3783&amp;zoom=12#map=12/33.5059/44.3783","Maplink1")</f>
        <v>Maplink1</v>
      </c>
      <c r="AX327" s="88" t="str">
        <f>HYPERLINK("https://www.google.iq/maps/search/+33.5059,44.3783/@33.5059,44.3783,14z?hl=en","Maplink2")</f>
        <v>Maplink2</v>
      </c>
      <c r="AY327" s="88" t="str">
        <f>HYPERLINK("http://www.bing.com/maps/?lvl=14&amp;sty=h&amp;cp=33.5059~44.3783&amp;sp=point.33.5059_44.3783","Maplink3")</f>
        <v>Maplink3</v>
      </c>
      <c r="AZ327" s="76"/>
    </row>
    <row r="328" spans="1:52" x14ac:dyDescent="0.25">
      <c r="A328" s="86">
        <v>7646</v>
      </c>
      <c r="B328" s="87" t="s">
        <v>14</v>
      </c>
      <c r="C328" s="87" t="s">
        <v>543</v>
      </c>
      <c r="D328" s="87" t="s">
        <v>676</v>
      </c>
      <c r="E328" s="87" t="s">
        <v>677</v>
      </c>
      <c r="F328" s="87">
        <v>33.430463570599997</v>
      </c>
      <c r="G328" s="87">
        <v>44.428639737700003</v>
      </c>
      <c r="H328" s="86">
        <v>22</v>
      </c>
      <c r="I328" s="86">
        <v>132</v>
      </c>
      <c r="J328" s="87">
        <v>4</v>
      </c>
      <c r="K328" s="87"/>
      <c r="L328" s="87"/>
      <c r="M328" s="87"/>
      <c r="N328" s="87"/>
      <c r="O328" s="87">
        <v>4</v>
      </c>
      <c r="P328" s="87"/>
      <c r="Q328" s="87"/>
      <c r="R328" s="87">
        <v>2</v>
      </c>
      <c r="S328" s="87"/>
      <c r="T328" s="87"/>
      <c r="U328" s="87"/>
      <c r="V328" s="87">
        <v>8</v>
      </c>
      <c r="W328" s="87"/>
      <c r="X328" s="87">
        <v>4</v>
      </c>
      <c r="Y328" s="87"/>
      <c r="Z328" s="87"/>
      <c r="AA328" s="87"/>
      <c r="AB328" s="87"/>
      <c r="AC328" s="87">
        <v>2</v>
      </c>
      <c r="AD328" s="87"/>
      <c r="AE328" s="87"/>
      <c r="AF328" s="87"/>
      <c r="AG328" s="87"/>
      <c r="AH328" s="87">
        <v>18</v>
      </c>
      <c r="AI328" s="87">
        <v>2</v>
      </c>
      <c r="AJ328" s="87"/>
      <c r="AK328" s="87"/>
      <c r="AL328" s="87"/>
      <c r="AM328" s="87"/>
      <c r="AN328" s="87">
        <v>3</v>
      </c>
      <c r="AO328" s="87">
        <v>8</v>
      </c>
      <c r="AP328" s="87">
        <v>4</v>
      </c>
      <c r="AQ328" s="87">
        <v>6</v>
      </c>
      <c r="AR328" s="87">
        <v>1</v>
      </c>
      <c r="AS328" s="87"/>
      <c r="AT328" s="87"/>
      <c r="AU328" s="87"/>
      <c r="AV328" s="87"/>
      <c r="AW328" s="88" t="str">
        <f>HYPERLINK("http://www.openstreetmap.org/?mlat=33.4305&amp;mlon=44.4286&amp;zoom=12#map=12/33.4305/44.4286","Maplink1")</f>
        <v>Maplink1</v>
      </c>
      <c r="AX328" s="88" t="str">
        <f>HYPERLINK("https://www.google.iq/maps/search/+33.4305,44.4286/@33.4305,44.4286,14z?hl=en","Maplink2")</f>
        <v>Maplink2</v>
      </c>
      <c r="AY328" s="88" t="str">
        <f>HYPERLINK("http://www.bing.com/maps/?lvl=14&amp;sty=h&amp;cp=33.4305~44.4286&amp;sp=point.33.4305_44.4286","Maplink3")</f>
        <v>Maplink3</v>
      </c>
      <c r="AZ328" s="76"/>
    </row>
    <row r="329" spans="1:52" x14ac:dyDescent="0.25">
      <c r="A329" s="86">
        <v>24439</v>
      </c>
      <c r="B329" s="87" t="s">
        <v>14</v>
      </c>
      <c r="C329" s="87" t="s">
        <v>543</v>
      </c>
      <c r="D329" s="87" t="s">
        <v>678</v>
      </c>
      <c r="E329" s="87" t="s">
        <v>679</v>
      </c>
      <c r="F329" s="87">
        <v>33.401830791499997</v>
      </c>
      <c r="G329" s="87">
        <v>44.389956448699998</v>
      </c>
      <c r="H329" s="86">
        <v>11</v>
      </c>
      <c r="I329" s="86">
        <v>66</v>
      </c>
      <c r="J329" s="87">
        <v>1</v>
      </c>
      <c r="K329" s="87"/>
      <c r="L329" s="87"/>
      <c r="M329" s="87"/>
      <c r="N329" s="87"/>
      <c r="O329" s="87">
        <v>1</v>
      </c>
      <c r="P329" s="87"/>
      <c r="Q329" s="87"/>
      <c r="R329" s="87"/>
      <c r="S329" s="87"/>
      <c r="T329" s="87"/>
      <c r="U329" s="87"/>
      <c r="V329" s="87">
        <v>6</v>
      </c>
      <c r="W329" s="87"/>
      <c r="X329" s="87">
        <v>3</v>
      </c>
      <c r="Y329" s="87"/>
      <c r="Z329" s="87"/>
      <c r="AA329" s="87"/>
      <c r="AB329" s="87"/>
      <c r="AC329" s="87">
        <v>3</v>
      </c>
      <c r="AD329" s="87"/>
      <c r="AE329" s="87"/>
      <c r="AF329" s="87"/>
      <c r="AG329" s="87"/>
      <c r="AH329" s="87">
        <v>8</v>
      </c>
      <c r="AI329" s="87"/>
      <c r="AJ329" s="87"/>
      <c r="AK329" s="87"/>
      <c r="AL329" s="87"/>
      <c r="AM329" s="87"/>
      <c r="AN329" s="87"/>
      <c r="AO329" s="87">
        <v>4</v>
      </c>
      <c r="AP329" s="87">
        <v>4</v>
      </c>
      <c r="AQ329" s="87">
        <v>2</v>
      </c>
      <c r="AR329" s="87">
        <v>1</v>
      </c>
      <c r="AS329" s="87"/>
      <c r="AT329" s="87"/>
      <c r="AU329" s="87"/>
      <c r="AV329" s="87"/>
      <c r="AW329" s="88" t="str">
        <f>HYPERLINK("http://www.openstreetmap.org/?mlat=33.4018&amp;mlon=44.39&amp;zoom=12#map=12/33.4018/44.39","Maplink1")</f>
        <v>Maplink1</v>
      </c>
      <c r="AX329" s="88" t="str">
        <f>HYPERLINK("https://www.google.iq/maps/search/+33.4018,44.39/@33.4018,44.39,14z?hl=en","Maplink2")</f>
        <v>Maplink2</v>
      </c>
      <c r="AY329" s="88" t="str">
        <f>HYPERLINK("http://www.bing.com/maps/?lvl=14&amp;sty=h&amp;cp=33.4018~44.39&amp;sp=point.33.4018_44.39","Maplink3")</f>
        <v>Maplink3</v>
      </c>
      <c r="AZ329" s="76"/>
    </row>
    <row r="330" spans="1:52" x14ac:dyDescent="0.25">
      <c r="A330" s="86">
        <v>24001</v>
      </c>
      <c r="B330" s="87" t="s">
        <v>14</v>
      </c>
      <c r="C330" s="87" t="s">
        <v>543</v>
      </c>
      <c r="D330" s="87" t="s">
        <v>680</v>
      </c>
      <c r="E330" s="87" t="s">
        <v>681</v>
      </c>
      <c r="F330" s="87">
        <v>33.392728171999998</v>
      </c>
      <c r="G330" s="87">
        <v>44.379582991299998</v>
      </c>
      <c r="H330" s="86">
        <v>12</v>
      </c>
      <c r="I330" s="86">
        <v>72</v>
      </c>
      <c r="J330" s="87">
        <v>4</v>
      </c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>
        <v>3</v>
      </c>
      <c r="W330" s="87"/>
      <c r="X330" s="87">
        <v>5</v>
      </c>
      <c r="Y330" s="87"/>
      <c r="Z330" s="87"/>
      <c r="AA330" s="87"/>
      <c r="AB330" s="87"/>
      <c r="AC330" s="87"/>
      <c r="AD330" s="87"/>
      <c r="AE330" s="87"/>
      <c r="AF330" s="87"/>
      <c r="AG330" s="87"/>
      <c r="AH330" s="87">
        <v>12</v>
      </c>
      <c r="AI330" s="87"/>
      <c r="AJ330" s="87"/>
      <c r="AK330" s="87"/>
      <c r="AL330" s="87"/>
      <c r="AM330" s="87"/>
      <c r="AN330" s="87">
        <v>4</v>
      </c>
      <c r="AO330" s="87">
        <v>3</v>
      </c>
      <c r="AP330" s="87"/>
      <c r="AQ330" s="87">
        <v>5</v>
      </c>
      <c r="AR330" s="87"/>
      <c r="AS330" s="87"/>
      <c r="AT330" s="87"/>
      <c r="AU330" s="87"/>
      <c r="AV330" s="87"/>
      <c r="AW330" s="88" t="str">
        <f>HYPERLINK("http://www.openstreetmap.org/?mlat=33.3927&amp;mlon=44.3796&amp;zoom=12#map=12/33.3927/44.3796","Maplink1")</f>
        <v>Maplink1</v>
      </c>
      <c r="AX330" s="88" t="str">
        <f>HYPERLINK("https://www.google.iq/maps/search/+33.3927,44.3796/@33.3927,44.3796,14z?hl=en","Maplink2")</f>
        <v>Maplink2</v>
      </c>
      <c r="AY330" s="88" t="str">
        <f>HYPERLINK("http://www.bing.com/maps/?lvl=14&amp;sty=h&amp;cp=33.3927~44.3796&amp;sp=point.33.3927_44.3796","Maplink3")</f>
        <v>Maplink3</v>
      </c>
      <c r="AZ330" s="76"/>
    </row>
    <row r="331" spans="1:52" x14ac:dyDescent="0.25">
      <c r="A331" s="86">
        <v>27254</v>
      </c>
      <c r="B331" s="87" t="s">
        <v>14</v>
      </c>
      <c r="C331" s="87" t="s">
        <v>543</v>
      </c>
      <c r="D331" s="87" t="s">
        <v>682</v>
      </c>
      <c r="E331" s="87" t="s">
        <v>683</v>
      </c>
      <c r="F331" s="87">
        <v>33.397416731699998</v>
      </c>
      <c r="G331" s="87">
        <v>44.380082256500003</v>
      </c>
      <c r="H331" s="86">
        <v>10</v>
      </c>
      <c r="I331" s="86">
        <v>60</v>
      </c>
      <c r="J331" s="87">
        <v>5</v>
      </c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>
        <v>5</v>
      </c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>
        <v>10</v>
      </c>
      <c r="AI331" s="87"/>
      <c r="AJ331" s="87"/>
      <c r="AK331" s="87"/>
      <c r="AL331" s="87"/>
      <c r="AM331" s="87"/>
      <c r="AN331" s="87"/>
      <c r="AO331" s="87"/>
      <c r="AP331" s="87"/>
      <c r="AQ331" s="87">
        <v>5</v>
      </c>
      <c r="AR331" s="87">
        <v>5</v>
      </c>
      <c r="AS331" s="87"/>
      <c r="AT331" s="87"/>
      <c r="AU331" s="87"/>
      <c r="AV331" s="87"/>
      <c r="AW331" s="88" t="str">
        <f>HYPERLINK("http://www.openstreetmap.org/?mlat=33.3974&amp;mlon=44.3801&amp;zoom=12#map=12/33.3974/44.3801","Maplink1")</f>
        <v>Maplink1</v>
      </c>
      <c r="AX331" s="88" t="str">
        <f>HYPERLINK("https://www.google.iq/maps/search/+33.3974,44.3801/@33.3974,44.3801,14z?hl=en","Maplink2")</f>
        <v>Maplink2</v>
      </c>
      <c r="AY331" s="88" t="str">
        <f>HYPERLINK("http://www.bing.com/maps/?lvl=14&amp;sty=h&amp;cp=33.3974~44.3801&amp;sp=point.33.3974_44.3801","Maplink3")</f>
        <v>Maplink3</v>
      </c>
      <c r="AZ331" s="76"/>
    </row>
    <row r="332" spans="1:52" x14ac:dyDescent="0.25">
      <c r="A332" s="86">
        <v>22538</v>
      </c>
      <c r="B332" s="87" t="s">
        <v>14</v>
      </c>
      <c r="C332" s="87" t="s">
        <v>543</v>
      </c>
      <c r="D332" s="87" t="s">
        <v>684</v>
      </c>
      <c r="E332" s="87" t="s">
        <v>685</v>
      </c>
      <c r="F332" s="87">
        <v>33.405676677400002</v>
      </c>
      <c r="G332" s="87">
        <v>44.365907380599999</v>
      </c>
      <c r="H332" s="86">
        <v>21</v>
      </c>
      <c r="I332" s="86">
        <v>126</v>
      </c>
      <c r="J332" s="87">
        <v>9</v>
      </c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>
        <v>6</v>
      </c>
      <c r="W332" s="87"/>
      <c r="X332" s="87">
        <v>6</v>
      </c>
      <c r="Y332" s="87"/>
      <c r="Z332" s="87"/>
      <c r="AA332" s="87"/>
      <c r="AB332" s="87"/>
      <c r="AC332" s="87"/>
      <c r="AD332" s="87"/>
      <c r="AE332" s="87"/>
      <c r="AF332" s="87"/>
      <c r="AG332" s="87"/>
      <c r="AH332" s="87">
        <v>21</v>
      </c>
      <c r="AI332" s="87"/>
      <c r="AJ332" s="87"/>
      <c r="AK332" s="87"/>
      <c r="AL332" s="87"/>
      <c r="AM332" s="87"/>
      <c r="AN332" s="87"/>
      <c r="AO332" s="87">
        <v>6</v>
      </c>
      <c r="AP332" s="87"/>
      <c r="AQ332" s="87">
        <v>6</v>
      </c>
      <c r="AR332" s="87"/>
      <c r="AS332" s="87"/>
      <c r="AT332" s="87">
        <v>9</v>
      </c>
      <c r="AU332" s="87"/>
      <c r="AV332" s="87"/>
      <c r="AW332" s="88" t="str">
        <f>HYPERLINK("http://www.openstreetmap.org/?mlat=33.4057&amp;mlon=44.3659&amp;zoom=12#map=12/33.4057/44.3659","Maplink1")</f>
        <v>Maplink1</v>
      </c>
      <c r="AX332" s="88" t="str">
        <f>HYPERLINK("https://www.google.iq/maps/search/+33.4057,44.3659/@33.4057,44.3659,14z?hl=en","Maplink2")</f>
        <v>Maplink2</v>
      </c>
      <c r="AY332" s="88" t="str">
        <f>HYPERLINK("http://www.bing.com/maps/?lvl=14&amp;sty=h&amp;cp=33.4057~44.3659&amp;sp=point.33.4057_44.3659","Maplink3")</f>
        <v>Maplink3</v>
      </c>
      <c r="AZ332" s="76"/>
    </row>
    <row r="333" spans="1:52" x14ac:dyDescent="0.25">
      <c r="A333" s="86">
        <v>24734</v>
      </c>
      <c r="B333" s="87" t="s">
        <v>14</v>
      </c>
      <c r="C333" s="87" t="s">
        <v>686</v>
      </c>
      <c r="D333" s="87" t="s">
        <v>687</v>
      </c>
      <c r="E333" s="87" t="s">
        <v>688</v>
      </c>
      <c r="F333" s="87">
        <v>33.361934069999997</v>
      </c>
      <c r="G333" s="87">
        <v>44.421368474300003</v>
      </c>
      <c r="H333" s="86">
        <v>8</v>
      </c>
      <c r="I333" s="86">
        <v>48</v>
      </c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>
        <v>6</v>
      </c>
      <c r="W333" s="87"/>
      <c r="X333" s="87">
        <v>2</v>
      </c>
      <c r="Y333" s="87"/>
      <c r="Z333" s="87"/>
      <c r="AA333" s="87"/>
      <c r="AB333" s="87"/>
      <c r="AC333" s="87">
        <v>4</v>
      </c>
      <c r="AD333" s="87"/>
      <c r="AE333" s="87"/>
      <c r="AF333" s="87"/>
      <c r="AG333" s="87"/>
      <c r="AH333" s="87">
        <v>4</v>
      </c>
      <c r="AI333" s="87"/>
      <c r="AJ333" s="87"/>
      <c r="AK333" s="87"/>
      <c r="AL333" s="87"/>
      <c r="AM333" s="87"/>
      <c r="AN333" s="87"/>
      <c r="AO333" s="87"/>
      <c r="AP333" s="87"/>
      <c r="AQ333" s="87">
        <v>4</v>
      </c>
      <c r="AR333" s="87"/>
      <c r="AS333" s="87"/>
      <c r="AT333" s="87">
        <v>4</v>
      </c>
      <c r="AU333" s="87"/>
      <c r="AV333" s="87"/>
      <c r="AW333" s="88" t="str">
        <f>HYPERLINK("http://www.openstreetmap.org/?mlat=33.3619&amp;mlon=44.4214&amp;zoom=12#map=12/33.3619/44.4214","Maplink1")</f>
        <v>Maplink1</v>
      </c>
      <c r="AX333" s="88" t="str">
        <f>HYPERLINK("https://www.google.iq/maps/search/+33.3619,44.4214/@33.3619,44.4214,14z?hl=en","Maplink2")</f>
        <v>Maplink2</v>
      </c>
      <c r="AY333" s="88" t="str">
        <f>HYPERLINK("http://www.bing.com/maps/?lvl=14&amp;sty=h&amp;cp=33.3619~44.4214&amp;sp=point.33.3619_44.4214","Maplink3")</f>
        <v>Maplink3</v>
      </c>
      <c r="AZ333" s="76"/>
    </row>
    <row r="334" spans="1:52" x14ac:dyDescent="0.25">
      <c r="A334" s="86">
        <v>24735</v>
      </c>
      <c r="B334" s="87" t="s">
        <v>14</v>
      </c>
      <c r="C334" s="87" t="s">
        <v>686</v>
      </c>
      <c r="D334" s="87" t="s">
        <v>689</v>
      </c>
      <c r="E334" s="87" t="s">
        <v>690</v>
      </c>
      <c r="F334" s="87">
        <v>33.366565715599997</v>
      </c>
      <c r="G334" s="87">
        <v>44.413187647100003</v>
      </c>
      <c r="H334" s="86">
        <v>3</v>
      </c>
      <c r="I334" s="86">
        <v>18</v>
      </c>
      <c r="J334" s="87">
        <v>1</v>
      </c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>
        <v>2</v>
      </c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>
        <v>3</v>
      </c>
      <c r="AI334" s="87"/>
      <c r="AJ334" s="87"/>
      <c r="AK334" s="87"/>
      <c r="AL334" s="87"/>
      <c r="AM334" s="87"/>
      <c r="AN334" s="87">
        <v>1</v>
      </c>
      <c r="AO334" s="87">
        <v>2</v>
      </c>
      <c r="AP334" s="87"/>
      <c r="AQ334" s="87"/>
      <c r="AR334" s="87"/>
      <c r="AS334" s="87"/>
      <c r="AT334" s="87"/>
      <c r="AU334" s="87"/>
      <c r="AV334" s="87"/>
      <c r="AW334" s="88" t="str">
        <f>HYPERLINK("http://www.openstreetmap.org/?mlat=33.3666&amp;mlon=44.4132&amp;zoom=12#map=12/33.3666/44.4132","Maplink1")</f>
        <v>Maplink1</v>
      </c>
      <c r="AX334" s="88" t="str">
        <f>HYPERLINK("https://www.google.iq/maps/search/+33.3666,44.4132/@33.3666,44.4132,14z?hl=en","Maplink2")</f>
        <v>Maplink2</v>
      </c>
      <c r="AY334" s="88" t="str">
        <f>HYPERLINK("http://www.bing.com/maps/?lvl=14&amp;sty=h&amp;cp=33.3666~44.4132&amp;sp=point.33.3666_44.4132","Maplink3")</f>
        <v>Maplink3</v>
      </c>
      <c r="AZ334" s="76"/>
    </row>
    <row r="335" spans="1:52" x14ac:dyDescent="0.25">
      <c r="A335" s="86">
        <v>24714</v>
      </c>
      <c r="B335" s="87" t="s">
        <v>14</v>
      </c>
      <c r="C335" s="87" t="s">
        <v>686</v>
      </c>
      <c r="D335" s="87" t="s">
        <v>691</v>
      </c>
      <c r="E335" s="87" t="s">
        <v>692</v>
      </c>
      <c r="F335" s="87">
        <v>33.319911954299997</v>
      </c>
      <c r="G335" s="87">
        <v>44.415314509399998</v>
      </c>
      <c r="H335" s="86">
        <v>5</v>
      </c>
      <c r="I335" s="86">
        <v>30</v>
      </c>
      <c r="J335" s="87">
        <v>1</v>
      </c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>
        <v>4</v>
      </c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>
        <v>5</v>
      </c>
      <c r="AI335" s="87"/>
      <c r="AJ335" s="87"/>
      <c r="AK335" s="87"/>
      <c r="AL335" s="87"/>
      <c r="AM335" s="87"/>
      <c r="AN335" s="87"/>
      <c r="AO335" s="87">
        <v>1</v>
      </c>
      <c r="AP335" s="87"/>
      <c r="AQ335" s="87">
        <v>4</v>
      </c>
      <c r="AR335" s="87"/>
      <c r="AS335" s="87"/>
      <c r="AT335" s="87"/>
      <c r="AU335" s="87"/>
      <c r="AV335" s="87"/>
      <c r="AW335" s="88" t="str">
        <f>HYPERLINK("http://www.openstreetmap.org/?mlat=33.3199&amp;mlon=44.4153&amp;zoom=12#map=12/33.3199/44.4153","Maplink1")</f>
        <v>Maplink1</v>
      </c>
      <c r="AX335" s="88" t="str">
        <f>HYPERLINK("https://www.google.iq/maps/search/+33.3199,44.4153/@33.3199,44.4153,14z?hl=en","Maplink2")</f>
        <v>Maplink2</v>
      </c>
      <c r="AY335" s="88" t="str">
        <f>HYPERLINK("http://www.bing.com/maps/?lvl=14&amp;sty=h&amp;cp=33.3199~44.4153&amp;sp=point.33.3199_44.4153","Maplink3")</f>
        <v>Maplink3</v>
      </c>
      <c r="AZ335" s="76"/>
    </row>
    <row r="336" spans="1:52" x14ac:dyDescent="0.25">
      <c r="A336" s="86">
        <v>21752</v>
      </c>
      <c r="B336" s="87" t="s">
        <v>14</v>
      </c>
      <c r="C336" s="87" t="s">
        <v>686</v>
      </c>
      <c r="D336" s="87" t="s">
        <v>693</v>
      </c>
      <c r="E336" s="87" t="s">
        <v>694</v>
      </c>
      <c r="F336" s="87">
        <v>33.310115903400003</v>
      </c>
      <c r="G336" s="87">
        <v>44.509871611199998</v>
      </c>
      <c r="H336" s="86">
        <v>4</v>
      </c>
      <c r="I336" s="86">
        <v>24</v>
      </c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>
        <v>4</v>
      </c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>
        <v>4</v>
      </c>
      <c r="AI336" s="87"/>
      <c r="AJ336" s="87"/>
      <c r="AK336" s="87"/>
      <c r="AL336" s="87"/>
      <c r="AM336" s="87"/>
      <c r="AN336" s="87"/>
      <c r="AO336" s="87"/>
      <c r="AP336" s="87">
        <v>4</v>
      </c>
      <c r="AQ336" s="87"/>
      <c r="AR336" s="87"/>
      <c r="AS336" s="87"/>
      <c r="AT336" s="87"/>
      <c r="AU336" s="87"/>
      <c r="AV336" s="87"/>
      <c r="AW336" s="88" t="str">
        <f>HYPERLINK("http://www.openstreetmap.org/?mlat=33.3101&amp;mlon=44.5099&amp;zoom=12#map=12/33.3101/44.5099","Maplink1")</f>
        <v>Maplink1</v>
      </c>
      <c r="AX336" s="88" t="str">
        <f>HYPERLINK("https://www.google.iq/maps/search/+33.3101,44.5099/@33.3101,44.5099,14z?hl=en","Maplink2")</f>
        <v>Maplink2</v>
      </c>
      <c r="AY336" s="88" t="str">
        <f>HYPERLINK("http://www.bing.com/maps/?lvl=14&amp;sty=h&amp;cp=33.3101~44.5099&amp;sp=point.33.3101_44.5099","Maplink3")</f>
        <v>Maplink3</v>
      </c>
      <c r="AZ336" s="76"/>
    </row>
    <row r="337" spans="1:52" x14ac:dyDescent="0.25">
      <c r="A337" s="86">
        <v>22054</v>
      </c>
      <c r="B337" s="87" t="s">
        <v>14</v>
      </c>
      <c r="C337" s="87" t="s">
        <v>686</v>
      </c>
      <c r="D337" s="87" t="s">
        <v>695</v>
      </c>
      <c r="E337" s="87" t="s">
        <v>696</v>
      </c>
      <c r="F337" s="87">
        <v>33.306581857200001</v>
      </c>
      <c r="G337" s="87">
        <v>44.507061292499998</v>
      </c>
      <c r="H337" s="86">
        <v>4</v>
      </c>
      <c r="I337" s="86">
        <v>24</v>
      </c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>
        <v>4</v>
      </c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>
        <v>4</v>
      </c>
      <c r="AI337" s="87"/>
      <c r="AJ337" s="87"/>
      <c r="AK337" s="87"/>
      <c r="AL337" s="87"/>
      <c r="AM337" s="87"/>
      <c r="AN337" s="87"/>
      <c r="AO337" s="87"/>
      <c r="AP337" s="87">
        <v>4</v>
      </c>
      <c r="AQ337" s="87"/>
      <c r="AR337" s="87"/>
      <c r="AS337" s="87"/>
      <c r="AT337" s="87"/>
      <c r="AU337" s="87"/>
      <c r="AV337" s="87"/>
      <c r="AW337" s="88" t="str">
        <f>HYPERLINK("http://www.openstreetmap.org/?mlat=33.3066&amp;mlon=44.5071&amp;zoom=12#map=12/33.3066/44.5071","Maplink1")</f>
        <v>Maplink1</v>
      </c>
      <c r="AX337" s="88" t="str">
        <f>HYPERLINK("https://www.google.iq/maps/search/+33.3066,44.5071/@33.3066,44.5071,14z?hl=en","Maplink2")</f>
        <v>Maplink2</v>
      </c>
      <c r="AY337" s="88" t="str">
        <f>HYPERLINK("http://www.bing.com/maps/?lvl=14&amp;sty=h&amp;cp=33.3066~44.5071&amp;sp=point.33.3066_44.5071","Maplink3")</f>
        <v>Maplink3</v>
      </c>
      <c r="AZ337" s="76"/>
    </row>
    <row r="338" spans="1:52" x14ac:dyDescent="0.25">
      <c r="A338" s="86">
        <v>21888</v>
      </c>
      <c r="B338" s="87" t="s">
        <v>14</v>
      </c>
      <c r="C338" s="87" t="s">
        <v>686</v>
      </c>
      <c r="D338" s="87" t="s">
        <v>697</v>
      </c>
      <c r="E338" s="87" t="s">
        <v>698</v>
      </c>
      <c r="F338" s="87">
        <v>33.303924803999998</v>
      </c>
      <c r="G338" s="87">
        <v>44.515903582100002</v>
      </c>
      <c r="H338" s="86">
        <v>5</v>
      </c>
      <c r="I338" s="86">
        <v>30</v>
      </c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>
        <v>5</v>
      </c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>
        <v>5</v>
      </c>
      <c r="AI338" s="87"/>
      <c r="AJ338" s="87"/>
      <c r="AK338" s="87"/>
      <c r="AL338" s="87"/>
      <c r="AM338" s="87"/>
      <c r="AN338" s="87"/>
      <c r="AO338" s="87">
        <v>2</v>
      </c>
      <c r="AP338" s="87">
        <v>3</v>
      </c>
      <c r="AQ338" s="87"/>
      <c r="AR338" s="87"/>
      <c r="AS338" s="87"/>
      <c r="AT338" s="87"/>
      <c r="AU338" s="87"/>
      <c r="AV338" s="87"/>
      <c r="AW338" s="88" t="str">
        <f>HYPERLINK("http://www.openstreetmap.org/?mlat=33.3039&amp;mlon=44.5159&amp;zoom=12#map=12/33.3039/44.5159","Maplink1")</f>
        <v>Maplink1</v>
      </c>
      <c r="AX338" s="88" t="str">
        <f>HYPERLINK("https://www.google.iq/maps/search/+33.3039,44.5159/@33.3039,44.5159,14z?hl=en","Maplink2")</f>
        <v>Maplink2</v>
      </c>
      <c r="AY338" s="88" t="str">
        <f>HYPERLINK("http://www.bing.com/maps/?lvl=14&amp;sty=h&amp;cp=33.3039~44.5159&amp;sp=point.33.3039_44.5159","Maplink3")</f>
        <v>Maplink3</v>
      </c>
      <c r="AZ338" s="76"/>
    </row>
    <row r="339" spans="1:52" x14ac:dyDescent="0.25">
      <c r="A339" s="86">
        <v>22055</v>
      </c>
      <c r="B339" s="87" t="s">
        <v>14</v>
      </c>
      <c r="C339" s="87" t="s">
        <v>686</v>
      </c>
      <c r="D339" s="87" t="s">
        <v>699</v>
      </c>
      <c r="E339" s="87" t="s">
        <v>700</v>
      </c>
      <c r="F339" s="87">
        <v>33.301219639400003</v>
      </c>
      <c r="G339" s="87">
        <v>44.520625720699996</v>
      </c>
      <c r="H339" s="86">
        <v>4</v>
      </c>
      <c r="I339" s="86">
        <v>24</v>
      </c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>
        <v>4</v>
      </c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>
        <v>4</v>
      </c>
      <c r="AI339" s="87"/>
      <c r="AJ339" s="87"/>
      <c r="AK339" s="87"/>
      <c r="AL339" s="87"/>
      <c r="AM339" s="87"/>
      <c r="AN339" s="87"/>
      <c r="AO339" s="87"/>
      <c r="AP339" s="87">
        <v>4</v>
      </c>
      <c r="AQ339" s="87"/>
      <c r="AR339" s="87"/>
      <c r="AS339" s="87"/>
      <c r="AT339" s="87"/>
      <c r="AU339" s="87"/>
      <c r="AV339" s="87"/>
      <c r="AW339" s="88" t="str">
        <f>HYPERLINK("http://www.openstreetmap.org/?mlat=33.3012&amp;mlon=44.5206&amp;zoom=12#map=12/33.3012/44.5206","Maplink1")</f>
        <v>Maplink1</v>
      </c>
      <c r="AX339" s="88" t="str">
        <f>HYPERLINK("https://www.google.iq/maps/search/+33.3012,44.5206/@33.3012,44.5206,14z?hl=en","Maplink2")</f>
        <v>Maplink2</v>
      </c>
      <c r="AY339" s="88" t="str">
        <f>HYPERLINK("http://www.bing.com/maps/?lvl=14&amp;sty=h&amp;cp=33.3012~44.5206&amp;sp=point.33.3012_44.5206","Maplink3")</f>
        <v>Maplink3</v>
      </c>
      <c r="AZ339" s="76"/>
    </row>
    <row r="340" spans="1:52" x14ac:dyDescent="0.25">
      <c r="A340" s="86">
        <v>21751</v>
      </c>
      <c r="B340" s="87" t="s">
        <v>14</v>
      </c>
      <c r="C340" s="87" t="s">
        <v>686</v>
      </c>
      <c r="D340" s="87" t="s">
        <v>701</v>
      </c>
      <c r="E340" s="87" t="s">
        <v>702</v>
      </c>
      <c r="F340" s="87">
        <v>33.304380144699998</v>
      </c>
      <c r="G340" s="87">
        <v>44.5275234916</v>
      </c>
      <c r="H340" s="86">
        <v>10</v>
      </c>
      <c r="I340" s="86">
        <v>60</v>
      </c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>
        <v>10</v>
      </c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>
        <v>6</v>
      </c>
      <c r="AH340" s="87">
        <v>4</v>
      </c>
      <c r="AI340" s="87"/>
      <c r="AJ340" s="87"/>
      <c r="AK340" s="87"/>
      <c r="AL340" s="87"/>
      <c r="AM340" s="87"/>
      <c r="AN340" s="87"/>
      <c r="AO340" s="87"/>
      <c r="AP340" s="87">
        <v>9</v>
      </c>
      <c r="AQ340" s="87">
        <v>1</v>
      </c>
      <c r="AR340" s="87"/>
      <c r="AS340" s="87"/>
      <c r="AT340" s="87"/>
      <c r="AU340" s="87"/>
      <c r="AV340" s="87"/>
      <c r="AW340" s="88" t="str">
        <f>HYPERLINK("http://www.openstreetmap.org/?mlat=33.3044&amp;mlon=44.5275&amp;zoom=12#map=12/33.3044/44.5275","Maplink1")</f>
        <v>Maplink1</v>
      </c>
      <c r="AX340" s="88" t="str">
        <f>HYPERLINK("https://www.google.iq/maps/search/+33.3044,44.5275/@33.3044,44.5275,14z?hl=en","Maplink2")</f>
        <v>Maplink2</v>
      </c>
      <c r="AY340" s="88" t="str">
        <f>HYPERLINK("http://www.bing.com/maps/?lvl=14&amp;sty=h&amp;cp=33.3044~44.5275&amp;sp=point.33.3044_44.5275","Maplink3")</f>
        <v>Maplink3</v>
      </c>
      <c r="AZ340" s="76"/>
    </row>
    <row r="341" spans="1:52" x14ac:dyDescent="0.25">
      <c r="A341" s="86">
        <v>21889</v>
      </c>
      <c r="B341" s="87" t="s">
        <v>14</v>
      </c>
      <c r="C341" s="87" t="s">
        <v>686</v>
      </c>
      <c r="D341" s="87" t="s">
        <v>703</v>
      </c>
      <c r="E341" s="87" t="s">
        <v>704</v>
      </c>
      <c r="F341" s="87">
        <v>33.2985493435</v>
      </c>
      <c r="G341" s="87">
        <v>44.5225551451</v>
      </c>
      <c r="H341" s="86">
        <v>5</v>
      </c>
      <c r="I341" s="86">
        <v>30</v>
      </c>
      <c r="J341" s="87">
        <v>1</v>
      </c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>
        <v>4</v>
      </c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>
        <v>5</v>
      </c>
      <c r="AI341" s="87"/>
      <c r="AJ341" s="87"/>
      <c r="AK341" s="87"/>
      <c r="AL341" s="87"/>
      <c r="AM341" s="87"/>
      <c r="AN341" s="87"/>
      <c r="AO341" s="87"/>
      <c r="AP341" s="87">
        <v>4</v>
      </c>
      <c r="AQ341" s="87">
        <v>1</v>
      </c>
      <c r="AR341" s="87"/>
      <c r="AS341" s="87"/>
      <c r="AT341" s="87"/>
      <c r="AU341" s="87"/>
      <c r="AV341" s="87"/>
      <c r="AW341" s="88" t="str">
        <f>HYPERLINK("http://www.openstreetmap.org/?mlat=33.2985&amp;mlon=44.5226&amp;zoom=12#map=12/33.2985/44.5226","Maplink1")</f>
        <v>Maplink1</v>
      </c>
      <c r="AX341" s="88" t="str">
        <f>HYPERLINK("https://www.google.iq/maps/search/+33.2985,44.5226/@33.2985,44.5226,14z?hl=en","Maplink2")</f>
        <v>Maplink2</v>
      </c>
      <c r="AY341" s="88" t="str">
        <f>HYPERLINK("http://www.bing.com/maps/?lvl=14&amp;sty=h&amp;cp=33.2985~44.5226&amp;sp=point.33.2985_44.5226","Maplink3")</f>
        <v>Maplink3</v>
      </c>
      <c r="AZ341" s="76"/>
    </row>
    <row r="342" spans="1:52" x14ac:dyDescent="0.25">
      <c r="A342" s="86">
        <v>24938</v>
      </c>
      <c r="B342" s="87" t="s">
        <v>14</v>
      </c>
      <c r="C342" s="87" t="s">
        <v>686</v>
      </c>
      <c r="D342" s="87" t="s">
        <v>705</v>
      </c>
      <c r="E342" s="87" t="s">
        <v>706</v>
      </c>
      <c r="F342" s="87">
        <v>33.353164833699999</v>
      </c>
      <c r="G342" s="87">
        <v>44.381137824500001</v>
      </c>
      <c r="H342" s="86">
        <v>1</v>
      </c>
      <c r="I342" s="86">
        <v>6</v>
      </c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>
        <v>1</v>
      </c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>
        <v>1</v>
      </c>
      <c r="AI342" s="87"/>
      <c r="AJ342" s="87"/>
      <c r="AK342" s="87"/>
      <c r="AL342" s="87"/>
      <c r="AM342" s="87"/>
      <c r="AN342" s="87"/>
      <c r="AO342" s="87"/>
      <c r="AP342" s="87"/>
      <c r="AQ342" s="87">
        <v>1</v>
      </c>
      <c r="AR342" s="87"/>
      <c r="AS342" s="87"/>
      <c r="AT342" s="87"/>
      <c r="AU342" s="87"/>
      <c r="AV342" s="87"/>
      <c r="AW342" s="88" t="str">
        <f>HYPERLINK("http://www.openstreetmap.org/?mlat=33.3532&amp;mlon=44.3811&amp;zoom=12#map=12/33.3532/44.3811","Maplink1")</f>
        <v>Maplink1</v>
      </c>
      <c r="AX342" s="88" t="str">
        <f>HYPERLINK("https://www.google.iq/maps/search/+33.3532,44.3811/@33.3532,44.3811,14z?hl=en","Maplink2")</f>
        <v>Maplink2</v>
      </c>
      <c r="AY342" s="88" t="str">
        <f>HYPERLINK("http://www.bing.com/maps/?lvl=14&amp;sty=h&amp;cp=33.3532~44.3811&amp;sp=point.33.3532_44.3811","Maplink3")</f>
        <v>Maplink3</v>
      </c>
      <c r="AZ342" s="76"/>
    </row>
    <row r="343" spans="1:52" x14ac:dyDescent="0.25">
      <c r="A343" s="86">
        <v>24497</v>
      </c>
      <c r="B343" s="87" t="s">
        <v>14</v>
      </c>
      <c r="C343" s="87" t="s">
        <v>686</v>
      </c>
      <c r="D343" s="87" t="s">
        <v>707</v>
      </c>
      <c r="E343" s="87" t="s">
        <v>708</v>
      </c>
      <c r="F343" s="87">
        <v>33.332233639999998</v>
      </c>
      <c r="G343" s="87">
        <v>44.475952413800002</v>
      </c>
      <c r="H343" s="86">
        <v>6</v>
      </c>
      <c r="I343" s="86">
        <v>36</v>
      </c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>
        <v>6</v>
      </c>
      <c r="W343" s="87"/>
      <c r="X343" s="87"/>
      <c r="Y343" s="87"/>
      <c r="Z343" s="87"/>
      <c r="AA343" s="87"/>
      <c r="AB343" s="87"/>
      <c r="AC343" s="87">
        <v>2</v>
      </c>
      <c r="AD343" s="87"/>
      <c r="AE343" s="87"/>
      <c r="AF343" s="87"/>
      <c r="AG343" s="87"/>
      <c r="AH343" s="87">
        <v>4</v>
      </c>
      <c r="AI343" s="87"/>
      <c r="AJ343" s="87"/>
      <c r="AK343" s="87"/>
      <c r="AL343" s="87"/>
      <c r="AM343" s="87"/>
      <c r="AN343" s="87"/>
      <c r="AO343" s="87"/>
      <c r="AP343" s="87">
        <v>6</v>
      </c>
      <c r="AQ343" s="87"/>
      <c r="AR343" s="87"/>
      <c r="AS343" s="87"/>
      <c r="AT343" s="87"/>
      <c r="AU343" s="87"/>
      <c r="AV343" s="87"/>
      <c r="AW343" s="88" t="str">
        <f>HYPERLINK("http://www.openstreetmap.org/?mlat=33.3322&amp;mlon=44.476&amp;zoom=12#map=12/33.3322/44.476","Maplink1")</f>
        <v>Maplink1</v>
      </c>
      <c r="AX343" s="88" t="str">
        <f>HYPERLINK("https://www.google.iq/maps/search/+33.3322,44.476/@33.3322,44.476,14z?hl=en","Maplink2")</f>
        <v>Maplink2</v>
      </c>
      <c r="AY343" s="88" t="str">
        <f>HYPERLINK("http://www.bing.com/maps/?lvl=14&amp;sty=h&amp;cp=33.3322~44.476&amp;sp=point.33.3322_44.476","Maplink3")</f>
        <v>Maplink3</v>
      </c>
      <c r="AZ343" s="76"/>
    </row>
    <row r="344" spans="1:52" x14ac:dyDescent="0.25">
      <c r="A344" s="86">
        <v>24498</v>
      </c>
      <c r="B344" s="87" t="s">
        <v>14</v>
      </c>
      <c r="C344" s="87" t="s">
        <v>686</v>
      </c>
      <c r="D344" s="87" t="s">
        <v>709</v>
      </c>
      <c r="E344" s="87" t="s">
        <v>710</v>
      </c>
      <c r="F344" s="87">
        <v>33.3424441262</v>
      </c>
      <c r="G344" s="87">
        <v>44.483153055300001</v>
      </c>
      <c r="H344" s="86">
        <v>5</v>
      </c>
      <c r="I344" s="86">
        <v>30</v>
      </c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>
        <v>5</v>
      </c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>
        <v>5</v>
      </c>
      <c r="AI344" s="87"/>
      <c r="AJ344" s="87"/>
      <c r="AK344" s="87"/>
      <c r="AL344" s="87"/>
      <c r="AM344" s="87"/>
      <c r="AN344" s="87"/>
      <c r="AO344" s="87"/>
      <c r="AP344" s="87">
        <v>3</v>
      </c>
      <c r="AQ344" s="87">
        <v>2</v>
      </c>
      <c r="AR344" s="87"/>
      <c r="AS344" s="87"/>
      <c r="AT344" s="87"/>
      <c r="AU344" s="87"/>
      <c r="AV344" s="87"/>
      <c r="AW344" s="88" t="str">
        <f>HYPERLINK("http://www.openstreetmap.org/?mlat=33.3424&amp;mlon=44.4832&amp;zoom=12#map=12/33.3424/44.4832","Maplink1")</f>
        <v>Maplink1</v>
      </c>
      <c r="AX344" s="88" t="str">
        <f>HYPERLINK("https://www.google.iq/maps/search/+33.3424,44.4832/@33.3424,44.4832,14z?hl=en","Maplink2")</f>
        <v>Maplink2</v>
      </c>
      <c r="AY344" s="88" t="str">
        <f>HYPERLINK("http://www.bing.com/maps/?lvl=14&amp;sty=h&amp;cp=33.3424~44.4832&amp;sp=point.33.3424_44.4832","Maplink3")</f>
        <v>Maplink3</v>
      </c>
      <c r="AZ344" s="76"/>
    </row>
    <row r="345" spans="1:52" x14ac:dyDescent="0.25">
      <c r="A345" s="86">
        <v>24500</v>
      </c>
      <c r="B345" s="87" t="s">
        <v>14</v>
      </c>
      <c r="C345" s="87" t="s">
        <v>686</v>
      </c>
      <c r="D345" s="87" t="s">
        <v>711</v>
      </c>
      <c r="E345" s="87" t="s">
        <v>712</v>
      </c>
      <c r="F345" s="87">
        <v>33.341648055900002</v>
      </c>
      <c r="G345" s="87">
        <v>44.466490240900001</v>
      </c>
      <c r="H345" s="86">
        <v>3</v>
      </c>
      <c r="I345" s="86">
        <v>18</v>
      </c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>
        <v>3</v>
      </c>
      <c r="W345" s="87"/>
      <c r="X345" s="87"/>
      <c r="Y345" s="87"/>
      <c r="Z345" s="87"/>
      <c r="AA345" s="87"/>
      <c r="AB345" s="87"/>
      <c r="AC345" s="87">
        <v>2</v>
      </c>
      <c r="AD345" s="87"/>
      <c r="AE345" s="87"/>
      <c r="AF345" s="87"/>
      <c r="AG345" s="87"/>
      <c r="AH345" s="87">
        <v>1</v>
      </c>
      <c r="AI345" s="87"/>
      <c r="AJ345" s="87"/>
      <c r="AK345" s="87"/>
      <c r="AL345" s="87"/>
      <c r="AM345" s="87"/>
      <c r="AN345" s="87"/>
      <c r="AO345" s="87"/>
      <c r="AP345" s="87">
        <v>3</v>
      </c>
      <c r="AQ345" s="87"/>
      <c r="AR345" s="87"/>
      <c r="AS345" s="87"/>
      <c r="AT345" s="87"/>
      <c r="AU345" s="87"/>
      <c r="AV345" s="87"/>
      <c r="AW345" s="88" t="str">
        <f>HYPERLINK("http://www.openstreetmap.org/?mlat=33.3416&amp;mlon=44.4665&amp;zoom=12#map=12/33.3416/44.4665","Maplink1")</f>
        <v>Maplink1</v>
      </c>
      <c r="AX345" s="88" t="str">
        <f>HYPERLINK("https://www.google.iq/maps/search/+33.3416,44.4665/@33.3416,44.4665,14z?hl=en","Maplink2")</f>
        <v>Maplink2</v>
      </c>
      <c r="AY345" s="88" t="str">
        <f>HYPERLINK("http://www.bing.com/maps/?lvl=14&amp;sty=h&amp;cp=33.3416~44.4665&amp;sp=point.33.3416_44.4665","Maplink3")</f>
        <v>Maplink3</v>
      </c>
      <c r="AZ345" s="76"/>
    </row>
    <row r="346" spans="1:52" x14ac:dyDescent="0.25">
      <c r="A346" s="86">
        <v>24499</v>
      </c>
      <c r="B346" s="87" t="s">
        <v>14</v>
      </c>
      <c r="C346" s="87" t="s">
        <v>686</v>
      </c>
      <c r="D346" s="87" t="s">
        <v>713</v>
      </c>
      <c r="E346" s="87" t="s">
        <v>714</v>
      </c>
      <c r="F346" s="87">
        <v>33.349967976400002</v>
      </c>
      <c r="G346" s="87">
        <v>44.464364585399998</v>
      </c>
      <c r="H346" s="86">
        <v>5</v>
      </c>
      <c r="I346" s="86">
        <v>30</v>
      </c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>
        <v>5</v>
      </c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>
        <v>5</v>
      </c>
      <c r="AI346" s="87"/>
      <c r="AJ346" s="87"/>
      <c r="AK346" s="87"/>
      <c r="AL346" s="87"/>
      <c r="AM346" s="87"/>
      <c r="AN346" s="87"/>
      <c r="AO346" s="87"/>
      <c r="AP346" s="87">
        <v>5</v>
      </c>
      <c r="AQ346" s="87"/>
      <c r="AR346" s="87"/>
      <c r="AS346" s="87"/>
      <c r="AT346" s="87"/>
      <c r="AU346" s="87"/>
      <c r="AV346" s="87"/>
      <c r="AW346" s="88" t="str">
        <f>HYPERLINK("http://www.openstreetmap.org/?mlat=33.35&amp;mlon=44.4644&amp;zoom=12#map=12/33.35/44.4644","Maplink1")</f>
        <v>Maplink1</v>
      </c>
      <c r="AX346" s="88" t="str">
        <f>HYPERLINK("https://www.google.iq/maps/search/+33.35,44.4644/@33.35,44.4644,14z?hl=en","Maplink2")</f>
        <v>Maplink2</v>
      </c>
      <c r="AY346" s="88" t="str">
        <f>HYPERLINK("http://www.bing.com/maps/?lvl=14&amp;sty=h&amp;cp=33.35~44.4644&amp;sp=point.33.35_44.4644","Maplink3")</f>
        <v>Maplink3</v>
      </c>
      <c r="AZ346" s="76"/>
    </row>
    <row r="347" spans="1:52" x14ac:dyDescent="0.25">
      <c r="A347" s="86">
        <v>23731</v>
      </c>
      <c r="B347" s="87" t="s">
        <v>14</v>
      </c>
      <c r="C347" s="87" t="s">
        <v>686</v>
      </c>
      <c r="D347" s="87" t="s">
        <v>715</v>
      </c>
      <c r="E347" s="87" t="s">
        <v>716</v>
      </c>
      <c r="F347" s="87">
        <v>33.347362081299998</v>
      </c>
      <c r="G347" s="87">
        <v>44.477045807400003</v>
      </c>
      <c r="H347" s="86">
        <v>6</v>
      </c>
      <c r="I347" s="86">
        <v>36</v>
      </c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>
        <v>6</v>
      </c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>
        <v>6</v>
      </c>
      <c r="AI347" s="87"/>
      <c r="AJ347" s="87"/>
      <c r="AK347" s="87"/>
      <c r="AL347" s="87"/>
      <c r="AM347" s="87"/>
      <c r="AN347" s="87"/>
      <c r="AO347" s="87"/>
      <c r="AP347" s="87">
        <v>6</v>
      </c>
      <c r="AQ347" s="87"/>
      <c r="AR347" s="87"/>
      <c r="AS347" s="87"/>
      <c r="AT347" s="87"/>
      <c r="AU347" s="87"/>
      <c r="AV347" s="87"/>
      <c r="AW347" s="88" t="str">
        <f>HYPERLINK("http://www.openstreetmap.org/?mlat=33.3474&amp;mlon=44.477&amp;zoom=12#map=12/33.3474/44.477","Maplink1")</f>
        <v>Maplink1</v>
      </c>
      <c r="AX347" s="88" t="str">
        <f>HYPERLINK("https://www.google.iq/maps/search/+33.3474,44.477/@33.3474,44.477,14z?hl=en","Maplink2")</f>
        <v>Maplink2</v>
      </c>
      <c r="AY347" s="88" t="str">
        <f>HYPERLINK("http://www.bing.com/maps/?lvl=14&amp;sty=h&amp;cp=33.3474~44.477&amp;sp=point.33.3474_44.477","Maplink3")</f>
        <v>Maplink3</v>
      </c>
      <c r="AZ347" s="76"/>
    </row>
    <row r="348" spans="1:52" x14ac:dyDescent="0.25">
      <c r="A348" s="86">
        <v>24024</v>
      </c>
      <c r="B348" s="87" t="s">
        <v>14</v>
      </c>
      <c r="C348" s="87" t="s">
        <v>686</v>
      </c>
      <c r="D348" s="87" t="s">
        <v>717</v>
      </c>
      <c r="E348" s="87" t="s">
        <v>718</v>
      </c>
      <c r="F348" s="87">
        <v>33.355443864199998</v>
      </c>
      <c r="G348" s="87">
        <v>44.4679781671</v>
      </c>
      <c r="H348" s="86">
        <v>4</v>
      </c>
      <c r="I348" s="86">
        <v>24</v>
      </c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>
        <v>4</v>
      </c>
      <c r="W348" s="87"/>
      <c r="X348" s="87"/>
      <c r="Y348" s="87"/>
      <c r="Z348" s="87"/>
      <c r="AA348" s="87"/>
      <c r="AB348" s="87"/>
      <c r="AC348" s="87">
        <v>2</v>
      </c>
      <c r="AD348" s="87"/>
      <c r="AE348" s="87"/>
      <c r="AF348" s="87"/>
      <c r="AG348" s="87"/>
      <c r="AH348" s="87">
        <v>2</v>
      </c>
      <c r="AI348" s="87"/>
      <c r="AJ348" s="87"/>
      <c r="AK348" s="87"/>
      <c r="AL348" s="87"/>
      <c r="AM348" s="87"/>
      <c r="AN348" s="87"/>
      <c r="AO348" s="87"/>
      <c r="AP348" s="87">
        <v>4</v>
      </c>
      <c r="AQ348" s="87"/>
      <c r="AR348" s="87"/>
      <c r="AS348" s="87"/>
      <c r="AT348" s="87"/>
      <c r="AU348" s="87"/>
      <c r="AV348" s="87"/>
      <c r="AW348" s="88" t="str">
        <f>HYPERLINK("http://www.openstreetmap.org/?mlat=33.3554&amp;mlon=44.468&amp;zoom=12#map=12/33.3554/44.468","Maplink1")</f>
        <v>Maplink1</v>
      </c>
      <c r="AX348" s="88" t="str">
        <f>HYPERLINK("https://www.google.iq/maps/search/+33.3554,44.468/@33.3554,44.468,14z?hl=en","Maplink2")</f>
        <v>Maplink2</v>
      </c>
      <c r="AY348" s="88" t="str">
        <f>HYPERLINK("http://www.bing.com/maps/?lvl=14&amp;sty=h&amp;cp=33.3554~44.468&amp;sp=point.33.3554_44.468","Maplink3")</f>
        <v>Maplink3</v>
      </c>
      <c r="AZ348" s="76"/>
    </row>
    <row r="349" spans="1:52" x14ac:dyDescent="0.25">
      <c r="A349" s="86">
        <v>22816</v>
      </c>
      <c r="B349" s="87" t="s">
        <v>14</v>
      </c>
      <c r="C349" s="87" t="s">
        <v>686</v>
      </c>
      <c r="D349" s="87" t="s">
        <v>719</v>
      </c>
      <c r="E349" s="87" t="s">
        <v>720</v>
      </c>
      <c r="F349" s="87">
        <v>33.356451053999997</v>
      </c>
      <c r="G349" s="87">
        <v>44.425188202199998</v>
      </c>
      <c r="H349" s="86">
        <v>7</v>
      </c>
      <c r="I349" s="86">
        <v>42</v>
      </c>
      <c r="J349" s="87">
        <v>3</v>
      </c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>
        <v>4</v>
      </c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>
        <v>7</v>
      </c>
      <c r="AI349" s="87"/>
      <c r="AJ349" s="87"/>
      <c r="AK349" s="87"/>
      <c r="AL349" s="87"/>
      <c r="AM349" s="87"/>
      <c r="AN349" s="87"/>
      <c r="AO349" s="87">
        <v>2</v>
      </c>
      <c r="AP349" s="87">
        <v>4</v>
      </c>
      <c r="AQ349" s="87"/>
      <c r="AR349" s="87"/>
      <c r="AS349" s="87">
        <v>1</v>
      </c>
      <c r="AT349" s="87"/>
      <c r="AU349" s="87"/>
      <c r="AV349" s="87"/>
      <c r="AW349" s="88" t="str">
        <f>HYPERLINK("http://www.openstreetmap.org/?mlat=33.3565&amp;mlon=44.4252&amp;zoom=12#map=12/33.3565/44.4252","Maplink1")</f>
        <v>Maplink1</v>
      </c>
      <c r="AX349" s="88" t="str">
        <f>HYPERLINK("https://www.google.iq/maps/search/+33.3565,44.4252/@33.3565,44.4252,14z?hl=en","Maplink2")</f>
        <v>Maplink2</v>
      </c>
      <c r="AY349" s="88" t="str">
        <f>HYPERLINK("http://www.bing.com/maps/?lvl=14&amp;sty=h&amp;cp=33.3565~44.4252&amp;sp=point.33.3565_44.4252","Maplink3")</f>
        <v>Maplink3</v>
      </c>
      <c r="AZ349" s="76"/>
    </row>
    <row r="350" spans="1:52" x14ac:dyDescent="0.25">
      <c r="A350" s="86">
        <v>24931</v>
      </c>
      <c r="B350" s="87" t="s">
        <v>14</v>
      </c>
      <c r="C350" s="87" t="s">
        <v>686</v>
      </c>
      <c r="D350" s="87" t="s">
        <v>721</v>
      </c>
      <c r="E350" s="87" t="s">
        <v>722</v>
      </c>
      <c r="F350" s="87">
        <v>33.349857196099997</v>
      </c>
      <c r="G350" s="87">
        <v>44.433503362400003</v>
      </c>
      <c r="H350" s="86">
        <v>2</v>
      </c>
      <c r="I350" s="86">
        <v>12</v>
      </c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>
        <v>2</v>
      </c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>
        <v>2</v>
      </c>
      <c r="AI350" s="87"/>
      <c r="AJ350" s="87"/>
      <c r="AK350" s="87"/>
      <c r="AL350" s="87"/>
      <c r="AM350" s="87"/>
      <c r="AN350" s="87"/>
      <c r="AO350" s="87"/>
      <c r="AP350" s="87"/>
      <c r="AQ350" s="87">
        <v>2</v>
      </c>
      <c r="AR350" s="87"/>
      <c r="AS350" s="87"/>
      <c r="AT350" s="87"/>
      <c r="AU350" s="87"/>
      <c r="AV350" s="87"/>
      <c r="AW350" s="88" t="str">
        <f>HYPERLINK("http://www.openstreetmap.org/?mlat=33.3499&amp;mlon=44.4335&amp;zoom=12#map=12/33.3499/44.4335","Maplink1")</f>
        <v>Maplink1</v>
      </c>
      <c r="AX350" s="88" t="str">
        <f>HYPERLINK("https://www.google.iq/maps/search/+33.3499,44.4335/@33.3499,44.4335,14z?hl=en","Maplink2")</f>
        <v>Maplink2</v>
      </c>
      <c r="AY350" s="88" t="str">
        <f>HYPERLINK("http://www.bing.com/maps/?lvl=14&amp;sty=h&amp;cp=33.3499~44.4335&amp;sp=point.33.3499_44.4335","Maplink3")</f>
        <v>Maplink3</v>
      </c>
      <c r="AZ350" s="76"/>
    </row>
    <row r="351" spans="1:52" x14ac:dyDescent="0.25">
      <c r="A351" s="86">
        <v>21576</v>
      </c>
      <c r="B351" s="87" t="s">
        <v>14</v>
      </c>
      <c r="C351" s="87" t="s">
        <v>686</v>
      </c>
      <c r="D351" s="87" t="s">
        <v>723</v>
      </c>
      <c r="E351" s="87" t="s">
        <v>724</v>
      </c>
      <c r="F351" s="87">
        <v>33.336280287699999</v>
      </c>
      <c r="G351" s="87">
        <v>44.501038408200003</v>
      </c>
      <c r="H351" s="86">
        <v>7</v>
      </c>
      <c r="I351" s="86">
        <v>42</v>
      </c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>
        <v>7</v>
      </c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>
        <v>7</v>
      </c>
      <c r="AI351" s="87"/>
      <c r="AJ351" s="87"/>
      <c r="AK351" s="87"/>
      <c r="AL351" s="87"/>
      <c r="AM351" s="87"/>
      <c r="AN351" s="87"/>
      <c r="AO351" s="87"/>
      <c r="AP351" s="87">
        <v>5</v>
      </c>
      <c r="AQ351" s="87">
        <v>2</v>
      </c>
      <c r="AR351" s="87"/>
      <c r="AS351" s="87"/>
      <c r="AT351" s="87"/>
      <c r="AU351" s="87"/>
      <c r="AV351" s="87"/>
      <c r="AW351" s="88" t="str">
        <f>HYPERLINK("http://www.openstreetmap.org/?mlat=33.3363&amp;mlon=44.501&amp;zoom=12#map=12/33.3363/44.501","Maplink1")</f>
        <v>Maplink1</v>
      </c>
      <c r="AX351" s="88" t="str">
        <f>HYPERLINK("https://www.google.iq/maps/search/+33.3363,44.501/@33.3363,44.501,14z?hl=en","Maplink2")</f>
        <v>Maplink2</v>
      </c>
      <c r="AY351" s="88" t="str">
        <f>HYPERLINK("http://www.bing.com/maps/?lvl=14&amp;sty=h&amp;cp=33.3363~44.501&amp;sp=point.33.3363_44.501","Maplink3")</f>
        <v>Maplink3</v>
      </c>
      <c r="AZ351" s="76"/>
    </row>
    <row r="352" spans="1:52" x14ac:dyDescent="0.25">
      <c r="A352" s="86">
        <v>23286</v>
      </c>
      <c r="B352" s="87" t="s">
        <v>14</v>
      </c>
      <c r="C352" s="87" t="s">
        <v>686</v>
      </c>
      <c r="D352" s="87" t="s">
        <v>725</v>
      </c>
      <c r="E352" s="87" t="s">
        <v>726</v>
      </c>
      <c r="F352" s="87">
        <v>33.3383700336</v>
      </c>
      <c r="G352" s="87">
        <v>44.408499505599998</v>
      </c>
      <c r="H352" s="86">
        <v>8</v>
      </c>
      <c r="I352" s="86">
        <v>48</v>
      </c>
      <c r="J352" s="87">
        <v>3</v>
      </c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>
        <v>3</v>
      </c>
      <c r="W352" s="87"/>
      <c r="X352" s="87">
        <v>2</v>
      </c>
      <c r="Y352" s="87"/>
      <c r="Z352" s="87"/>
      <c r="AA352" s="87"/>
      <c r="AB352" s="87"/>
      <c r="AC352" s="87"/>
      <c r="AD352" s="87"/>
      <c r="AE352" s="87"/>
      <c r="AF352" s="87"/>
      <c r="AG352" s="87"/>
      <c r="AH352" s="87">
        <v>5</v>
      </c>
      <c r="AI352" s="87"/>
      <c r="AJ352" s="87">
        <v>3</v>
      </c>
      <c r="AK352" s="87"/>
      <c r="AL352" s="87"/>
      <c r="AM352" s="87"/>
      <c r="AN352" s="87"/>
      <c r="AO352" s="87"/>
      <c r="AP352" s="87">
        <v>2</v>
      </c>
      <c r="AQ352" s="87">
        <v>3</v>
      </c>
      <c r="AR352" s="87">
        <v>1</v>
      </c>
      <c r="AS352" s="87"/>
      <c r="AT352" s="87"/>
      <c r="AU352" s="87">
        <v>2</v>
      </c>
      <c r="AV352" s="87"/>
      <c r="AW352" s="88" t="str">
        <f>HYPERLINK("http://www.openstreetmap.org/?mlat=33.3384&amp;mlon=44.4085&amp;zoom=12#map=12/33.3384/44.4085","Maplink1")</f>
        <v>Maplink1</v>
      </c>
      <c r="AX352" s="88" t="str">
        <f>HYPERLINK("https://www.google.iq/maps/search/+33.3384,44.4085/@33.3384,44.4085,14z?hl=en","Maplink2")</f>
        <v>Maplink2</v>
      </c>
      <c r="AY352" s="88" t="str">
        <f>HYPERLINK("http://www.bing.com/maps/?lvl=14&amp;sty=h&amp;cp=33.3384~44.4085&amp;sp=point.33.3384_44.4085","Maplink3")</f>
        <v>Maplink3</v>
      </c>
      <c r="AZ352" s="76"/>
    </row>
    <row r="353" spans="1:52" x14ac:dyDescent="0.25">
      <c r="A353" s="86">
        <v>24017</v>
      </c>
      <c r="B353" s="87" t="s">
        <v>14</v>
      </c>
      <c r="C353" s="87" t="s">
        <v>686</v>
      </c>
      <c r="D353" s="87" t="s">
        <v>727</v>
      </c>
      <c r="E353" s="87" t="s">
        <v>728</v>
      </c>
      <c r="F353" s="87">
        <v>33.288547573599999</v>
      </c>
      <c r="G353" s="87">
        <v>44.394634441299999</v>
      </c>
      <c r="H353" s="86">
        <v>1</v>
      </c>
      <c r="I353" s="86">
        <v>6</v>
      </c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>
        <v>1</v>
      </c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>
        <v>1</v>
      </c>
      <c r="AI353" s="87"/>
      <c r="AJ353" s="87"/>
      <c r="AK353" s="87"/>
      <c r="AL353" s="87"/>
      <c r="AM353" s="87"/>
      <c r="AN353" s="87"/>
      <c r="AO353" s="87"/>
      <c r="AP353" s="87">
        <v>1</v>
      </c>
      <c r="AQ353" s="87"/>
      <c r="AR353" s="87"/>
      <c r="AS353" s="87"/>
      <c r="AT353" s="87"/>
      <c r="AU353" s="87"/>
      <c r="AV353" s="87"/>
      <c r="AW353" s="88" t="str">
        <f>HYPERLINK("http://www.openstreetmap.org/?mlat=33.2885&amp;mlon=44.3946&amp;zoom=12#map=12/33.2885/44.3946","Maplink1")</f>
        <v>Maplink1</v>
      </c>
      <c r="AX353" s="88" t="str">
        <f>HYPERLINK("https://www.google.iq/maps/search/+33.2885,44.3946/@33.2885,44.3946,14z?hl=en","Maplink2")</f>
        <v>Maplink2</v>
      </c>
      <c r="AY353" s="88" t="str">
        <f>HYPERLINK("http://www.bing.com/maps/?lvl=14&amp;sty=h&amp;cp=33.2885~44.3946&amp;sp=point.33.2885_44.3946","Maplink3")</f>
        <v>Maplink3</v>
      </c>
      <c r="AZ353" s="76"/>
    </row>
    <row r="354" spans="1:52" x14ac:dyDescent="0.25">
      <c r="A354" s="86">
        <v>22772</v>
      </c>
      <c r="B354" s="87" t="s">
        <v>14</v>
      </c>
      <c r="C354" s="87" t="s">
        <v>686</v>
      </c>
      <c r="D354" s="87" t="s">
        <v>729</v>
      </c>
      <c r="E354" s="87" t="s">
        <v>730</v>
      </c>
      <c r="F354" s="87">
        <v>33.348875442199997</v>
      </c>
      <c r="G354" s="87">
        <v>44.386617862400001</v>
      </c>
      <c r="H354" s="86">
        <v>6</v>
      </c>
      <c r="I354" s="86">
        <v>36</v>
      </c>
      <c r="J354" s="87"/>
      <c r="K354" s="87"/>
      <c r="L354" s="87"/>
      <c r="M354" s="87"/>
      <c r="N354" s="87"/>
      <c r="O354" s="87">
        <v>2</v>
      </c>
      <c r="P354" s="87"/>
      <c r="Q354" s="87"/>
      <c r="R354" s="87"/>
      <c r="S354" s="87"/>
      <c r="T354" s="87"/>
      <c r="U354" s="87"/>
      <c r="V354" s="87">
        <v>2</v>
      </c>
      <c r="W354" s="87"/>
      <c r="X354" s="87">
        <v>2</v>
      </c>
      <c r="Y354" s="87"/>
      <c r="Z354" s="87"/>
      <c r="AA354" s="87"/>
      <c r="AB354" s="87"/>
      <c r="AC354" s="87"/>
      <c r="AD354" s="87"/>
      <c r="AE354" s="87"/>
      <c r="AF354" s="87"/>
      <c r="AG354" s="87"/>
      <c r="AH354" s="87">
        <v>4</v>
      </c>
      <c r="AI354" s="87">
        <v>2</v>
      </c>
      <c r="AJ354" s="87"/>
      <c r="AK354" s="87"/>
      <c r="AL354" s="87"/>
      <c r="AM354" s="87"/>
      <c r="AN354" s="87"/>
      <c r="AO354" s="87">
        <v>3</v>
      </c>
      <c r="AP354" s="87">
        <v>3</v>
      </c>
      <c r="AQ354" s="87"/>
      <c r="AR354" s="87"/>
      <c r="AS354" s="87"/>
      <c r="AT354" s="87"/>
      <c r="AU354" s="87"/>
      <c r="AV354" s="87"/>
      <c r="AW354" s="88" t="str">
        <f>HYPERLINK("http://www.openstreetmap.org/?mlat=33.3489&amp;mlon=44.3866&amp;zoom=12#map=12/33.3489/44.3866","Maplink1")</f>
        <v>Maplink1</v>
      </c>
      <c r="AX354" s="88" t="str">
        <f>HYPERLINK("https://www.google.iq/maps/search/+33.3489,44.3866/@33.3489,44.3866,14z?hl=en","Maplink2")</f>
        <v>Maplink2</v>
      </c>
      <c r="AY354" s="88" t="str">
        <f>HYPERLINK("http://www.bing.com/maps/?lvl=14&amp;sty=h&amp;cp=33.3489~44.3866&amp;sp=point.33.3489_44.3866","Maplink3")</f>
        <v>Maplink3</v>
      </c>
      <c r="AZ354" s="76"/>
    </row>
    <row r="355" spans="1:52" x14ac:dyDescent="0.25">
      <c r="A355" s="86">
        <v>24942</v>
      </c>
      <c r="B355" s="87" t="s">
        <v>14</v>
      </c>
      <c r="C355" s="87" t="s">
        <v>686</v>
      </c>
      <c r="D355" s="87" t="s">
        <v>731</v>
      </c>
      <c r="E355" s="87" t="s">
        <v>732</v>
      </c>
      <c r="F355" s="87">
        <v>33.329731120399998</v>
      </c>
      <c r="G355" s="87">
        <v>44.411169473699999</v>
      </c>
      <c r="H355" s="86">
        <v>4</v>
      </c>
      <c r="I355" s="86">
        <v>24</v>
      </c>
      <c r="J355" s="87"/>
      <c r="K355" s="87"/>
      <c r="L355" s="87"/>
      <c r="M355" s="87"/>
      <c r="N355" s="87"/>
      <c r="O355" s="87">
        <v>1</v>
      </c>
      <c r="P355" s="87"/>
      <c r="Q355" s="87"/>
      <c r="R355" s="87"/>
      <c r="S355" s="87"/>
      <c r="T355" s="87"/>
      <c r="U355" s="87"/>
      <c r="V355" s="87">
        <v>3</v>
      </c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>
        <v>4</v>
      </c>
      <c r="AI355" s="87"/>
      <c r="AJ355" s="87"/>
      <c r="AK355" s="87"/>
      <c r="AL355" s="87"/>
      <c r="AM355" s="87"/>
      <c r="AN355" s="87"/>
      <c r="AO355" s="87"/>
      <c r="AP355" s="87"/>
      <c r="AQ355" s="87">
        <v>3</v>
      </c>
      <c r="AR355" s="87"/>
      <c r="AS355" s="87"/>
      <c r="AT355" s="87">
        <v>1</v>
      </c>
      <c r="AU355" s="87"/>
      <c r="AV355" s="87"/>
      <c r="AW355" s="88" t="str">
        <f>HYPERLINK("http://www.openstreetmap.org/?mlat=33.3297&amp;mlon=44.4112&amp;zoom=12#map=12/33.3297/44.4112","Maplink1")</f>
        <v>Maplink1</v>
      </c>
      <c r="AX355" s="88" t="str">
        <f>HYPERLINK("https://www.google.iq/maps/search/+33.3297,44.4112/@33.3297,44.4112,14z?hl=en","Maplink2")</f>
        <v>Maplink2</v>
      </c>
      <c r="AY355" s="88" t="str">
        <f>HYPERLINK("http://www.bing.com/maps/?lvl=14&amp;sty=h&amp;cp=33.3297~44.4112&amp;sp=point.33.3297_44.4112","Maplink3")</f>
        <v>Maplink3</v>
      </c>
      <c r="AZ355" s="76"/>
    </row>
    <row r="356" spans="1:52" x14ac:dyDescent="0.25">
      <c r="A356" s="86">
        <v>21744</v>
      </c>
      <c r="B356" s="87" t="s">
        <v>14</v>
      </c>
      <c r="C356" s="87" t="s">
        <v>686</v>
      </c>
      <c r="D356" s="87" t="s">
        <v>733</v>
      </c>
      <c r="E356" s="87" t="s">
        <v>734</v>
      </c>
      <c r="F356" s="87">
        <v>33.347322820800002</v>
      </c>
      <c r="G356" s="87">
        <v>44.3956516585</v>
      </c>
      <c r="H356" s="86">
        <v>10</v>
      </c>
      <c r="I356" s="86">
        <v>60</v>
      </c>
      <c r="J356" s="87">
        <v>2</v>
      </c>
      <c r="K356" s="87"/>
      <c r="L356" s="87"/>
      <c r="M356" s="87"/>
      <c r="N356" s="87"/>
      <c r="O356" s="87">
        <v>3</v>
      </c>
      <c r="P356" s="87"/>
      <c r="Q356" s="87"/>
      <c r="R356" s="87"/>
      <c r="S356" s="87"/>
      <c r="T356" s="87"/>
      <c r="U356" s="87"/>
      <c r="V356" s="87">
        <v>5</v>
      </c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>
        <v>10</v>
      </c>
      <c r="AI356" s="87"/>
      <c r="AJ356" s="87"/>
      <c r="AK356" s="87"/>
      <c r="AL356" s="87"/>
      <c r="AM356" s="87"/>
      <c r="AN356" s="87"/>
      <c r="AO356" s="87">
        <v>6</v>
      </c>
      <c r="AP356" s="87">
        <v>2</v>
      </c>
      <c r="AQ356" s="87">
        <v>2</v>
      </c>
      <c r="AR356" s="87"/>
      <c r="AS356" s="87"/>
      <c r="AT356" s="87"/>
      <c r="AU356" s="87"/>
      <c r="AV356" s="87"/>
      <c r="AW356" s="88" t="str">
        <f>HYPERLINK("http://www.openstreetmap.org/?mlat=33.3473&amp;mlon=44.3957&amp;zoom=12#map=12/33.3473/44.3957","Maplink1")</f>
        <v>Maplink1</v>
      </c>
      <c r="AX356" s="88" t="str">
        <f>HYPERLINK("https://www.google.iq/maps/search/+33.3473,44.3957/@33.3473,44.3957,14z?hl=en","Maplink2")</f>
        <v>Maplink2</v>
      </c>
      <c r="AY356" s="88" t="str">
        <f>HYPERLINK("http://www.bing.com/maps/?lvl=14&amp;sty=h&amp;cp=33.3473~44.3957&amp;sp=point.33.3473_44.3957","Maplink3")</f>
        <v>Maplink3</v>
      </c>
      <c r="AZ356" s="76"/>
    </row>
    <row r="357" spans="1:52" x14ac:dyDescent="0.25">
      <c r="A357" s="86">
        <v>21630</v>
      </c>
      <c r="B357" s="87" t="s">
        <v>14</v>
      </c>
      <c r="C357" s="87" t="s">
        <v>686</v>
      </c>
      <c r="D357" s="87" t="s">
        <v>735</v>
      </c>
      <c r="E357" s="87" t="s">
        <v>736</v>
      </c>
      <c r="F357" s="87">
        <v>33.343981020900003</v>
      </c>
      <c r="G357" s="87">
        <v>44.389574377999999</v>
      </c>
      <c r="H357" s="86">
        <v>5</v>
      </c>
      <c r="I357" s="86">
        <v>30</v>
      </c>
      <c r="J357" s="87">
        <v>2</v>
      </c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>
        <v>3</v>
      </c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>
        <v>5</v>
      </c>
      <c r="AI357" s="87"/>
      <c r="AJ357" s="87"/>
      <c r="AK357" s="87"/>
      <c r="AL357" s="87"/>
      <c r="AM357" s="87"/>
      <c r="AN357" s="87"/>
      <c r="AO357" s="87"/>
      <c r="AP357" s="87">
        <v>5</v>
      </c>
      <c r="AQ357" s="87"/>
      <c r="AR357" s="87"/>
      <c r="AS357" s="87"/>
      <c r="AT357" s="87"/>
      <c r="AU357" s="87"/>
      <c r="AV357" s="87"/>
      <c r="AW357" s="88" t="str">
        <f>HYPERLINK("http://www.openstreetmap.org/?mlat=33.344&amp;mlon=44.3896&amp;zoom=12#map=12/33.344/44.3896","Maplink1")</f>
        <v>Maplink1</v>
      </c>
      <c r="AX357" s="88" t="str">
        <f>HYPERLINK("https://www.google.iq/maps/search/+33.344,44.3896/@33.344,44.3896,14z?hl=en","Maplink2")</f>
        <v>Maplink2</v>
      </c>
      <c r="AY357" s="88" t="str">
        <f>HYPERLINK("http://www.bing.com/maps/?lvl=14&amp;sty=h&amp;cp=33.344~44.3896&amp;sp=point.33.344_44.3896","Maplink3")</f>
        <v>Maplink3</v>
      </c>
      <c r="AZ357" s="76"/>
    </row>
    <row r="358" spans="1:52" x14ac:dyDescent="0.25">
      <c r="A358" s="86">
        <v>22056</v>
      </c>
      <c r="B358" s="87" t="s">
        <v>14</v>
      </c>
      <c r="C358" s="87" t="s">
        <v>686</v>
      </c>
      <c r="D358" s="87" t="s">
        <v>737</v>
      </c>
      <c r="E358" s="87" t="s">
        <v>738</v>
      </c>
      <c r="F358" s="87">
        <v>33.347712657099997</v>
      </c>
      <c r="G358" s="87">
        <v>44.511136489499997</v>
      </c>
      <c r="H358" s="86">
        <v>6</v>
      </c>
      <c r="I358" s="86">
        <v>36</v>
      </c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>
        <v>6</v>
      </c>
      <c r="W358" s="87"/>
      <c r="X358" s="87"/>
      <c r="Y358" s="87"/>
      <c r="Z358" s="87"/>
      <c r="AA358" s="87"/>
      <c r="AB358" s="87"/>
      <c r="AC358" s="87">
        <v>2</v>
      </c>
      <c r="AD358" s="87"/>
      <c r="AE358" s="87"/>
      <c r="AF358" s="87"/>
      <c r="AG358" s="87"/>
      <c r="AH358" s="87">
        <v>4</v>
      </c>
      <c r="AI358" s="87"/>
      <c r="AJ358" s="87"/>
      <c r="AK358" s="87"/>
      <c r="AL358" s="87"/>
      <c r="AM358" s="87"/>
      <c r="AN358" s="87"/>
      <c r="AO358" s="87"/>
      <c r="AP358" s="87">
        <v>6</v>
      </c>
      <c r="AQ358" s="87"/>
      <c r="AR358" s="87"/>
      <c r="AS358" s="87"/>
      <c r="AT358" s="87"/>
      <c r="AU358" s="87"/>
      <c r="AV358" s="87"/>
      <c r="AW358" s="88" t="str">
        <f>HYPERLINK("http://www.openstreetmap.org/?mlat=33.3477&amp;mlon=44.5111&amp;zoom=12#map=12/33.3477/44.5111","Maplink1")</f>
        <v>Maplink1</v>
      </c>
      <c r="AX358" s="88" t="str">
        <f>HYPERLINK("https://www.google.iq/maps/search/+33.3477,44.5111/@33.3477,44.5111,14z?hl=en","Maplink2")</f>
        <v>Maplink2</v>
      </c>
      <c r="AY358" s="88" t="str">
        <f>HYPERLINK("http://www.bing.com/maps/?lvl=14&amp;sty=h&amp;cp=33.3477~44.5111&amp;sp=point.33.3477_44.5111","Maplink3")</f>
        <v>Maplink3</v>
      </c>
      <c r="AZ358" s="76"/>
    </row>
    <row r="359" spans="1:52" x14ac:dyDescent="0.25">
      <c r="A359" s="86">
        <v>22145</v>
      </c>
      <c r="B359" s="87" t="s">
        <v>14</v>
      </c>
      <c r="C359" s="87" t="s">
        <v>686</v>
      </c>
      <c r="D359" s="87" t="s">
        <v>739</v>
      </c>
      <c r="E359" s="87" t="s">
        <v>740</v>
      </c>
      <c r="F359" s="87">
        <v>33.349768426700003</v>
      </c>
      <c r="G359" s="87">
        <v>44.514020270300001</v>
      </c>
      <c r="H359" s="86">
        <v>6</v>
      </c>
      <c r="I359" s="86">
        <v>36</v>
      </c>
      <c r="J359" s="87"/>
      <c r="K359" s="87"/>
      <c r="L359" s="87"/>
      <c r="M359" s="87"/>
      <c r="N359" s="87"/>
      <c r="O359" s="87">
        <v>1</v>
      </c>
      <c r="P359" s="87"/>
      <c r="Q359" s="87"/>
      <c r="R359" s="87"/>
      <c r="S359" s="87"/>
      <c r="T359" s="87"/>
      <c r="U359" s="87"/>
      <c r="V359" s="87">
        <v>5</v>
      </c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>
        <v>6</v>
      </c>
      <c r="AI359" s="87"/>
      <c r="AJ359" s="87"/>
      <c r="AK359" s="87"/>
      <c r="AL359" s="87"/>
      <c r="AM359" s="87"/>
      <c r="AN359" s="87"/>
      <c r="AO359" s="87">
        <v>1</v>
      </c>
      <c r="AP359" s="87">
        <v>5</v>
      </c>
      <c r="AQ359" s="87"/>
      <c r="AR359" s="87"/>
      <c r="AS359" s="87"/>
      <c r="AT359" s="87"/>
      <c r="AU359" s="87"/>
      <c r="AV359" s="87"/>
      <c r="AW359" s="88" t="str">
        <f>HYPERLINK("http://www.openstreetmap.org/?mlat=33.3498&amp;mlon=44.514&amp;zoom=12#map=12/33.3498/44.514","Maplink1")</f>
        <v>Maplink1</v>
      </c>
      <c r="AX359" s="88" t="str">
        <f>HYPERLINK("https://www.google.iq/maps/search/+33.3498,44.514/@33.3498,44.514,14z?hl=en","Maplink2")</f>
        <v>Maplink2</v>
      </c>
      <c r="AY359" s="88" t="str">
        <f>HYPERLINK("http://www.bing.com/maps/?lvl=14&amp;sty=h&amp;cp=33.3498~44.514&amp;sp=point.33.3498_44.514","Maplink3")</f>
        <v>Maplink3</v>
      </c>
      <c r="AZ359" s="76"/>
    </row>
    <row r="360" spans="1:52" x14ac:dyDescent="0.25">
      <c r="A360" s="86">
        <v>24953</v>
      </c>
      <c r="B360" s="87" t="s">
        <v>14</v>
      </c>
      <c r="C360" s="87" t="s">
        <v>686</v>
      </c>
      <c r="D360" s="87" t="s">
        <v>741</v>
      </c>
      <c r="E360" s="87" t="s">
        <v>742</v>
      </c>
      <c r="F360" s="87">
        <v>33.3583545392</v>
      </c>
      <c r="G360" s="87">
        <v>44.5238482464</v>
      </c>
      <c r="H360" s="86">
        <v>5</v>
      </c>
      <c r="I360" s="86">
        <v>30</v>
      </c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>
        <v>5</v>
      </c>
      <c r="W360" s="87"/>
      <c r="X360" s="87"/>
      <c r="Y360" s="87"/>
      <c r="Z360" s="87"/>
      <c r="AA360" s="87"/>
      <c r="AB360" s="87"/>
      <c r="AC360" s="87">
        <v>2</v>
      </c>
      <c r="AD360" s="87"/>
      <c r="AE360" s="87"/>
      <c r="AF360" s="87"/>
      <c r="AG360" s="87"/>
      <c r="AH360" s="87">
        <v>3</v>
      </c>
      <c r="AI360" s="87"/>
      <c r="AJ360" s="87"/>
      <c r="AK360" s="87"/>
      <c r="AL360" s="87"/>
      <c r="AM360" s="87"/>
      <c r="AN360" s="87"/>
      <c r="AO360" s="87"/>
      <c r="AP360" s="87"/>
      <c r="AQ360" s="87">
        <v>5</v>
      </c>
      <c r="AR360" s="87"/>
      <c r="AS360" s="87"/>
      <c r="AT360" s="87"/>
      <c r="AU360" s="87"/>
      <c r="AV360" s="87"/>
      <c r="AW360" s="88" t="str">
        <f>HYPERLINK("http://www.openstreetmap.org/?mlat=33.3584&amp;mlon=44.5238&amp;zoom=12#map=12/33.3584/44.5238","Maplink1")</f>
        <v>Maplink1</v>
      </c>
      <c r="AX360" s="88" t="str">
        <f>HYPERLINK("https://www.google.iq/maps/search/+33.3584,44.5238/@33.3584,44.5238,14z?hl=en","Maplink2")</f>
        <v>Maplink2</v>
      </c>
      <c r="AY360" s="88" t="str">
        <f>HYPERLINK("http://www.bing.com/maps/?lvl=14&amp;sty=h&amp;cp=33.3584~44.5238&amp;sp=point.33.3584_44.5238","Maplink3")</f>
        <v>Maplink3</v>
      </c>
      <c r="AZ360" s="76"/>
    </row>
    <row r="361" spans="1:52" x14ac:dyDescent="0.25">
      <c r="A361" s="86">
        <v>22146</v>
      </c>
      <c r="B361" s="87" t="s">
        <v>14</v>
      </c>
      <c r="C361" s="87" t="s">
        <v>686</v>
      </c>
      <c r="D361" s="87" t="s">
        <v>743</v>
      </c>
      <c r="E361" s="87" t="s">
        <v>744</v>
      </c>
      <c r="F361" s="87">
        <v>33.348985088200003</v>
      </c>
      <c r="G361" s="87">
        <v>44.532084294100002</v>
      </c>
      <c r="H361" s="86">
        <v>7</v>
      </c>
      <c r="I361" s="86">
        <v>42</v>
      </c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>
        <v>7</v>
      </c>
      <c r="W361" s="87"/>
      <c r="X361" s="87"/>
      <c r="Y361" s="87"/>
      <c r="Z361" s="87"/>
      <c r="AA361" s="87"/>
      <c r="AB361" s="87"/>
      <c r="AC361" s="87">
        <v>2</v>
      </c>
      <c r="AD361" s="87"/>
      <c r="AE361" s="87"/>
      <c r="AF361" s="87"/>
      <c r="AG361" s="87"/>
      <c r="AH361" s="87">
        <v>5</v>
      </c>
      <c r="AI361" s="87"/>
      <c r="AJ361" s="87"/>
      <c r="AK361" s="87"/>
      <c r="AL361" s="87"/>
      <c r="AM361" s="87"/>
      <c r="AN361" s="87"/>
      <c r="AO361" s="87"/>
      <c r="AP361" s="87"/>
      <c r="AQ361" s="87">
        <v>7</v>
      </c>
      <c r="AR361" s="87"/>
      <c r="AS361" s="87"/>
      <c r="AT361" s="87"/>
      <c r="AU361" s="87"/>
      <c r="AV361" s="87"/>
      <c r="AW361" s="88" t="str">
        <f>HYPERLINK("http://www.openstreetmap.org/?mlat=33.349&amp;mlon=44.5321&amp;zoom=12#map=12/33.349/44.5321","Maplink1")</f>
        <v>Maplink1</v>
      </c>
      <c r="AX361" s="88" t="str">
        <f>HYPERLINK("https://www.google.iq/maps/search/+33.349,44.5321/@33.349,44.5321,14z?hl=en","Maplink2")</f>
        <v>Maplink2</v>
      </c>
      <c r="AY361" s="88" t="str">
        <f>HYPERLINK("http://www.bing.com/maps/?lvl=14&amp;sty=h&amp;cp=33.349~44.5321&amp;sp=point.33.349_44.5321","Maplink3")</f>
        <v>Maplink3</v>
      </c>
      <c r="AZ361" s="76"/>
    </row>
    <row r="362" spans="1:52" x14ac:dyDescent="0.25">
      <c r="A362" s="86">
        <v>24277</v>
      </c>
      <c r="B362" s="87" t="s">
        <v>14</v>
      </c>
      <c r="C362" s="87" t="s">
        <v>686</v>
      </c>
      <c r="D362" s="87" t="s">
        <v>745</v>
      </c>
      <c r="E362" s="87" t="s">
        <v>746</v>
      </c>
      <c r="F362" s="87">
        <v>33.299686897000001</v>
      </c>
      <c r="G362" s="87">
        <v>44.422549522899999</v>
      </c>
      <c r="H362" s="86">
        <v>4</v>
      </c>
      <c r="I362" s="86">
        <v>24</v>
      </c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>
        <v>4</v>
      </c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>
        <v>4</v>
      </c>
      <c r="AI362" s="87"/>
      <c r="AJ362" s="87"/>
      <c r="AK362" s="87"/>
      <c r="AL362" s="87"/>
      <c r="AM362" s="87"/>
      <c r="AN362" s="87">
        <v>1</v>
      </c>
      <c r="AO362" s="87">
        <v>3</v>
      </c>
      <c r="AP362" s="87"/>
      <c r="AQ362" s="87"/>
      <c r="AR362" s="87"/>
      <c r="AS362" s="87"/>
      <c r="AT362" s="87"/>
      <c r="AU362" s="87"/>
      <c r="AV362" s="87"/>
      <c r="AW362" s="88" t="str">
        <f>HYPERLINK("http://www.openstreetmap.org/?mlat=33.2997&amp;mlon=44.4225&amp;zoom=12#map=12/33.2997/44.4225","Maplink1")</f>
        <v>Maplink1</v>
      </c>
      <c r="AX362" s="88" t="str">
        <f>HYPERLINK("https://www.google.iq/maps/search/+33.2997,44.4225/@33.2997,44.4225,14z?hl=en","Maplink2")</f>
        <v>Maplink2</v>
      </c>
      <c r="AY362" s="88" t="str">
        <f>HYPERLINK("http://www.bing.com/maps/?lvl=14&amp;sty=h&amp;cp=33.2997~44.4225&amp;sp=point.33.2997_44.4225","Maplink3")</f>
        <v>Maplink3</v>
      </c>
      <c r="AZ362" s="76"/>
    </row>
    <row r="363" spans="1:52" x14ac:dyDescent="0.25">
      <c r="A363" s="86">
        <v>25928</v>
      </c>
      <c r="B363" s="87" t="s">
        <v>14</v>
      </c>
      <c r="C363" s="87" t="s">
        <v>686</v>
      </c>
      <c r="D363" s="87" t="s">
        <v>747</v>
      </c>
      <c r="E363" s="87" t="s">
        <v>748</v>
      </c>
      <c r="F363" s="87">
        <v>33.2995898036</v>
      </c>
      <c r="G363" s="87">
        <v>44.424877371900003</v>
      </c>
      <c r="H363" s="86">
        <v>4</v>
      </c>
      <c r="I363" s="86">
        <v>24</v>
      </c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>
        <v>4</v>
      </c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>
        <v>4</v>
      </c>
      <c r="AI363" s="87"/>
      <c r="AJ363" s="87"/>
      <c r="AK363" s="87"/>
      <c r="AL363" s="87"/>
      <c r="AM363" s="87"/>
      <c r="AN363" s="87"/>
      <c r="AO363" s="87">
        <v>4</v>
      </c>
      <c r="AP363" s="87"/>
      <c r="AQ363" s="87"/>
      <c r="AR363" s="87"/>
      <c r="AS363" s="87"/>
      <c r="AT363" s="87"/>
      <c r="AU363" s="87"/>
      <c r="AV363" s="87"/>
      <c r="AW363" s="88" t="str">
        <f>HYPERLINK("http://www.openstreetmap.org/?mlat=33.2996&amp;mlon=44.4249&amp;zoom=12#map=12/33.2996/44.4249","Maplink1")</f>
        <v>Maplink1</v>
      </c>
      <c r="AX363" s="88" t="str">
        <f>HYPERLINK("https://www.google.iq/maps/search/+33.2996,44.4249/@33.2996,44.4249,14z?hl=en","Maplink2")</f>
        <v>Maplink2</v>
      </c>
      <c r="AY363" s="88" t="str">
        <f>HYPERLINK("http://www.bing.com/maps/?lvl=14&amp;sty=h&amp;cp=33.2996~44.4249&amp;sp=point.33.2996_44.4249","Maplink3")</f>
        <v>Maplink3</v>
      </c>
      <c r="AZ363" s="76"/>
    </row>
    <row r="364" spans="1:52" x14ac:dyDescent="0.25">
      <c r="A364" s="86">
        <v>24019</v>
      </c>
      <c r="B364" s="87" t="s">
        <v>14</v>
      </c>
      <c r="C364" s="87" t="s">
        <v>686</v>
      </c>
      <c r="D364" s="87" t="s">
        <v>749</v>
      </c>
      <c r="E364" s="87" t="s">
        <v>750</v>
      </c>
      <c r="F364" s="87">
        <v>33.295236433900001</v>
      </c>
      <c r="G364" s="87">
        <v>44.418782520699999</v>
      </c>
      <c r="H364" s="86">
        <v>6</v>
      </c>
      <c r="I364" s="86">
        <v>36</v>
      </c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>
        <v>6</v>
      </c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>
        <v>6</v>
      </c>
      <c r="AI364" s="87"/>
      <c r="AJ364" s="87"/>
      <c r="AK364" s="87"/>
      <c r="AL364" s="87"/>
      <c r="AM364" s="87"/>
      <c r="AN364" s="87"/>
      <c r="AO364" s="87"/>
      <c r="AP364" s="87"/>
      <c r="AQ364" s="87">
        <v>6</v>
      </c>
      <c r="AR364" s="87"/>
      <c r="AS364" s="87"/>
      <c r="AT364" s="87"/>
      <c r="AU364" s="87"/>
      <c r="AV364" s="87"/>
      <c r="AW364" s="88" t="str">
        <f>HYPERLINK("http://www.openstreetmap.org/?mlat=33.2952&amp;mlon=44.4188&amp;zoom=12#map=12/33.2952/44.4188","Maplink1")</f>
        <v>Maplink1</v>
      </c>
      <c r="AX364" s="88" t="str">
        <f>HYPERLINK("https://www.google.iq/maps/search/+33.2952,44.4188/@33.2952,44.4188,14z?hl=en","Maplink2")</f>
        <v>Maplink2</v>
      </c>
      <c r="AY364" s="88" t="str">
        <f>HYPERLINK("http://www.bing.com/maps/?lvl=14&amp;sty=h&amp;cp=33.2952~44.4188&amp;sp=point.33.2952_44.4188","Maplink3")</f>
        <v>Maplink3</v>
      </c>
      <c r="AZ364" s="76"/>
    </row>
    <row r="365" spans="1:52" x14ac:dyDescent="0.25">
      <c r="A365" s="86">
        <v>27248</v>
      </c>
      <c r="B365" s="87" t="s">
        <v>14</v>
      </c>
      <c r="C365" s="87" t="s">
        <v>686</v>
      </c>
      <c r="D365" s="87" t="s">
        <v>751</v>
      </c>
      <c r="E365" s="87" t="s">
        <v>752</v>
      </c>
      <c r="F365" s="87">
        <v>33.2946770792</v>
      </c>
      <c r="G365" s="87">
        <v>44.414005481300002</v>
      </c>
      <c r="H365" s="86">
        <v>5</v>
      </c>
      <c r="I365" s="86">
        <v>30</v>
      </c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>
        <v>5</v>
      </c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>
        <v>5</v>
      </c>
      <c r="AI365" s="87"/>
      <c r="AJ365" s="87"/>
      <c r="AK365" s="87"/>
      <c r="AL365" s="87"/>
      <c r="AM365" s="87"/>
      <c r="AN365" s="87"/>
      <c r="AO365" s="87"/>
      <c r="AP365" s="87"/>
      <c r="AQ365" s="87">
        <v>5</v>
      </c>
      <c r="AR365" s="87"/>
      <c r="AS365" s="87"/>
      <c r="AT365" s="87"/>
      <c r="AU365" s="87"/>
      <c r="AV365" s="87"/>
      <c r="AW365" s="88" t="str">
        <f>HYPERLINK("http://www.openstreetmap.org/?mlat=33.2947&amp;mlon=44.414&amp;zoom=12#map=12/33.2947/44.414","Maplink1")</f>
        <v>Maplink1</v>
      </c>
      <c r="AX365" s="88" t="str">
        <f>HYPERLINK("https://www.google.iq/maps/search/+33.2947,44.414/@33.2947,44.414,14z?hl=en","Maplink2")</f>
        <v>Maplink2</v>
      </c>
      <c r="AY365" s="88" t="str">
        <f>HYPERLINK("http://www.bing.com/maps/?lvl=14&amp;sty=h&amp;cp=33.2947~44.414&amp;sp=point.33.2947_44.414","Maplink3")</f>
        <v>Maplink3</v>
      </c>
      <c r="AZ365" s="76"/>
    </row>
    <row r="366" spans="1:52" x14ac:dyDescent="0.25">
      <c r="A366" s="86">
        <v>24475</v>
      </c>
      <c r="B366" s="87" t="s">
        <v>14</v>
      </c>
      <c r="C366" s="87" t="s">
        <v>686</v>
      </c>
      <c r="D366" s="87" t="s">
        <v>753</v>
      </c>
      <c r="E366" s="87" t="s">
        <v>754</v>
      </c>
      <c r="F366" s="87">
        <v>33.390132166999997</v>
      </c>
      <c r="G366" s="87">
        <v>44.526693322500002</v>
      </c>
      <c r="H366" s="86">
        <v>5</v>
      </c>
      <c r="I366" s="86">
        <v>30</v>
      </c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>
        <v>5</v>
      </c>
      <c r="W366" s="87"/>
      <c r="X366" s="87"/>
      <c r="Y366" s="87"/>
      <c r="Z366" s="87"/>
      <c r="AA366" s="87"/>
      <c r="AB366" s="87"/>
      <c r="AC366" s="87">
        <v>3</v>
      </c>
      <c r="AD366" s="87"/>
      <c r="AE366" s="87"/>
      <c r="AF366" s="87"/>
      <c r="AG366" s="87"/>
      <c r="AH366" s="87"/>
      <c r="AI366" s="87">
        <v>2</v>
      </c>
      <c r="AJ366" s="87"/>
      <c r="AK366" s="87"/>
      <c r="AL366" s="87"/>
      <c r="AM366" s="87"/>
      <c r="AN366" s="87"/>
      <c r="AO366" s="87">
        <v>5</v>
      </c>
      <c r="AP366" s="87"/>
      <c r="AQ366" s="87"/>
      <c r="AR366" s="87"/>
      <c r="AS366" s="87"/>
      <c r="AT366" s="87"/>
      <c r="AU366" s="87"/>
      <c r="AV366" s="87"/>
      <c r="AW366" s="88" t="str">
        <f>HYPERLINK("http://www.openstreetmap.org/?mlat=33.3901&amp;mlon=44.5267&amp;zoom=12#map=12/33.3901/44.5267","Maplink1")</f>
        <v>Maplink1</v>
      </c>
      <c r="AX366" s="88" t="str">
        <f>HYPERLINK("https://www.google.iq/maps/search/+33.3901,44.5267/@33.3901,44.5267,14z?hl=en","Maplink2")</f>
        <v>Maplink2</v>
      </c>
      <c r="AY366" s="88" t="str">
        <f>HYPERLINK("http://www.bing.com/maps/?lvl=14&amp;sty=h&amp;cp=33.3901~44.5267&amp;sp=point.33.3901_44.5267","Maplink3")</f>
        <v>Maplink3</v>
      </c>
      <c r="AZ366" s="76"/>
    </row>
    <row r="367" spans="1:52" x14ac:dyDescent="0.25">
      <c r="A367" s="86">
        <v>21692</v>
      </c>
      <c r="B367" s="87" t="s">
        <v>14</v>
      </c>
      <c r="C367" s="87" t="s">
        <v>686</v>
      </c>
      <c r="D367" s="87" t="s">
        <v>755</v>
      </c>
      <c r="E367" s="87" t="s">
        <v>756</v>
      </c>
      <c r="F367" s="87">
        <v>33.389412935800003</v>
      </c>
      <c r="G367" s="87">
        <v>44.523827657699997</v>
      </c>
      <c r="H367" s="86">
        <v>4</v>
      </c>
      <c r="I367" s="86">
        <v>24</v>
      </c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>
        <v>4</v>
      </c>
      <c r="W367" s="87"/>
      <c r="X367" s="87"/>
      <c r="Y367" s="87"/>
      <c r="Z367" s="87"/>
      <c r="AA367" s="87"/>
      <c r="AB367" s="87"/>
      <c r="AC367" s="87">
        <v>2</v>
      </c>
      <c r="AD367" s="87"/>
      <c r="AE367" s="87"/>
      <c r="AF367" s="87"/>
      <c r="AG367" s="87"/>
      <c r="AH367" s="87">
        <v>1</v>
      </c>
      <c r="AI367" s="87">
        <v>1</v>
      </c>
      <c r="AJ367" s="87"/>
      <c r="AK367" s="87"/>
      <c r="AL367" s="87"/>
      <c r="AM367" s="87"/>
      <c r="AN367" s="87"/>
      <c r="AO367" s="87">
        <v>3</v>
      </c>
      <c r="AP367" s="87"/>
      <c r="AQ367" s="87">
        <v>1</v>
      </c>
      <c r="AR367" s="87"/>
      <c r="AS367" s="87"/>
      <c r="AT367" s="87"/>
      <c r="AU367" s="87"/>
      <c r="AV367" s="87"/>
      <c r="AW367" s="88" t="str">
        <f>HYPERLINK("http://www.openstreetmap.org/?mlat=33.3894&amp;mlon=44.5238&amp;zoom=12#map=12/33.3894/44.5238","Maplink1")</f>
        <v>Maplink1</v>
      </c>
      <c r="AX367" s="88" t="str">
        <f>HYPERLINK("https://www.google.iq/maps/search/+33.3894,44.5238/@33.3894,44.5238,14z?hl=en","Maplink2")</f>
        <v>Maplink2</v>
      </c>
      <c r="AY367" s="88" t="str">
        <f>HYPERLINK("http://www.bing.com/maps/?lvl=14&amp;sty=h&amp;cp=33.3894~44.5238&amp;sp=point.33.3894_44.5238","Maplink3")</f>
        <v>Maplink3</v>
      </c>
      <c r="AZ367" s="76"/>
    </row>
    <row r="368" spans="1:52" x14ac:dyDescent="0.25">
      <c r="A368" s="86">
        <v>21691</v>
      </c>
      <c r="B368" s="87" t="s">
        <v>14</v>
      </c>
      <c r="C368" s="87" t="s">
        <v>686</v>
      </c>
      <c r="D368" s="87" t="s">
        <v>757</v>
      </c>
      <c r="E368" s="87" t="s">
        <v>758</v>
      </c>
      <c r="F368" s="87">
        <v>33.395052099600001</v>
      </c>
      <c r="G368" s="87">
        <v>44.525882036100001</v>
      </c>
      <c r="H368" s="86">
        <v>4</v>
      </c>
      <c r="I368" s="86">
        <v>24</v>
      </c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>
        <v>4</v>
      </c>
      <c r="W368" s="87"/>
      <c r="X368" s="87"/>
      <c r="Y368" s="87"/>
      <c r="Z368" s="87"/>
      <c r="AA368" s="87"/>
      <c r="AB368" s="87"/>
      <c r="AC368" s="87">
        <v>2</v>
      </c>
      <c r="AD368" s="87"/>
      <c r="AE368" s="87"/>
      <c r="AF368" s="87"/>
      <c r="AG368" s="87"/>
      <c r="AH368" s="87">
        <v>2</v>
      </c>
      <c r="AI368" s="87"/>
      <c r="AJ368" s="87"/>
      <c r="AK368" s="87"/>
      <c r="AL368" s="87"/>
      <c r="AM368" s="87"/>
      <c r="AN368" s="87"/>
      <c r="AO368" s="87"/>
      <c r="AP368" s="87">
        <v>3</v>
      </c>
      <c r="AQ368" s="87">
        <v>1</v>
      </c>
      <c r="AR368" s="87"/>
      <c r="AS368" s="87"/>
      <c r="AT368" s="87"/>
      <c r="AU368" s="87"/>
      <c r="AV368" s="87"/>
      <c r="AW368" s="88" t="str">
        <f>HYPERLINK("http://www.openstreetmap.org/?mlat=33.3951&amp;mlon=44.5259&amp;zoom=12#map=12/33.3951/44.5259","Maplink1")</f>
        <v>Maplink1</v>
      </c>
      <c r="AX368" s="88" t="str">
        <f>HYPERLINK("https://www.google.iq/maps/search/+33.3951,44.5259/@33.3951,44.5259,14z?hl=en","Maplink2")</f>
        <v>Maplink2</v>
      </c>
      <c r="AY368" s="88" t="str">
        <f>HYPERLINK("http://www.bing.com/maps/?lvl=14&amp;sty=h&amp;cp=33.3951~44.5259&amp;sp=point.33.3951_44.5259","Maplink3")</f>
        <v>Maplink3</v>
      </c>
      <c r="AZ368" s="76"/>
    </row>
    <row r="369" spans="1:52" x14ac:dyDescent="0.25">
      <c r="A369" s="86">
        <v>21693</v>
      </c>
      <c r="B369" s="87" t="s">
        <v>14</v>
      </c>
      <c r="C369" s="87" t="s">
        <v>686</v>
      </c>
      <c r="D369" s="87" t="s">
        <v>759</v>
      </c>
      <c r="E369" s="87" t="s">
        <v>760</v>
      </c>
      <c r="F369" s="87">
        <v>33.3949536278</v>
      </c>
      <c r="G369" s="87">
        <v>44.5246446783</v>
      </c>
      <c r="H369" s="86">
        <v>4</v>
      </c>
      <c r="I369" s="86">
        <v>24</v>
      </c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>
        <v>3</v>
      </c>
      <c r="W369" s="87"/>
      <c r="X369" s="87">
        <v>1</v>
      </c>
      <c r="Y369" s="87"/>
      <c r="Z369" s="87"/>
      <c r="AA369" s="87"/>
      <c r="AB369" s="87"/>
      <c r="AC369" s="87">
        <v>1</v>
      </c>
      <c r="AD369" s="87"/>
      <c r="AE369" s="87"/>
      <c r="AF369" s="87"/>
      <c r="AG369" s="87"/>
      <c r="AH369" s="87">
        <v>3</v>
      </c>
      <c r="AI369" s="87"/>
      <c r="AJ369" s="87"/>
      <c r="AK369" s="87"/>
      <c r="AL369" s="87"/>
      <c r="AM369" s="87"/>
      <c r="AN369" s="87"/>
      <c r="AO369" s="87">
        <v>4</v>
      </c>
      <c r="AP369" s="87"/>
      <c r="AQ369" s="87"/>
      <c r="AR369" s="87"/>
      <c r="AS369" s="87"/>
      <c r="AT369" s="87"/>
      <c r="AU369" s="87"/>
      <c r="AV369" s="87"/>
      <c r="AW369" s="88" t="str">
        <f>HYPERLINK("http://www.openstreetmap.org/?mlat=33.395&amp;mlon=44.5246&amp;zoom=12#map=12/33.395/44.5246","Maplink1")</f>
        <v>Maplink1</v>
      </c>
      <c r="AX369" s="88" t="str">
        <f>HYPERLINK("https://www.google.iq/maps/search/+33.395,44.5246/@33.395,44.5246,14z?hl=en","Maplink2")</f>
        <v>Maplink2</v>
      </c>
      <c r="AY369" s="88" t="str">
        <f>HYPERLINK("http://www.bing.com/maps/?lvl=14&amp;sty=h&amp;cp=33.395~44.5246&amp;sp=point.33.395_44.5246","Maplink3")</f>
        <v>Maplink3</v>
      </c>
      <c r="AZ369" s="76"/>
    </row>
    <row r="370" spans="1:52" x14ac:dyDescent="0.25">
      <c r="A370" s="86">
        <v>24477</v>
      </c>
      <c r="B370" s="87" t="s">
        <v>14</v>
      </c>
      <c r="C370" s="87" t="s">
        <v>686</v>
      </c>
      <c r="D370" s="87" t="s">
        <v>761</v>
      </c>
      <c r="E370" s="87" t="s">
        <v>762</v>
      </c>
      <c r="F370" s="87">
        <v>33.420052683199998</v>
      </c>
      <c r="G370" s="87">
        <v>44.529177515999997</v>
      </c>
      <c r="H370" s="86">
        <v>3</v>
      </c>
      <c r="I370" s="86">
        <v>18</v>
      </c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>
        <v>3</v>
      </c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>
        <v>3</v>
      </c>
      <c r="AI370" s="87"/>
      <c r="AJ370" s="87"/>
      <c r="AK370" s="87"/>
      <c r="AL370" s="87"/>
      <c r="AM370" s="87"/>
      <c r="AN370" s="87"/>
      <c r="AO370" s="87">
        <v>3</v>
      </c>
      <c r="AP370" s="87"/>
      <c r="AQ370" s="87"/>
      <c r="AR370" s="87"/>
      <c r="AS370" s="87"/>
      <c r="AT370" s="87"/>
      <c r="AU370" s="87"/>
      <c r="AV370" s="87"/>
      <c r="AW370" s="88" t="str">
        <f>HYPERLINK("http://www.openstreetmap.org/?mlat=33.4201&amp;mlon=44.5292&amp;zoom=12#map=12/33.4201/44.5292","Maplink1")</f>
        <v>Maplink1</v>
      </c>
      <c r="AX370" s="88" t="str">
        <f>HYPERLINK("https://www.google.iq/maps/search/+33.4201,44.5292/@33.4201,44.5292,14z?hl=en","Maplink2")</f>
        <v>Maplink2</v>
      </c>
      <c r="AY370" s="88" t="str">
        <f>HYPERLINK("http://www.bing.com/maps/?lvl=14&amp;sty=h&amp;cp=33.4201~44.5292&amp;sp=point.33.4201_44.5292","Maplink3")</f>
        <v>Maplink3</v>
      </c>
      <c r="AZ370" s="76"/>
    </row>
    <row r="371" spans="1:52" x14ac:dyDescent="0.25">
      <c r="A371" s="86">
        <v>24474</v>
      </c>
      <c r="B371" s="87" t="s">
        <v>14</v>
      </c>
      <c r="C371" s="87" t="s">
        <v>686</v>
      </c>
      <c r="D371" s="87" t="s">
        <v>763</v>
      </c>
      <c r="E371" s="87" t="s">
        <v>764</v>
      </c>
      <c r="F371" s="87">
        <v>33.383494032900003</v>
      </c>
      <c r="G371" s="87">
        <v>44.527324029200003</v>
      </c>
      <c r="H371" s="86">
        <v>4</v>
      </c>
      <c r="I371" s="86">
        <v>24</v>
      </c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>
        <v>4</v>
      </c>
      <c r="W371" s="87"/>
      <c r="X371" s="87"/>
      <c r="Y371" s="87"/>
      <c r="Z371" s="87"/>
      <c r="AA371" s="87"/>
      <c r="AB371" s="87"/>
      <c r="AC371" s="87">
        <v>4</v>
      </c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>
        <v>4</v>
      </c>
      <c r="AP371" s="87"/>
      <c r="AQ371" s="87"/>
      <c r="AR371" s="87"/>
      <c r="AS371" s="87"/>
      <c r="AT371" s="87"/>
      <c r="AU371" s="87"/>
      <c r="AV371" s="87"/>
      <c r="AW371" s="88" t="str">
        <f>HYPERLINK("http://www.openstreetmap.org/?mlat=33.3835&amp;mlon=44.5273&amp;zoom=12#map=12/33.3835/44.5273","Maplink1")</f>
        <v>Maplink1</v>
      </c>
      <c r="AX371" s="88" t="str">
        <f>HYPERLINK("https://www.google.iq/maps/search/+33.3835,44.5273/@33.3835,44.5273,14z?hl=en","Maplink2")</f>
        <v>Maplink2</v>
      </c>
      <c r="AY371" s="88" t="str">
        <f>HYPERLINK("http://www.bing.com/maps/?lvl=14&amp;sty=h&amp;cp=33.3835~44.5273&amp;sp=point.33.3835_44.5273","Maplink3")</f>
        <v>Maplink3</v>
      </c>
      <c r="AZ371" s="76"/>
    </row>
    <row r="372" spans="1:52" x14ac:dyDescent="0.25">
      <c r="A372" s="86">
        <v>21753</v>
      </c>
      <c r="B372" s="87" t="s">
        <v>14</v>
      </c>
      <c r="C372" s="87" t="s">
        <v>686</v>
      </c>
      <c r="D372" s="87" t="s">
        <v>765</v>
      </c>
      <c r="E372" s="87" t="s">
        <v>766</v>
      </c>
      <c r="F372" s="87">
        <v>33.447945928099998</v>
      </c>
      <c r="G372" s="87">
        <v>44.524067210600002</v>
      </c>
      <c r="H372" s="86">
        <v>3</v>
      </c>
      <c r="I372" s="86">
        <v>18</v>
      </c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>
        <v>3</v>
      </c>
      <c r="W372" s="87"/>
      <c r="X372" s="87"/>
      <c r="Y372" s="87"/>
      <c r="Z372" s="87"/>
      <c r="AA372" s="87"/>
      <c r="AB372" s="87"/>
      <c r="AC372" s="87">
        <v>1</v>
      </c>
      <c r="AD372" s="87"/>
      <c r="AE372" s="87"/>
      <c r="AF372" s="87"/>
      <c r="AG372" s="87"/>
      <c r="AH372" s="87">
        <v>2</v>
      </c>
      <c r="AI372" s="87"/>
      <c r="AJ372" s="87"/>
      <c r="AK372" s="87"/>
      <c r="AL372" s="87"/>
      <c r="AM372" s="87"/>
      <c r="AN372" s="87"/>
      <c r="AO372" s="87">
        <v>3</v>
      </c>
      <c r="AP372" s="87"/>
      <c r="AQ372" s="87"/>
      <c r="AR372" s="87"/>
      <c r="AS372" s="87"/>
      <c r="AT372" s="87"/>
      <c r="AU372" s="87"/>
      <c r="AV372" s="87"/>
      <c r="AW372" s="88" t="str">
        <f>HYPERLINK("http://www.openstreetmap.org/?mlat=33.4479&amp;mlon=44.5241&amp;zoom=12#map=12/33.4479/44.5241","Maplink1")</f>
        <v>Maplink1</v>
      </c>
      <c r="AX372" s="88" t="str">
        <f>HYPERLINK("https://www.google.iq/maps/search/+33.4479,44.5241/@33.4479,44.5241,14z?hl=en","Maplink2")</f>
        <v>Maplink2</v>
      </c>
      <c r="AY372" s="88" t="str">
        <f>HYPERLINK("http://www.bing.com/maps/?lvl=14&amp;sty=h&amp;cp=33.4479~44.5241&amp;sp=point.33.4479_44.5241","Maplink3")</f>
        <v>Maplink3</v>
      </c>
      <c r="AZ372" s="76"/>
    </row>
    <row r="373" spans="1:52" x14ac:dyDescent="0.25">
      <c r="A373" s="86">
        <v>23757</v>
      </c>
      <c r="B373" s="87" t="s">
        <v>14</v>
      </c>
      <c r="C373" s="87" t="s">
        <v>686</v>
      </c>
      <c r="D373" s="87" t="s">
        <v>767</v>
      </c>
      <c r="E373" s="87" t="s">
        <v>768</v>
      </c>
      <c r="F373" s="87">
        <v>33.323995747200001</v>
      </c>
      <c r="G373" s="87">
        <v>44.488987118499999</v>
      </c>
      <c r="H373" s="86">
        <v>10</v>
      </c>
      <c r="I373" s="86">
        <v>60</v>
      </c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>
        <v>10</v>
      </c>
      <c r="W373" s="87"/>
      <c r="X373" s="87"/>
      <c r="Y373" s="87"/>
      <c r="Z373" s="87"/>
      <c r="AA373" s="87"/>
      <c r="AB373" s="87"/>
      <c r="AC373" s="87">
        <v>3</v>
      </c>
      <c r="AD373" s="87"/>
      <c r="AE373" s="87"/>
      <c r="AF373" s="87"/>
      <c r="AG373" s="87"/>
      <c r="AH373" s="87">
        <v>7</v>
      </c>
      <c r="AI373" s="87"/>
      <c r="AJ373" s="87"/>
      <c r="AK373" s="87"/>
      <c r="AL373" s="87"/>
      <c r="AM373" s="87"/>
      <c r="AN373" s="87"/>
      <c r="AO373" s="87">
        <v>6</v>
      </c>
      <c r="AP373" s="87"/>
      <c r="AQ373" s="87">
        <v>4</v>
      </c>
      <c r="AR373" s="87"/>
      <c r="AS373" s="87"/>
      <c r="AT373" s="87"/>
      <c r="AU373" s="87"/>
      <c r="AV373" s="87"/>
      <c r="AW373" s="88" t="str">
        <f>HYPERLINK("http://www.openstreetmap.org/?mlat=33.324&amp;mlon=44.489&amp;zoom=12#map=12/33.324/44.489","Maplink1")</f>
        <v>Maplink1</v>
      </c>
      <c r="AX373" s="88" t="str">
        <f>HYPERLINK("https://www.google.iq/maps/search/+33.324,44.489/@33.324,44.489,14z?hl=en","Maplink2")</f>
        <v>Maplink2</v>
      </c>
      <c r="AY373" s="88" t="str">
        <f>HYPERLINK("http://www.bing.com/maps/?lvl=14&amp;sty=h&amp;cp=33.324~44.489&amp;sp=point.33.324_44.489","Maplink3")</f>
        <v>Maplink3</v>
      </c>
      <c r="AZ373" s="76"/>
    </row>
    <row r="374" spans="1:52" x14ac:dyDescent="0.25">
      <c r="A374" s="86">
        <v>25401</v>
      </c>
      <c r="B374" s="87" t="s">
        <v>14</v>
      </c>
      <c r="C374" s="87" t="s">
        <v>686</v>
      </c>
      <c r="D374" s="87" t="s">
        <v>769</v>
      </c>
      <c r="E374" s="87" t="s">
        <v>770</v>
      </c>
      <c r="F374" s="87">
        <v>33.318027736700003</v>
      </c>
      <c r="G374" s="87">
        <v>44.493946113299998</v>
      </c>
      <c r="H374" s="86">
        <v>9</v>
      </c>
      <c r="I374" s="86">
        <v>54</v>
      </c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>
        <v>8</v>
      </c>
      <c r="W374" s="87"/>
      <c r="X374" s="87">
        <v>1</v>
      </c>
      <c r="Y374" s="87"/>
      <c r="Z374" s="87"/>
      <c r="AA374" s="87"/>
      <c r="AB374" s="87"/>
      <c r="AC374" s="87">
        <v>5</v>
      </c>
      <c r="AD374" s="87"/>
      <c r="AE374" s="87"/>
      <c r="AF374" s="87"/>
      <c r="AG374" s="87"/>
      <c r="AH374" s="87">
        <v>4</v>
      </c>
      <c r="AI374" s="87"/>
      <c r="AJ374" s="87"/>
      <c r="AK374" s="87"/>
      <c r="AL374" s="87"/>
      <c r="AM374" s="87"/>
      <c r="AN374" s="87">
        <v>1</v>
      </c>
      <c r="AO374" s="87">
        <v>2</v>
      </c>
      <c r="AP374" s="87">
        <v>4</v>
      </c>
      <c r="AQ374" s="87">
        <v>2</v>
      </c>
      <c r="AR374" s="87"/>
      <c r="AS374" s="87"/>
      <c r="AT374" s="87"/>
      <c r="AU374" s="87"/>
      <c r="AV374" s="87"/>
      <c r="AW374" s="88" t="str">
        <f>HYPERLINK("http://www.openstreetmap.org/?mlat=33.318&amp;mlon=44.4939&amp;zoom=12#map=12/33.318/44.4939","Maplink1")</f>
        <v>Maplink1</v>
      </c>
      <c r="AX374" s="88" t="str">
        <f>HYPERLINK("https://www.google.iq/maps/search/+33.318,44.4939/@33.318,44.4939,14z?hl=en","Maplink2")</f>
        <v>Maplink2</v>
      </c>
      <c r="AY374" s="88" t="str">
        <f>HYPERLINK("http://www.bing.com/maps/?lvl=14&amp;sty=h&amp;cp=33.318~44.4939&amp;sp=point.33.318_44.4939","Maplink3")</f>
        <v>Maplink3</v>
      </c>
      <c r="AZ374" s="76"/>
    </row>
    <row r="375" spans="1:52" x14ac:dyDescent="0.25">
      <c r="A375" s="86">
        <v>24023</v>
      </c>
      <c r="B375" s="87" t="s">
        <v>14</v>
      </c>
      <c r="C375" s="87" t="s">
        <v>686</v>
      </c>
      <c r="D375" s="87" t="s">
        <v>771</v>
      </c>
      <c r="E375" s="87" t="s">
        <v>772</v>
      </c>
      <c r="F375" s="87">
        <v>33.316329958399997</v>
      </c>
      <c r="G375" s="87">
        <v>44.501154595800003</v>
      </c>
      <c r="H375" s="86">
        <v>9</v>
      </c>
      <c r="I375" s="86">
        <v>54</v>
      </c>
      <c r="J375" s="87">
        <v>1</v>
      </c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>
        <v>8</v>
      </c>
      <c r="W375" s="87"/>
      <c r="X375" s="87"/>
      <c r="Y375" s="87"/>
      <c r="Z375" s="87"/>
      <c r="AA375" s="87"/>
      <c r="AB375" s="87"/>
      <c r="AC375" s="87">
        <v>5</v>
      </c>
      <c r="AD375" s="87"/>
      <c r="AE375" s="87"/>
      <c r="AF375" s="87"/>
      <c r="AG375" s="87"/>
      <c r="AH375" s="87">
        <v>4</v>
      </c>
      <c r="AI375" s="87"/>
      <c r="AJ375" s="87"/>
      <c r="AK375" s="87"/>
      <c r="AL375" s="87"/>
      <c r="AM375" s="87"/>
      <c r="AN375" s="87"/>
      <c r="AO375" s="87"/>
      <c r="AP375" s="87">
        <v>9</v>
      </c>
      <c r="AQ375" s="87"/>
      <c r="AR375" s="87"/>
      <c r="AS375" s="87"/>
      <c r="AT375" s="87"/>
      <c r="AU375" s="87"/>
      <c r="AV375" s="87"/>
      <c r="AW375" s="88" t="str">
        <f>HYPERLINK("http://www.openstreetmap.org/?mlat=33.3163&amp;mlon=44.5012&amp;zoom=12#map=12/33.3163/44.5012","Maplink1")</f>
        <v>Maplink1</v>
      </c>
      <c r="AX375" s="88" t="str">
        <f>HYPERLINK("https://www.google.iq/maps/search/+33.3163,44.5012/@33.3163,44.5012,14z?hl=en","Maplink2")</f>
        <v>Maplink2</v>
      </c>
      <c r="AY375" s="88" t="str">
        <f>HYPERLINK("http://www.bing.com/maps/?lvl=14&amp;sty=h&amp;cp=33.3163~44.5012&amp;sp=point.33.3163_44.5012","Maplink3")</f>
        <v>Maplink3</v>
      </c>
      <c r="AZ375" s="76"/>
    </row>
    <row r="376" spans="1:52" x14ac:dyDescent="0.25">
      <c r="A376" s="86">
        <v>23210</v>
      </c>
      <c r="B376" s="87" t="s">
        <v>14</v>
      </c>
      <c r="C376" s="87" t="s">
        <v>686</v>
      </c>
      <c r="D376" s="87" t="s">
        <v>773</v>
      </c>
      <c r="E376" s="87" t="s">
        <v>774</v>
      </c>
      <c r="F376" s="87">
        <v>33.316898575300002</v>
      </c>
      <c r="G376" s="87">
        <v>44.508871800400001</v>
      </c>
      <c r="H376" s="86">
        <v>8</v>
      </c>
      <c r="I376" s="86">
        <v>48</v>
      </c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>
        <v>8</v>
      </c>
      <c r="W376" s="87"/>
      <c r="X376" s="87"/>
      <c r="Y376" s="87"/>
      <c r="Z376" s="87"/>
      <c r="AA376" s="87"/>
      <c r="AB376" s="87"/>
      <c r="AC376" s="87">
        <v>4</v>
      </c>
      <c r="AD376" s="87"/>
      <c r="AE376" s="87"/>
      <c r="AF376" s="87"/>
      <c r="AG376" s="87"/>
      <c r="AH376" s="87">
        <v>4</v>
      </c>
      <c r="AI376" s="87"/>
      <c r="AJ376" s="87"/>
      <c r="AK376" s="87"/>
      <c r="AL376" s="87"/>
      <c r="AM376" s="87"/>
      <c r="AN376" s="87"/>
      <c r="AO376" s="87">
        <v>8</v>
      </c>
      <c r="AP376" s="87"/>
      <c r="AQ376" s="87"/>
      <c r="AR376" s="87"/>
      <c r="AS376" s="87"/>
      <c r="AT376" s="87"/>
      <c r="AU376" s="87"/>
      <c r="AV376" s="87"/>
      <c r="AW376" s="88" t="str">
        <f>HYPERLINK("http://www.openstreetmap.org/?mlat=33.3169&amp;mlon=44.5089&amp;zoom=12#map=12/33.3169/44.5089","Maplink1")</f>
        <v>Maplink1</v>
      </c>
      <c r="AX376" s="88" t="str">
        <f>HYPERLINK("https://www.google.iq/maps/search/+33.3169,44.5089/@33.3169,44.5089,14z?hl=en","Maplink2")</f>
        <v>Maplink2</v>
      </c>
      <c r="AY376" s="88" t="str">
        <f>HYPERLINK("http://www.bing.com/maps/?lvl=14&amp;sty=h&amp;cp=33.3169~44.5089&amp;sp=point.33.3169_44.5089","Maplink3")</f>
        <v>Maplink3</v>
      </c>
      <c r="AZ376" s="76"/>
    </row>
    <row r="377" spans="1:52" x14ac:dyDescent="0.25">
      <c r="A377" s="86">
        <v>23323</v>
      </c>
      <c r="B377" s="87" t="s">
        <v>14</v>
      </c>
      <c r="C377" s="87" t="s">
        <v>686</v>
      </c>
      <c r="D377" s="87" t="s">
        <v>775</v>
      </c>
      <c r="E377" s="87" t="s">
        <v>776</v>
      </c>
      <c r="F377" s="87">
        <v>33.322427211899999</v>
      </c>
      <c r="G377" s="87">
        <v>44.516179921800003</v>
      </c>
      <c r="H377" s="86">
        <v>7</v>
      </c>
      <c r="I377" s="86">
        <v>42</v>
      </c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>
        <v>7</v>
      </c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>
        <v>7</v>
      </c>
      <c r="AI377" s="87"/>
      <c r="AJ377" s="87"/>
      <c r="AK377" s="87"/>
      <c r="AL377" s="87"/>
      <c r="AM377" s="87"/>
      <c r="AN377" s="87"/>
      <c r="AO377" s="87">
        <v>7</v>
      </c>
      <c r="AP377" s="87"/>
      <c r="AQ377" s="87"/>
      <c r="AR377" s="87"/>
      <c r="AS377" s="87"/>
      <c r="AT377" s="87"/>
      <c r="AU377" s="87"/>
      <c r="AV377" s="87"/>
      <c r="AW377" s="88" t="str">
        <f>HYPERLINK("http://www.openstreetmap.org/?mlat=33.3224&amp;mlon=44.5162&amp;zoom=12#map=12/33.3224/44.5162","Maplink1")</f>
        <v>Maplink1</v>
      </c>
      <c r="AX377" s="88" t="str">
        <f>HYPERLINK("https://www.google.iq/maps/search/+33.3224,44.5162/@33.3224,44.5162,14z?hl=en","Maplink2")</f>
        <v>Maplink2</v>
      </c>
      <c r="AY377" s="88" t="str">
        <f>HYPERLINK("http://www.bing.com/maps/?lvl=14&amp;sty=h&amp;cp=33.3224~44.5162&amp;sp=point.33.3224_44.5162","Maplink3")</f>
        <v>Maplink3</v>
      </c>
      <c r="AZ377" s="76"/>
    </row>
    <row r="378" spans="1:52" x14ac:dyDescent="0.25">
      <c r="A378" s="86">
        <v>23752</v>
      </c>
      <c r="B378" s="87" t="s">
        <v>14</v>
      </c>
      <c r="C378" s="87" t="s">
        <v>686</v>
      </c>
      <c r="D378" s="87" t="s">
        <v>777</v>
      </c>
      <c r="E378" s="87" t="s">
        <v>778</v>
      </c>
      <c r="F378" s="87">
        <v>33.318086792400003</v>
      </c>
      <c r="G378" s="87">
        <v>44.463886143300002</v>
      </c>
      <c r="H378" s="86">
        <v>6</v>
      </c>
      <c r="I378" s="86">
        <v>36</v>
      </c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>
        <v>6</v>
      </c>
      <c r="W378" s="87"/>
      <c r="X378" s="87"/>
      <c r="Y378" s="87"/>
      <c r="Z378" s="87"/>
      <c r="AA378" s="87"/>
      <c r="AB378" s="87"/>
      <c r="AC378" s="87">
        <v>3</v>
      </c>
      <c r="AD378" s="87"/>
      <c r="AE378" s="87"/>
      <c r="AF378" s="87"/>
      <c r="AG378" s="87"/>
      <c r="AH378" s="87">
        <v>3</v>
      </c>
      <c r="AI378" s="87"/>
      <c r="AJ378" s="87"/>
      <c r="AK378" s="87"/>
      <c r="AL378" s="87"/>
      <c r="AM378" s="87"/>
      <c r="AN378" s="87"/>
      <c r="AO378" s="87"/>
      <c r="AP378" s="87">
        <v>2</v>
      </c>
      <c r="AQ378" s="87"/>
      <c r="AR378" s="87"/>
      <c r="AS378" s="87">
        <v>4</v>
      </c>
      <c r="AT378" s="87"/>
      <c r="AU378" s="87"/>
      <c r="AV378" s="87"/>
      <c r="AW378" s="88" t="str">
        <f>HYPERLINK("http://www.openstreetmap.org/?mlat=33.3181&amp;mlon=44.4639&amp;zoom=12#map=12/33.3181/44.4639","Maplink1")</f>
        <v>Maplink1</v>
      </c>
      <c r="AX378" s="88" t="str">
        <f>HYPERLINK("https://www.google.iq/maps/search/+33.3181,44.4639/@33.3181,44.4639,14z?hl=en","Maplink2")</f>
        <v>Maplink2</v>
      </c>
      <c r="AY378" s="88" t="str">
        <f>HYPERLINK("http://www.bing.com/maps/?lvl=14&amp;sty=h&amp;cp=33.3181~44.4639&amp;sp=point.33.3181_44.4639","Maplink3")</f>
        <v>Maplink3</v>
      </c>
      <c r="AZ378" s="76"/>
    </row>
    <row r="379" spans="1:52" x14ac:dyDescent="0.25">
      <c r="A379" s="86">
        <v>24471</v>
      </c>
      <c r="B379" s="87" t="s">
        <v>14</v>
      </c>
      <c r="C379" s="87" t="s">
        <v>686</v>
      </c>
      <c r="D379" s="87" t="s">
        <v>779</v>
      </c>
      <c r="E379" s="87" t="s">
        <v>780</v>
      </c>
      <c r="F379" s="87">
        <v>33.320357221400002</v>
      </c>
      <c r="G379" s="87">
        <v>44.448464210099999</v>
      </c>
      <c r="H379" s="86">
        <v>8</v>
      </c>
      <c r="I379" s="86">
        <v>48</v>
      </c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>
        <v>8</v>
      </c>
      <c r="W379" s="87"/>
      <c r="X379" s="87"/>
      <c r="Y379" s="87"/>
      <c r="Z379" s="87"/>
      <c r="AA379" s="87"/>
      <c r="AB379" s="87"/>
      <c r="AC379" s="87">
        <v>3</v>
      </c>
      <c r="AD379" s="87"/>
      <c r="AE379" s="87"/>
      <c r="AF379" s="87"/>
      <c r="AG379" s="87"/>
      <c r="AH379" s="87">
        <v>5</v>
      </c>
      <c r="AI379" s="87"/>
      <c r="AJ379" s="87"/>
      <c r="AK379" s="87"/>
      <c r="AL379" s="87"/>
      <c r="AM379" s="87"/>
      <c r="AN379" s="87"/>
      <c r="AO379" s="87"/>
      <c r="AP379" s="87">
        <v>3</v>
      </c>
      <c r="AQ379" s="87"/>
      <c r="AR379" s="87"/>
      <c r="AS379" s="87">
        <v>5</v>
      </c>
      <c r="AT379" s="87"/>
      <c r="AU379" s="87"/>
      <c r="AV379" s="87"/>
      <c r="AW379" s="88" t="str">
        <f>HYPERLINK("http://www.openstreetmap.org/?mlat=33.3204&amp;mlon=44.4485&amp;zoom=12#map=12/33.3204/44.4485","Maplink1")</f>
        <v>Maplink1</v>
      </c>
      <c r="AX379" s="88" t="str">
        <f>HYPERLINK("https://www.google.iq/maps/search/+33.3204,44.4485/@33.3204,44.4485,14z?hl=en","Maplink2")</f>
        <v>Maplink2</v>
      </c>
      <c r="AY379" s="88" t="str">
        <f>HYPERLINK("http://www.bing.com/maps/?lvl=14&amp;sty=h&amp;cp=33.3204~44.4485&amp;sp=point.33.3204_44.4485","Maplink3")</f>
        <v>Maplink3</v>
      </c>
      <c r="AZ379" s="76"/>
    </row>
    <row r="380" spans="1:52" x14ac:dyDescent="0.25">
      <c r="A380" s="86">
        <v>24129</v>
      </c>
      <c r="B380" s="87" t="s">
        <v>14</v>
      </c>
      <c r="C380" s="87" t="s">
        <v>686</v>
      </c>
      <c r="D380" s="87" t="s">
        <v>781</v>
      </c>
      <c r="E380" s="87" t="s">
        <v>782</v>
      </c>
      <c r="F380" s="87">
        <v>33.321189539099997</v>
      </c>
      <c r="G380" s="87">
        <v>44.444459689200002</v>
      </c>
      <c r="H380" s="86">
        <v>8</v>
      </c>
      <c r="I380" s="86">
        <v>48</v>
      </c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>
        <v>8</v>
      </c>
      <c r="W380" s="87"/>
      <c r="X380" s="87"/>
      <c r="Y380" s="87"/>
      <c r="Z380" s="87"/>
      <c r="AA380" s="87"/>
      <c r="AB380" s="87"/>
      <c r="AC380" s="87">
        <v>2</v>
      </c>
      <c r="AD380" s="87"/>
      <c r="AE380" s="87"/>
      <c r="AF380" s="87"/>
      <c r="AG380" s="87"/>
      <c r="AH380" s="87">
        <v>6</v>
      </c>
      <c r="AI380" s="87"/>
      <c r="AJ380" s="87"/>
      <c r="AK380" s="87"/>
      <c r="AL380" s="87"/>
      <c r="AM380" s="87"/>
      <c r="AN380" s="87"/>
      <c r="AO380" s="87"/>
      <c r="AP380" s="87"/>
      <c r="AQ380" s="87">
        <v>4</v>
      </c>
      <c r="AR380" s="87">
        <v>4</v>
      </c>
      <c r="AS380" s="87"/>
      <c r="AT380" s="87"/>
      <c r="AU380" s="87"/>
      <c r="AV380" s="87"/>
      <c r="AW380" s="88" t="str">
        <f>HYPERLINK("http://www.openstreetmap.org/?mlat=33.3212&amp;mlon=44.4445&amp;zoom=12#map=12/33.3212/44.4445","Maplink1")</f>
        <v>Maplink1</v>
      </c>
      <c r="AX380" s="88" t="str">
        <f>HYPERLINK("https://www.google.iq/maps/search/+33.3212,44.4445/@33.3212,44.4445,14z?hl=en","Maplink2")</f>
        <v>Maplink2</v>
      </c>
      <c r="AY380" s="88" t="str">
        <f>HYPERLINK("http://www.bing.com/maps/?lvl=14&amp;sty=h&amp;cp=33.3212~44.4445&amp;sp=point.33.3212_44.4445","Maplink3")</f>
        <v>Maplink3</v>
      </c>
      <c r="AZ380" s="76"/>
    </row>
    <row r="381" spans="1:52" x14ac:dyDescent="0.25">
      <c r="A381" s="86">
        <v>23980</v>
      </c>
      <c r="B381" s="87" t="s">
        <v>14</v>
      </c>
      <c r="C381" s="87" t="s">
        <v>686</v>
      </c>
      <c r="D381" s="87" t="s">
        <v>783</v>
      </c>
      <c r="E381" s="87" t="s">
        <v>784</v>
      </c>
      <c r="F381" s="87">
        <v>33.320057706999997</v>
      </c>
      <c r="G381" s="87">
        <v>44.453900963999999</v>
      </c>
      <c r="H381" s="86">
        <v>5</v>
      </c>
      <c r="I381" s="86">
        <v>30</v>
      </c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>
        <v>5</v>
      </c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>
        <v>5</v>
      </c>
      <c r="AI381" s="87"/>
      <c r="AJ381" s="87"/>
      <c r="AK381" s="87"/>
      <c r="AL381" s="87"/>
      <c r="AM381" s="87"/>
      <c r="AN381" s="87"/>
      <c r="AO381" s="87"/>
      <c r="AP381" s="87">
        <v>4</v>
      </c>
      <c r="AQ381" s="87">
        <v>1</v>
      </c>
      <c r="AR381" s="87"/>
      <c r="AS381" s="87"/>
      <c r="AT381" s="87"/>
      <c r="AU381" s="87"/>
      <c r="AV381" s="87"/>
      <c r="AW381" s="88" t="str">
        <f>HYPERLINK("http://www.openstreetmap.org/?mlat=33.3201&amp;mlon=44.4539&amp;zoom=12#map=12/33.3201/44.4539","Maplink1")</f>
        <v>Maplink1</v>
      </c>
      <c r="AX381" s="88" t="str">
        <f>HYPERLINK("https://www.google.iq/maps/search/+33.3201,44.4539/@33.3201,44.4539,14z?hl=en","Maplink2")</f>
        <v>Maplink2</v>
      </c>
      <c r="AY381" s="88" t="str">
        <f>HYPERLINK("http://www.bing.com/maps/?lvl=14&amp;sty=h&amp;cp=33.3201~44.4539&amp;sp=point.33.3201_44.4539","Maplink3")</f>
        <v>Maplink3</v>
      </c>
      <c r="AZ381" s="76"/>
    </row>
    <row r="382" spans="1:52" x14ac:dyDescent="0.25">
      <c r="A382" s="86">
        <v>24470</v>
      </c>
      <c r="B382" s="87" t="s">
        <v>14</v>
      </c>
      <c r="C382" s="87" t="s">
        <v>686</v>
      </c>
      <c r="D382" s="87" t="s">
        <v>785</v>
      </c>
      <c r="E382" s="87" t="s">
        <v>786</v>
      </c>
      <c r="F382" s="87">
        <v>33.323890501400001</v>
      </c>
      <c r="G382" s="87">
        <v>44.457397500299997</v>
      </c>
      <c r="H382" s="86">
        <v>5</v>
      </c>
      <c r="I382" s="86">
        <v>30</v>
      </c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>
        <v>5</v>
      </c>
      <c r="W382" s="87"/>
      <c r="X382" s="87"/>
      <c r="Y382" s="87"/>
      <c r="Z382" s="87"/>
      <c r="AA382" s="87"/>
      <c r="AB382" s="87"/>
      <c r="AC382" s="87">
        <v>2</v>
      </c>
      <c r="AD382" s="87"/>
      <c r="AE382" s="87"/>
      <c r="AF382" s="87"/>
      <c r="AG382" s="87"/>
      <c r="AH382" s="87">
        <v>3</v>
      </c>
      <c r="AI382" s="87"/>
      <c r="AJ382" s="87"/>
      <c r="AK382" s="87"/>
      <c r="AL382" s="87"/>
      <c r="AM382" s="87"/>
      <c r="AN382" s="87"/>
      <c r="AO382" s="87"/>
      <c r="AP382" s="87">
        <v>5</v>
      </c>
      <c r="AQ382" s="87"/>
      <c r="AR382" s="87"/>
      <c r="AS382" s="87"/>
      <c r="AT382" s="87"/>
      <c r="AU382" s="87"/>
      <c r="AV382" s="87"/>
      <c r="AW382" s="88" t="str">
        <f>HYPERLINK("http://www.openstreetmap.org/?mlat=33.3239&amp;mlon=44.4574&amp;zoom=12#map=12/33.3239/44.4574","Maplink1")</f>
        <v>Maplink1</v>
      </c>
      <c r="AX382" s="88" t="str">
        <f>HYPERLINK("https://www.google.iq/maps/search/+33.3239,44.4574/@33.3239,44.4574,14z?hl=en","Maplink2")</f>
        <v>Maplink2</v>
      </c>
      <c r="AY382" s="88" t="str">
        <f>HYPERLINK("http://www.bing.com/maps/?lvl=14&amp;sty=h&amp;cp=33.3239~44.4574&amp;sp=point.33.3239_44.4574","Maplink3")</f>
        <v>Maplink3</v>
      </c>
      <c r="AZ382" s="76"/>
    </row>
    <row r="383" spans="1:52" x14ac:dyDescent="0.25">
      <c r="A383" s="86">
        <v>23330</v>
      </c>
      <c r="B383" s="87" t="s">
        <v>14</v>
      </c>
      <c r="C383" s="87" t="s">
        <v>686</v>
      </c>
      <c r="D383" s="87" t="s">
        <v>787</v>
      </c>
      <c r="E383" s="87" t="s">
        <v>788</v>
      </c>
      <c r="F383" s="87">
        <v>33.327747802499999</v>
      </c>
      <c r="G383" s="87">
        <v>44.429534583799999</v>
      </c>
      <c r="H383" s="86">
        <v>5</v>
      </c>
      <c r="I383" s="86">
        <v>30</v>
      </c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>
        <v>5</v>
      </c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>
        <v>5</v>
      </c>
      <c r="AI383" s="87"/>
      <c r="AJ383" s="87"/>
      <c r="AK383" s="87"/>
      <c r="AL383" s="87"/>
      <c r="AM383" s="87"/>
      <c r="AN383" s="87"/>
      <c r="AO383" s="87"/>
      <c r="AP383" s="87"/>
      <c r="AQ383" s="87">
        <v>5</v>
      </c>
      <c r="AR383" s="87"/>
      <c r="AS383" s="87"/>
      <c r="AT383" s="87"/>
      <c r="AU383" s="87"/>
      <c r="AV383" s="87"/>
      <c r="AW383" s="88" t="str">
        <f>HYPERLINK("http://www.openstreetmap.org/?mlat=33.3277&amp;mlon=44.4295&amp;zoom=12#map=12/33.3277/44.4295","Maplink1")</f>
        <v>Maplink1</v>
      </c>
      <c r="AX383" s="88" t="str">
        <f>HYPERLINK("https://www.google.iq/maps/search/+33.3277,44.4295/@33.3277,44.4295,14z?hl=en","Maplink2")</f>
        <v>Maplink2</v>
      </c>
      <c r="AY383" s="88" t="str">
        <f>HYPERLINK("http://www.bing.com/maps/?lvl=14&amp;sty=h&amp;cp=33.3277~44.4295&amp;sp=point.33.3277_44.4295","Maplink3")</f>
        <v>Maplink3</v>
      </c>
      <c r="AZ383" s="76"/>
    </row>
    <row r="384" spans="1:52" x14ac:dyDescent="0.25">
      <c r="A384" s="86">
        <v>24749</v>
      </c>
      <c r="B384" s="87" t="s">
        <v>14</v>
      </c>
      <c r="C384" s="87" t="s">
        <v>686</v>
      </c>
      <c r="D384" s="87" t="s">
        <v>789</v>
      </c>
      <c r="E384" s="87" t="s">
        <v>790</v>
      </c>
      <c r="F384" s="87">
        <v>33.348646336900003</v>
      </c>
      <c r="G384" s="87">
        <v>44.427449611599997</v>
      </c>
      <c r="H384" s="86">
        <v>4</v>
      </c>
      <c r="I384" s="86">
        <v>24</v>
      </c>
      <c r="J384" s="87">
        <v>2</v>
      </c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>
        <v>2</v>
      </c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>
        <v>4</v>
      </c>
      <c r="AI384" s="87"/>
      <c r="AJ384" s="87"/>
      <c r="AK384" s="87"/>
      <c r="AL384" s="87"/>
      <c r="AM384" s="87"/>
      <c r="AN384" s="87"/>
      <c r="AO384" s="87"/>
      <c r="AP384" s="87">
        <v>1</v>
      </c>
      <c r="AQ384" s="87">
        <v>2</v>
      </c>
      <c r="AR384" s="87"/>
      <c r="AS384" s="87"/>
      <c r="AT384" s="87">
        <v>1</v>
      </c>
      <c r="AU384" s="87"/>
      <c r="AV384" s="87"/>
      <c r="AW384" s="88" t="str">
        <f>HYPERLINK("http://www.openstreetmap.org/?mlat=33.3486&amp;mlon=44.4274&amp;zoom=12#map=12/33.3486/44.4274","Maplink1")</f>
        <v>Maplink1</v>
      </c>
      <c r="AX384" s="88" t="str">
        <f>HYPERLINK("https://www.google.iq/maps/search/+33.3486,44.4274/@33.3486,44.4274,14z?hl=en","Maplink2")</f>
        <v>Maplink2</v>
      </c>
      <c r="AY384" s="88" t="str">
        <f>HYPERLINK("http://www.bing.com/maps/?lvl=14&amp;sty=h&amp;cp=33.3486~44.4274&amp;sp=point.33.3486_44.4274","Maplink3")</f>
        <v>Maplink3</v>
      </c>
      <c r="AZ384" s="76"/>
    </row>
    <row r="385" spans="1:52" x14ac:dyDescent="0.25">
      <c r="A385" s="86">
        <v>24946</v>
      </c>
      <c r="B385" s="87" t="s">
        <v>14</v>
      </c>
      <c r="C385" s="87" t="s">
        <v>686</v>
      </c>
      <c r="D385" s="87" t="s">
        <v>791</v>
      </c>
      <c r="E385" s="87" t="s">
        <v>792</v>
      </c>
      <c r="F385" s="87">
        <v>33.337015085300003</v>
      </c>
      <c r="G385" s="87">
        <v>44.395183740699999</v>
      </c>
      <c r="H385" s="86">
        <v>4</v>
      </c>
      <c r="I385" s="86">
        <v>24</v>
      </c>
      <c r="J385" s="87"/>
      <c r="K385" s="87"/>
      <c r="L385" s="87"/>
      <c r="M385" s="87"/>
      <c r="N385" s="87"/>
      <c r="O385" s="87">
        <v>2</v>
      </c>
      <c r="P385" s="87"/>
      <c r="Q385" s="87"/>
      <c r="R385" s="87"/>
      <c r="S385" s="87"/>
      <c r="T385" s="87"/>
      <c r="U385" s="87"/>
      <c r="V385" s="87"/>
      <c r="W385" s="87"/>
      <c r="X385" s="87">
        <v>2</v>
      </c>
      <c r="Y385" s="87"/>
      <c r="Z385" s="87"/>
      <c r="AA385" s="87"/>
      <c r="AB385" s="87"/>
      <c r="AC385" s="87"/>
      <c r="AD385" s="87"/>
      <c r="AE385" s="87"/>
      <c r="AF385" s="87"/>
      <c r="AG385" s="87"/>
      <c r="AH385" s="87">
        <v>4</v>
      </c>
      <c r="AI385" s="87"/>
      <c r="AJ385" s="87"/>
      <c r="AK385" s="87"/>
      <c r="AL385" s="87"/>
      <c r="AM385" s="87"/>
      <c r="AN385" s="87"/>
      <c r="AO385" s="87">
        <v>2</v>
      </c>
      <c r="AP385" s="87"/>
      <c r="AQ385" s="87">
        <v>2</v>
      </c>
      <c r="AR385" s="87"/>
      <c r="AS385" s="87"/>
      <c r="AT385" s="87"/>
      <c r="AU385" s="87"/>
      <c r="AV385" s="87"/>
      <c r="AW385" s="88" t="str">
        <f>HYPERLINK("http://www.openstreetmap.org/?mlat=33.337&amp;mlon=44.3952&amp;zoom=12#map=12/33.337/44.3952","Maplink1")</f>
        <v>Maplink1</v>
      </c>
      <c r="AX385" s="88" t="str">
        <f>HYPERLINK("https://www.google.iq/maps/search/+33.337,44.3952/@33.337,44.3952,14z?hl=en","Maplink2")</f>
        <v>Maplink2</v>
      </c>
      <c r="AY385" s="88" t="str">
        <f>HYPERLINK("http://www.bing.com/maps/?lvl=14&amp;sty=h&amp;cp=33.337~44.3952&amp;sp=point.33.337_44.3952","Maplink3")</f>
        <v>Maplink3</v>
      </c>
      <c r="AZ385" s="76"/>
    </row>
    <row r="386" spans="1:52" x14ac:dyDescent="0.25">
      <c r="A386" s="86">
        <v>24947</v>
      </c>
      <c r="B386" s="87" t="s">
        <v>14</v>
      </c>
      <c r="C386" s="87" t="s">
        <v>686</v>
      </c>
      <c r="D386" s="87" t="s">
        <v>793</v>
      </c>
      <c r="E386" s="87" t="s">
        <v>794</v>
      </c>
      <c r="F386" s="87">
        <v>33.342361560100002</v>
      </c>
      <c r="G386" s="87">
        <v>44.3854675109</v>
      </c>
      <c r="H386" s="86">
        <v>5</v>
      </c>
      <c r="I386" s="86">
        <v>30</v>
      </c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>
        <v>5</v>
      </c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>
        <v>5</v>
      </c>
      <c r="AI386" s="87"/>
      <c r="AJ386" s="87"/>
      <c r="AK386" s="87"/>
      <c r="AL386" s="87"/>
      <c r="AM386" s="87"/>
      <c r="AN386" s="87">
        <v>2</v>
      </c>
      <c r="AO386" s="87">
        <v>3</v>
      </c>
      <c r="AP386" s="87"/>
      <c r="AQ386" s="87"/>
      <c r="AR386" s="87"/>
      <c r="AS386" s="87"/>
      <c r="AT386" s="87"/>
      <c r="AU386" s="87"/>
      <c r="AV386" s="87"/>
      <c r="AW386" s="88" t="str">
        <f>HYPERLINK("http://www.openstreetmap.org/?mlat=33.3424&amp;mlon=44.3855&amp;zoom=12#map=12/33.3424/44.3855","Maplink1")</f>
        <v>Maplink1</v>
      </c>
      <c r="AX386" s="88" t="str">
        <f>HYPERLINK("https://www.google.iq/maps/search/+33.3424,44.3855/@33.3424,44.3855,14z?hl=en","Maplink2")</f>
        <v>Maplink2</v>
      </c>
      <c r="AY386" s="88" t="str">
        <f>HYPERLINK("http://www.bing.com/maps/?lvl=14&amp;sty=h&amp;cp=33.3424~44.3855&amp;sp=point.33.3424_44.3855","Maplink3")</f>
        <v>Maplink3</v>
      </c>
      <c r="AZ386" s="76"/>
    </row>
    <row r="387" spans="1:52" x14ac:dyDescent="0.25">
      <c r="A387" s="86">
        <v>23988</v>
      </c>
      <c r="B387" s="87" t="s">
        <v>14</v>
      </c>
      <c r="C387" s="87" t="s">
        <v>686</v>
      </c>
      <c r="D387" s="87" t="s">
        <v>795</v>
      </c>
      <c r="E387" s="87" t="s">
        <v>796</v>
      </c>
      <c r="F387" s="87">
        <v>33.305166828600001</v>
      </c>
      <c r="G387" s="87">
        <v>44.453383217000003</v>
      </c>
      <c r="H387" s="86">
        <v>4</v>
      </c>
      <c r="I387" s="86">
        <v>24</v>
      </c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>
        <v>4</v>
      </c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>
        <v>4</v>
      </c>
      <c r="AI387" s="87"/>
      <c r="AJ387" s="87"/>
      <c r="AK387" s="87"/>
      <c r="AL387" s="87"/>
      <c r="AM387" s="87"/>
      <c r="AN387" s="87"/>
      <c r="AO387" s="87"/>
      <c r="AP387" s="87">
        <v>4</v>
      </c>
      <c r="AQ387" s="87"/>
      <c r="AR387" s="87"/>
      <c r="AS387" s="87"/>
      <c r="AT387" s="87"/>
      <c r="AU387" s="87"/>
      <c r="AV387" s="87"/>
      <c r="AW387" s="88" t="str">
        <f>HYPERLINK("http://www.openstreetmap.org/?mlat=33.3052&amp;mlon=44.4534&amp;zoom=12#map=12/33.3052/44.4534","Maplink1")</f>
        <v>Maplink1</v>
      </c>
      <c r="AX387" s="88" t="str">
        <f>HYPERLINK("https://www.google.iq/maps/search/+33.3052,44.4534/@33.3052,44.4534,14z?hl=en","Maplink2")</f>
        <v>Maplink2</v>
      </c>
      <c r="AY387" s="88" t="str">
        <f>HYPERLINK("http://www.bing.com/maps/?lvl=14&amp;sty=h&amp;cp=33.3052~44.4534&amp;sp=point.33.3052_44.4534","Maplink3")</f>
        <v>Maplink3</v>
      </c>
      <c r="AZ387" s="76"/>
    </row>
    <row r="388" spans="1:52" x14ac:dyDescent="0.25">
      <c r="A388" s="86">
        <v>24713</v>
      </c>
      <c r="B388" s="87" t="s">
        <v>14</v>
      </c>
      <c r="C388" s="87" t="s">
        <v>686</v>
      </c>
      <c r="D388" s="87" t="s">
        <v>797</v>
      </c>
      <c r="E388" s="87" t="s">
        <v>798</v>
      </c>
      <c r="F388" s="87">
        <v>33.322145903299997</v>
      </c>
      <c r="G388" s="87">
        <v>44.414793270399997</v>
      </c>
      <c r="H388" s="86">
        <v>26</v>
      </c>
      <c r="I388" s="86">
        <v>156</v>
      </c>
      <c r="J388" s="87">
        <v>5</v>
      </c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>
        <v>21</v>
      </c>
      <c r="W388" s="87"/>
      <c r="X388" s="87"/>
      <c r="Y388" s="87"/>
      <c r="Z388" s="87"/>
      <c r="AA388" s="87"/>
      <c r="AB388" s="87"/>
      <c r="AC388" s="87">
        <v>13</v>
      </c>
      <c r="AD388" s="87"/>
      <c r="AE388" s="87"/>
      <c r="AF388" s="87"/>
      <c r="AG388" s="87"/>
      <c r="AH388" s="87">
        <v>13</v>
      </c>
      <c r="AI388" s="87"/>
      <c r="AJ388" s="87"/>
      <c r="AK388" s="87"/>
      <c r="AL388" s="87"/>
      <c r="AM388" s="87"/>
      <c r="AN388" s="87"/>
      <c r="AO388" s="87"/>
      <c r="AP388" s="87"/>
      <c r="AQ388" s="87">
        <v>15</v>
      </c>
      <c r="AR388" s="87">
        <v>5</v>
      </c>
      <c r="AS388" s="87"/>
      <c r="AT388" s="87">
        <v>4</v>
      </c>
      <c r="AU388" s="87">
        <v>2</v>
      </c>
      <c r="AV388" s="87"/>
      <c r="AW388" s="88" t="str">
        <f>HYPERLINK("http://www.openstreetmap.org/?mlat=33.3221&amp;mlon=44.4148&amp;zoom=12#map=12/33.3221/44.4148","Maplink1")</f>
        <v>Maplink1</v>
      </c>
      <c r="AX388" s="88" t="str">
        <f>HYPERLINK("https://www.google.iq/maps/search/+33.3221,44.4148/@33.3221,44.4148,14z?hl=en","Maplink2")</f>
        <v>Maplink2</v>
      </c>
      <c r="AY388" s="88" t="str">
        <f>HYPERLINK("http://www.bing.com/maps/?lvl=14&amp;sty=h&amp;cp=33.3221~44.4148&amp;sp=point.33.3221_44.4148","Maplink3")</f>
        <v>Maplink3</v>
      </c>
      <c r="AZ388" s="76"/>
    </row>
    <row r="389" spans="1:52" x14ac:dyDescent="0.25">
      <c r="A389" s="86">
        <v>24949</v>
      </c>
      <c r="B389" s="87" t="s">
        <v>14</v>
      </c>
      <c r="C389" s="87" t="s">
        <v>686</v>
      </c>
      <c r="D389" s="87" t="s">
        <v>799</v>
      </c>
      <c r="E389" s="87" t="s">
        <v>800</v>
      </c>
      <c r="F389" s="87">
        <v>33.340317326300003</v>
      </c>
      <c r="G389" s="87">
        <v>44.404511741299999</v>
      </c>
      <c r="H389" s="86">
        <v>4</v>
      </c>
      <c r="I389" s="86">
        <v>24</v>
      </c>
      <c r="J389" s="87"/>
      <c r="K389" s="87"/>
      <c r="L389" s="87"/>
      <c r="M389" s="87"/>
      <c r="N389" s="87"/>
      <c r="O389" s="87">
        <v>2</v>
      </c>
      <c r="P389" s="87"/>
      <c r="Q389" s="87"/>
      <c r="R389" s="87"/>
      <c r="S389" s="87"/>
      <c r="T389" s="87"/>
      <c r="U389" s="87"/>
      <c r="V389" s="87">
        <v>2</v>
      </c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>
        <v>4</v>
      </c>
      <c r="AI389" s="87"/>
      <c r="AJ389" s="87"/>
      <c r="AK389" s="87"/>
      <c r="AL389" s="87"/>
      <c r="AM389" s="87"/>
      <c r="AN389" s="87"/>
      <c r="AO389" s="87"/>
      <c r="AP389" s="87"/>
      <c r="AQ389" s="87">
        <v>4</v>
      </c>
      <c r="AR389" s="87"/>
      <c r="AS389" s="87"/>
      <c r="AT389" s="87"/>
      <c r="AU389" s="87"/>
      <c r="AV389" s="87"/>
      <c r="AW389" s="88" t="str">
        <f>HYPERLINK("http://www.openstreetmap.org/?mlat=33.3403&amp;mlon=44.4045&amp;zoom=12#map=12/33.3403/44.4045","Maplink1")</f>
        <v>Maplink1</v>
      </c>
      <c r="AX389" s="88" t="str">
        <f>HYPERLINK("https://www.google.iq/maps/search/+33.3403,44.4045/@33.3403,44.4045,14z?hl=en","Maplink2")</f>
        <v>Maplink2</v>
      </c>
      <c r="AY389" s="88" t="str">
        <f>HYPERLINK("http://www.bing.com/maps/?lvl=14&amp;sty=h&amp;cp=33.3403~44.4045&amp;sp=point.33.3403_44.4045","Maplink3")</f>
        <v>Maplink3</v>
      </c>
      <c r="AZ389" s="76"/>
    </row>
    <row r="390" spans="1:52" x14ac:dyDescent="0.25">
      <c r="A390" s="86">
        <v>21631</v>
      </c>
      <c r="B390" s="87" t="s">
        <v>14</v>
      </c>
      <c r="C390" s="87" t="s">
        <v>686</v>
      </c>
      <c r="D390" s="87" t="s">
        <v>801</v>
      </c>
      <c r="E390" s="87" t="s">
        <v>802</v>
      </c>
      <c r="F390" s="87">
        <v>33.346211900599997</v>
      </c>
      <c r="G390" s="87">
        <v>44.4012192223</v>
      </c>
      <c r="H390" s="86">
        <v>3</v>
      </c>
      <c r="I390" s="86">
        <v>18</v>
      </c>
      <c r="J390" s="87"/>
      <c r="K390" s="87"/>
      <c r="L390" s="87"/>
      <c r="M390" s="87"/>
      <c r="N390" s="87"/>
      <c r="O390" s="87">
        <v>1</v>
      </c>
      <c r="P390" s="87"/>
      <c r="Q390" s="87"/>
      <c r="R390" s="87"/>
      <c r="S390" s="87"/>
      <c r="T390" s="87"/>
      <c r="U390" s="87"/>
      <c r="V390" s="87">
        <v>2</v>
      </c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>
        <v>3</v>
      </c>
      <c r="AI390" s="87"/>
      <c r="AJ390" s="87"/>
      <c r="AK390" s="87"/>
      <c r="AL390" s="87"/>
      <c r="AM390" s="87"/>
      <c r="AN390" s="87"/>
      <c r="AO390" s="87">
        <v>2</v>
      </c>
      <c r="AP390" s="87"/>
      <c r="AQ390" s="87">
        <v>1</v>
      </c>
      <c r="AR390" s="87"/>
      <c r="AS390" s="87"/>
      <c r="AT390" s="87"/>
      <c r="AU390" s="87"/>
      <c r="AV390" s="87"/>
      <c r="AW390" s="88" t="str">
        <f>HYPERLINK("http://www.openstreetmap.org/?mlat=33.3462&amp;mlon=44.4012&amp;zoom=12#map=12/33.3462/44.4012","Maplink1")</f>
        <v>Maplink1</v>
      </c>
      <c r="AX390" s="88" t="str">
        <f>HYPERLINK("https://www.google.iq/maps/search/+33.3462,44.4012/@33.3462,44.4012,14z?hl=en","Maplink2")</f>
        <v>Maplink2</v>
      </c>
      <c r="AY390" s="88" t="str">
        <f>HYPERLINK("http://www.bing.com/maps/?lvl=14&amp;sty=h&amp;cp=33.3462~44.4012&amp;sp=point.33.3462_44.4012","Maplink3")</f>
        <v>Maplink3</v>
      </c>
      <c r="AZ390" s="76"/>
    </row>
    <row r="391" spans="1:52" x14ac:dyDescent="0.25">
      <c r="A391" s="86">
        <v>21633</v>
      </c>
      <c r="B391" s="87" t="s">
        <v>14</v>
      </c>
      <c r="C391" s="87" t="s">
        <v>686</v>
      </c>
      <c r="D391" s="87" t="s">
        <v>803</v>
      </c>
      <c r="E391" s="87" t="s">
        <v>804</v>
      </c>
      <c r="F391" s="87">
        <v>33.348145914699998</v>
      </c>
      <c r="G391" s="87">
        <v>44.395444106399999</v>
      </c>
      <c r="H391" s="86">
        <v>7</v>
      </c>
      <c r="I391" s="86">
        <v>42</v>
      </c>
      <c r="J391" s="87">
        <v>2</v>
      </c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>
        <v>2</v>
      </c>
      <c r="W391" s="87"/>
      <c r="X391" s="87">
        <v>3</v>
      </c>
      <c r="Y391" s="87"/>
      <c r="Z391" s="87"/>
      <c r="AA391" s="87"/>
      <c r="AB391" s="87"/>
      <c r="AC391" s="87"/>
      <c r="AD391" s="87"/>
      <c r="AE391" s="87"/>
      <c r="AF391" s="87"/>
      <c r="AG391" s="87"/>
      <c r="AH391" s="87">
        <v>7</v>
      </c>
      <c r="AI391" s="87"/>
      <c r="AJ391" s="87"/>
      <c r="AK391" s="87"/>
      <c r="AL391" s="87"/>
      <c r="AM391" s="87"/>
      <c r="AN391" s="87"/>
      <c r="AO391" s="87">
        <v>2</v>
      </c>
      <c r="AP391" s="87">
        <v>4</v>
      </c>
      <c r="AQ391" s="87"/>
      <c r="AR391" s="87">
        <v>1</v>
      </c>
      <c r="AS391" s="87"/>
      <c r="AT391" s="87"/>
      <c r="AU391" s="87"/>
      <c r="AV391" s="87"/>
      <c r="AW391" s="88" t="str">
        <f>HYPERLINK("http://www.openstreetmap.org/?mlat=33.3481&amp;mlon=44.3954&amp;zoom=12#map=12/33.3481/44.3954","Maplink1")</f>
        <v>Maplink1</v>
      </c>
      <c r="AX391" s="88" t="str">
        <f>HYPERLINK("https://www.google.iq/maps/search/+33.3481,44.3954/@33.3481,44.3954,14z?hl=en","Maplink2")</f>
        <v>Maplink2</v>
      </c>
      <c r="AY391" s="88" t="str">
        <f>HYPERLINK("http://www.bing.com/maps/?lvl=14&amp;sty=h&amp;cp=33.3481~44.3954&amp;sp=point.33.3481_44.3954","Maplink3")</f>
        <v>Maplink3</v>
      </c>
      <c r="AZ391" s="76"/>
    </row>
    <row r="392" spans="1:52" x14ac:dyDescent="0.25">
      <c r="A392" s="86">
        <v>24950</v>
      </c>
      <c r="B392" s="87" t="s">
        <v>14</v>
      </c>
      <c r="C392" s="87" t="s">
        <v>686</v>
      </c>
      <c r="D392" s="87" t="s">
        <v>805</v>
      </c>
      <c r="E392" s="87" t="s">
        <v>806</v>
      </c>
      <c r="F392" s="87">
        <v>33.349839020499999</v>
      </c>
      <c r="G392" s="87">
        <v>44.395234426199998</v>
      </c>
      <c r="H392" s="86">
        <v>10</v>
      </c>
      <c r="I392" s="86">
        <v>60</v>
      </c>
      <c r="J392" s="87">
        <v>4</v>
      </c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>
        <v>6</v>
      </c>
      <c r="Y392" s="87"/>
      <c r="Z392" s="87"/>
      <c r="AA392" s="87"/>
      <c r="AB392" s="87"/>
      <c r="AC392" s="87">
        <v>3</v>
      </c>
      <c r="AD392" s="87"/>
      <c r="AE392" s="87"/>
      <c r="AF392" s="87"/>
      <c r="AG392" s="87"/>
      <c r="AH392" s="87">
        <v>7</v>
      </c>
      <c r="AI392" s="87"/>
      <c r="AJ392" s="87"/>
      <c r="AK392" s="87"/>
      <c r="AL392" s="87"/>
      <c r="AM392" s="87"/>
      <c r="AN392" s="87"/>
      <c r="AO392" s="87">
        <v>2</v>
      </c>
      <c r="AP392" s="87">
        <v>6</v>
      </c>
      <c r="AQ392" s="87"/>
      <c r="AR392" s="87">
        <v>2</v>
      </c>
      <c r="AS392" s="87"/>
      <c r="AT392" s="87"/>
      <c r="AU392" s="87"/>
      <c r="AV392" s="87"/>
      <c r="AW392" s="88" t="str">
        <f>HYPERLINK("http://www.openstreetmap.org/?mlat=33.3498&amp;mlon=44.3952&amp;zoom=12#map=12/33.3498/44.3952","Maplink1")</f>
        <v>Maplink1</v>
      </c>
      <c r="AX392" s="88" t="str">
        <f>HYPERLINK("https://www.google.iq/maps/search/+33.3498,44.3952/@33.3498,44.3952,14z?hl=en","Maplink2")</f>
        <v>Maplink2</v>
      </c>
      <c r="AY392" s="88" t="str">
        <f>HYPERLINK("http://www.bing.com/maps/?lvl=14&amp;sty=h&amp;cp=33.3498~44.3952&amp;sp=point.33.3498_44.3952","Maplink3")</f>
        <v>Maplink3</v>
      </c>
      <c r="AZ392" s="76"/>
    </row>
    <row r="393" spans="1:52" x14ac:dyDescent="0.25">
      <c r="A393" s="86">
        <v>24951</v>
      </c>
      <c r="B393" s="87" t="s">
        <v>14</v>
      </c>
      <c r="C393" s="87" t="s">
        <v>686</v>
      </c>
      <c r="D393" s="87" t="s">
        <v>807</v>
      </c>
      <c r="E393" s="87" t="s">
        <v>808</v>
      </c>
      <c r="F393" s="87">
        <v>33.352288220200002</v>
      </c>
      <c r="G393" s="87">
        <v>44.399407022200002</v>
      </c>
      <c r="H393" s="86">
        <v>3</v>
      </c>
      <c r="I393" s="86">
        <v>18</v>
      </c>
      <c r="J393" s="87">
        <v>2</v>
      </c>
      <c r="K393" s="87"/>
      <c r="L393" s="87"/>
      <c r="M393" s="87"/>
      <c r="N393" s="87"/>
      <c r="O393" s="87"/>
      <c r="P393" s="87"/>
      <c r="Q393" s="87"/>
      <c r="R393" s="87">
        <v>1</v>
      </c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>
        <v>3</v>
      </c>
      <c r="AI393" s="87"/>
      <c r="AJ393" s="87"/>
      <c r="AK393" s="87"/>
      <c r="AL393" s="87"/>
      <c r="AM393" s="87"/>
      <c r="AN393" s="87"/>
      <c r="AO393" s="87"/>
      <c r="AP393" s="87">
        <v>1</v>
      </c>
      <c r="AQ393" s="87">
        <v>2</v>
      </c>
      <c r="AR393" s="87"/>
      <c r="AS393" s="87"/>
      <c r="AT393" s="87"/>
      <c r="AU393" s="87"/>
      <c r="AV393" s="87"/>
      <c r="AW393" s="88" t="str">
        <f>HYPERLINK("http://www.openstreetmap.org/?mlat=33.3523&amp;mlon=44.3994&amp;zoom=12#map=12/33.3523/44.3994","Maplink1")</f>
        <v>Maplink1</v>
      </c>
      <c r="AX393" s="88" t="str">
        <f>HYPERLINK("https://www.google.iq/maps/search/+33.3523,44.3994/@33.3523,44.3994,14z?hl=en","Maplink2")</f>
        <v>Maplink2</v>
      </c>
      <c r="AY393" s="88" t="str">
        <f>HYPERLINK("http://www.bing.com/maps/?lvl=14&amp;sty=h&amp;cp=33.3523~44.3994&amp;sp=point.33.3523_44.3994","Maplink3")</f>
        <v>Maplink3</v>
      </c>
      <c r="AZ393" s="76"/>
    </row>
    <row r="394" spans="1:52" x14ac:dyDescent="0.25">
      <c r="A394" s="86">
        <v>23995</v>
      </c>
      <c r="B394" s="87" t="s">
        <v>14</v>
      </c>
      <c r="C394" s="87" t="s">
        <v>686</v>
      </c>
      <c r="D394" s="87" t="s">
        <v>809</v>
      </c>
      <c r="E394" s="87" t="s">
        <v>810</v>
      </c>
      <c r="F394" s="87">
        <v>33.246374713599998</v>
      </c>
      <c r="G394" s="87">
        <v>44.462465530000003</v>
      </c>
      <c r="H394" s="86">
        <v>5</v>
      </c>
      <c r="I394" s="86">
        <v>30</v>
      </c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>
        <v>5</v>
      </c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>
        <v>5</v>
      </c>
      <c r="AI394" s="87"/>
      <c r="AJ394" s="87"/>
      <c r="AK394" s="87"/>
      <c r="AL394" s="87"/>
      <c r="AM394" s="87"/>
      <c r="AN394" s="87"/>
      <c r="AO394" s="87">
        <v>5</v>
      </c>
      <c r="AP394" s="87"/>
      <c r="AQ394" s="87"/>
      <c r="AR394" s="87"/>
      <c r="AS394" s="87"/>
      <c r="AT394" s="87"/>
      <c r="AU394" s="87"/>
      <c r="AV394" s="87"/>
      <c r="AW394" s="88" t="str">
        <f>HYPERLINK("http://www.openstreetmap.org/?mlat=33.2464&amp;mlon=44.4625&amp;zoom=12#map=12/33.2464/44.4625","Maplink1")</f>
        <v>Maplink1</v>
      </c>
      <c r="AX394" s="88" t="str">
        <f>HYPERLINK("https://www.google.iq/maps/search/+33.2464,44.4625/@33.2464,44.4625,14z?hl=en","Maplink2")</f>
        <v>Maplink2</v>
      </c>
      <c r="AY394" s="88" t="str">
        <f>HYPERLINK("http://www.bing.com/maps/?lvl=14&amp;sty=h&amp;cp=33.2464~44.4625&amp;sp=point.33.2464_44.4625","Maplink3")</f>
        <v>Maplink3</v>
      </c>
      <c r="AZ394" s="76"/>
    </row>
    <row r="395" spans="1:52" x14ac:dyDescent="0.25">
      <c r="A395" s="86">
        <v>23989</v>
      </c>
      <c r="B395" s="87" t="s">
        <v>14</v>
      </c>
      <c r="C395" s="87" t="s">
        <v>686</v>
      </c>
      <c r="D395" s="87" t="s">
        <v>811</v>
      </c>
      <c r="E395" s="87" t="s">
        <v>812</v>
      </c>
      <c r="F395" s="87">
        <v>33.249489135200001</v>
      </c>
      <c r="G395" s="87">
        <v>44.474137720500003</v>
      </c>
      <c r="H395" s="86">
        <v>5</v>
      </c>
      <c r="I395" s="86">
        <v>30</v>
      </c>
      <c r="J395" s="87">
        <v>5</v>
      </c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>
        <v>5</v>
      </c>
      <c r="AI395" s="87"/>
      <c r="AJ395" s="87"/>
      <c r="AK395" s="87"/>
      <c r="AL395" s="87"/>
      <c r="AM395" s="87"/>
      <c r="AN395" s="87"/>
      <c r="AO395" s="87"/>
      <c r="AP395" s="87">
        <v>5</v>
      </c>
      <c r="AQ395" s="87"/>
      <c r="AR395" s="87"/>
      <c r="AS395" s="87"/>
      <c r="AT395" s="87"/>
      <c r="AU395" s="87"/>
      <c r="AV395" s="87"/>
      <c r="AW395" s="88" t="str">
        <f>HYPERLINK("http://www.openstreetmap.org/?mlat=33.2495&amp;mlon=44.4741&amp;zoom=12#map=12/33.2495/44.4741","Maplink1")</f>
        <v>Maplink1</v>
      </c>
      <c r="AX395" s="88" t="str">
        <f>HYPERLINK("https://www.google.iq/maps/search/+33.2495,44.4741/@33.2495,44.4741,14z?hl=en","Maplink2")</f>
        <v>Maplink2</v>
      </c>
      <c r="AY395" s="88" t="str">
        <f>HYPERLINK("http://www.bing.com/maps/?lvl=14&amp;sty=h&amp;cp=33.2495~44.4741&amp;sp=point.33.2495_44.4741","Maplink3")</f>
        <v>Maplink3</v>
      </c>
      <c r="AZ395" s="76"/>
    </row>
    <row r="396" spans="1:52" x14ac:dyDescent="0.25">
      <c r="A396" s="86">
        <v>22880</v>
      </c>
      <c r="B396" s="87" t="s">
        <v>14</v>
      </c>
      <c r="C396" s="87" t="s">
        <v>686</v>
      </c>
      <c r="D396" s="87" t="s">
        <v>813</v>
      </c>
      <c r="E396" s="87" t="s">
        <v>814</v>
      </c>
      <c r="F396" s="87">
        <v>33.267707960199999</v>
      </c>
      <c r="G396" s="87">
        <v>44.462735155099999</v>
      </c>
      <c r="H396" s="86">
        <v>6</v>
      </c>
      <c r="I396" s="86">
        <v>36</v>
      </c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>
        <v>6</v>
      </c>
      <c r="W396" s="87"/>
      <c r="X396" s="87"/>
      <c r="Y396" s="87"/>
      <c r="Z396" s="87"/>
      <c r="AA396" s="87"/>
      <c r="AB396" s="87"/>
      <c r="AC396" s="87">
        <v>4</v>
      </c>
      <c r="AD396" s="87"/>
      <c r="AE396" s="87"/>
      <c r="AF396" s="87"/>
      <c r="AG396" s="87"/>
      <c r="AH396" s="87">
        <v>2</v>
      </c>
      <c r="AI396" s="87"/>
      <c r="AJ396" s="87"/>
      <c r="AK396" s="87"/>
      <c r="AL396" s="87"/>
      <c r="AM396" s="87"/>
      <c r="AN396" s="87"/>
      <c r="AO396" s="87"/>
      <c r="AP396" s="87">
        <v>2</v>
      </c>
      <c r="AQ396" s="87">
        <v>4</v>
      </c>
      <c r="AR396" s="87"/>
      <c r="AS396" s="87"/>
      <c r="AT396" s="87"/>
      <c r="AU396" s="87"/>
      <c r="AV396" s="87"/>
      <c r="AW396" s="88" t="str">
        <f>HYPERLINK("http://www.openstreetmap.org/?mlat=33.2677&amp;mlon=44.4627&amp;zoom=12#map=12/33.2677/44.4627","Maplink1")</f>
        <v>Maplink1</v>
      </c>
      <c r="AX396" s="88" t="str">
        <f>HYPERLINK("https://www.google.iq/maps/search/+33.2677,44.4627/@33.2677,44.4627,14z?hl=en","Maplink2")</f>
        <v>Maplink2</v>
      </c>
      <c r="AY396" s="88" t="str">
        <f>HYPERLINK("http://www.bing.com/maps/?lvl=14&amp;sty=h&amp;cp=33.2677~44.4627&amp;sp=point.33.2677_44.4627","Maplink3")</f>
        <v>Maplink3</v>
      </c>
      <c r="AZ396" s="76"/>
    </row>
    <row r="397" spans="1:52" x14ac:dyDescent="0.25">
      <c r="A397" s="86">
        <v>24174</v>
      </c>
      <c r="B397" s="87" t="s">
        <v>14</v>
      </c>
      <c r="C397" s="87" t="s">
        <v>686</v>
      </c>
      <c r="D397" s="87" t="s">
        <v>5811</v>
      </c>
      <c r="E397" s="87" t="s">
        <v>5812</v>
      </c>
      <c r="F397" s="87">
        <v>33.373575219999999</v>
      </c>
      <c r="G397" s="87">
        <v>44.491877639999998</v>
      </c>
      <c r="H397" s="86">
        <v>4</v>
      </c>
      <c r="I397" s="86">
        <v>24</v>
      </c>
      <c r="J397" s="87">
        <v>1</v>
      </c>
      <c r="K397" s="87"/>
      <c r="L397" s="87"/>
      <c r="M397" s="87"/>
      <c r="N397" s="87"/>
      <c r="O397" s="87">
        <v>1</v>
      </c>
      <c r="P397" s="87"/>
      <c r="Q397" s="87"/>
      <c r="R397" s="87"/>
      <c r="S397" s="87"/>
      <c r="T397" s="87"/>
      <c r="U397" s="87"/>
      <c r="V397" s="87">
        <v>2</v>
      </c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>
        <v>4</v>
      </c>
      <c r="AI397" s="87"/>
      <c r="AJ397" s="87"/>
      <c r="AK397" s="87"/>
      <c r="AL397" s="87"/>
      <c r="AM397" s="87"/>
      <c r="AN397" s="87"/>
      <c r="AO397" s="87"/>
      <c r="AP397" s="87"/>
      <c r="AQ397" s="87">
        <v>4</v>
      </c>
      <c r="AR397" s="87"/>
      <c r="AS397" s="87"/>
      <c r="AT397" s="87"/>
      <c r="AU397" s="87"/>
      <c r="AV397" s="87"/>
      <c r="AW397" s="88" t="str">
        <f>HYPERLINK("http://www.openstreetmap.org/?mlat=33.3736&amp;mlon=44.4919&amp;zoom=12#map=12/33.3736/44.4919","Maplink1")</f>
        <v>Maplink1</v>
      </c>
      <c r="AX397" s="88" t="str">
        <f>HYPERLINK("https://www.google.iq/maps/search/+33.3736,44.4919/@33.3736,44.4919,14z?hl=en","Maplink2")</f>
        <v>Maplink2</v>
      </c>
      <c r="AY397" s="88" t="str">
        <f>HYPERLINK("http://www.bing.com/maps/?lvl=14&amp;sty=h&amp;cp=33.3736~44.4919&amp;sp=point.33.3736_44.4919","Maplink3")</f>
        <v>Maplink3</v>
      </c>
      <c r="AZ397" s="76"/>
    </row>
    <row r="398" spans="1:52" x14ac:dyDescent="0.25">
      <c r="A398" s="86">
        <v>24472</v>
      </c>
      <c r="B398" s="87" t="s">
        <v>14</v>
      </c>
      <c r="C398" s="87" t="s">
        <v>686</v>
      </c>
      <c r="D398" s="87" t="s">
        <v>5805</v>
      </c>
      <c r="E398" s="87" t="s">
        <v>5806</v>
      </c>
      <c r="F398" s="87">
        <v>33.381024799999999</v>
      </c>
      <c r="G398" s="87">
        <v>44.504486559999997</v>
      </c>
      <c r="H398" s="86">
        <v>2</v>
      </c>
      <c r="I398" s="86">
        <v>12</v>
      </c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>
        <v>2</v>
      </c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>
        <v>2</v>
      </c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>
        <v>2</v>
      </c>
      <c r="AU398" s="87"/>
      <c r="AV398" s="87"/>
      <c r="AW398" s="88" t="str">
        <f>HYPERLINK("http://www.openstreetmap.org/?mlat=33.381&amp;mlon=44.5045&amp;zoom=12#map=12/33.381/44.5045","Maplink1")</f>
        <v>Maplink1</v>
      </c>
      <c r="AX398" s="88" t="str">
        <f>HYPERLINK("https://www.google.iq/maps/search/+33.381,44.5045/@33.381,44.5045,14z?hl=en","Maplink2")</f>
        <v>Maplink2</v>
      </c>
      <c r="AY398" s="88" t="str">
        <f>HYPERLINK("http://www.bing.com/maps/?lvl=14&amp;sty=h&amp;cp=33.381~44.5045&amp;sp=point.33.381_44.5045","Maplink3")</f>
        <v>Maplink3</v>
      </c>
      <c r="AZ398" s="76"/>
    </row>
    <row r="399" spans="1:52" x14ac:dyDescent="0.25">
      <c r="A399" s="86">
        <v>24342</v>
      </c>
      <c r="B399" s="87" t="s">
        <v>14</v>
      </c>
      <c r="C399" s="87" t="s">
        <v>686</v>
      </c>
      <c r="D399" s="87" t="s">
        <v>5807</v>
      </c>
      <c r="E399" s="87" t="s">
        <v>5808</v>
      </c>
      <c r="F399" s="87">
        <v>33.377096999999999</v>
      </c>
      <c r="G399" s="87">
        <v>44.520860290000002</v>
      </c>
      <c r="H399" s="86">
        <v>1</v>
      </c>
      <c r="I399" s="86">
        <v>6</v>
      </c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>
        <v>1</v>
      </c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>
        <v>1</v>
      </c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>
        <v>1</v>
      </c>
      <c r="AU399" s="87"/>
      <c r="AV399" s="87"/>
      <c r="AW399" s="88" t="str">
        <f>HYPERLINK("http://www.openstreetmap.org/?mlat=33.3771&amp;mlon=44.5209&amp;zoom=12#map=12/33.3771/44.5209","Maplink1")</f>
        <v>Maplink1</v>
      </c>
      <c r="AX399" s="88" t="str">
        <f>HYPERLINK("https://www.google.iq/maps/search/+33.3771,44.5209/@33.3771,44.5209,14z?hl=en","Maplink2")</f>
        <v>Maplink2</v>
      </c>
      <c r="AY399" s="88" t="str">
        <f>HYPERLINK("http://www.bing.com/maps/?lvl=14&amp;sty=h&amp;cp=33.3771~44.5209&amp;sp=point.33.3771_44.5209","Maplink3")</f>
        <v>Maplink3</v>
      </c>
      <c r="AZ399" s="76"/>
    </row>
    <row r="400" spans="1:52" x14ac:dyDescent="0.25">
      <c r="A400" s="86">
        <v>24020</v>
      </c>
      <c r="B400" s="87" t="s">
        <v>14</v>
      </c>
      <c r="C400" s="87" t="s">
        <v>686</v>
      </c>
      <c r="D400" s="87" t="s">
        <v>815</v>
      </c>
      <c r="E400" s="87" t="s">
        <v>816</v>
      </c>
      <c r="F400" s="87">
        <v>33.357728108099998</v>
      </c>
      <c r="G400" s="87">
        <v>44.508730172200003</v>
      </c>
      <c r="H400" s="86">
        <v>2</v>
      </c>
      <c r="I400" s="86">
        <v>12</v>
      </c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>
        <v>2</v>
      </c>
      <c r="W400" s="87"/>
      <c r="X400" s="87"/>
      <c r="Y400" s="87"/>
      <c r="Z400" s="87"/>
      <c r="AA400" s="87"/>
      <c r="AB400" s="87"/>
      <c r="AC400" s="87">
        <v>2</v>
      </c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>
        <v>2</v>
      </c>
      <c r="AU400" s="87"/>
      <c r="AV400" s="87"/>
      <c r="AW400" s="88" t="str">
        <f>HYPERLINK("http://www.openstreetmap.org/?mlat=33.3577&amp;mlon=44.5087&amp;zoom=12#map=12/33.3577/44.5087","Maplink1")</f>
        <v>Maplink1</v>
      </c>
      <c r="AX400" s="88" t="str">
        <f>HYPERLINK("https://www.google.iq/maps/search/+33.3577,44.5087/@33.3577,44.5087,14z?hl=en","Maplink2")</f>
        <v>Maplink2</v>
      </c>
      <c r="AY400" s="88" t="str">
        <f>HYPERLINK("http://www.bing.com/maps/?lvl=14&amp;sty=h&amp;cp=33.3577~44.5087&amp;sp=point.33.3577_44.5087","Maplink3")</f>
        <v>Maplink3</v>
      </c>
      <c r="AZ400" s="76"/>
    </row>
    <row r="401" spans="1:52" x14ac:dyDescent="0.25">
      <c r="A401" s="86">
        <v>23601</v>
      </c>
      <c r="B401" s="87" t="s">
        <v>14</v>
      </c>
      <c r="C401" s="87" t="s">
        <v>686</v>
      </c>
      <c r="D401" s="87" t="s">
        <v>817</v>
      </c>
      <c r="E401" s="87" t="s">
        <v>818</v>
      </c>
      <c r="F401" s="87">
        <v>33.360647881299997</v>
      </c>
      <c r="G401" s="87">
        <v>44.511301074000002</v>
      </c>
      <c r="H401" s="86">
        <v>4</v>
      </c>
      <c r="I401" s="86">
        <v>24</v>
      </c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>
        <v>4</v>
      </c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>
        <v>4</v>
      </c>
      <c r="AI401" s="87"/>
      <c r="AJ401" s="87"/>
      <c r="AK401" s="87"/>
      <c r="AL401" s="87"/>
      <c r="AM401" s="87"/>
      <c r="AN401" s="87"/>
      <c r="AO401" s="87"/>
      <c r="AP401" s="87">
        <v>4</v>
      </c>
      <c r="AQ401" s="87"/>
      <c r="AR401" s="87"/>
      <c r="AS401" s="87"/>
      <c r="AT401" s="87"/>
      <c r="AU401" s="87"/>
      <c r="AV401" s="87"/>
      <c r="AW401" s="88" t="str">
        <f>HYPERLINK("http://www.openstreetmap.org/?mlat=33.3606&amp;mlon=44.5113&amp;zoom=12#map=12/33.3606/44.5113","Maplink1")</f>
        <v>Maplink1</v>
      </c>
      <c r="AX401" s="88" t="str">
        <f>HYPERLINK("https://www.google.iq/maps/search/+33.3606,44.5113/@33.3606,44.5113,14z?hl=en","Maplink2")</f>
        <v>Maplink2</v>
      </c>
      <c r="AY401" s="88" t="str">
        <f>HYPERLINK("http://www.bing.com/maps/?lvl=14&amp;sty=h&amp;cp=33.3606~44.5113&amp;sp=point.33.3606_44.5113","Maplink3")</f>
        <v>Maplink3</v>
      </c>
      <c r="AZ401" s="76"/>
    </row>
    <row r="402" spans="1:52" x14ac:dyDescent="0.25">
      <c r="A402" s="86">
        <v>23036</v>
      </c>
      <c r="B402" s="87" t="s">
        <v>14</v>
      </c>
      <c r="C402" s="87" t="s">
        <v>686</v>
      </c>
      <c r="D402" s="87" t="s">
        <v>819</v>
      </c>
      <c r="E402" s="87" t="s">
        <v>820</v>
      </c>
      <c r="F402" s="87">
        <v>33.3690210838</v>
      </c>
      <c r="G402" s="87">
        <v>44.520442013900002</v>
      </c>
      <c r="H402" s="86">
        <v>7</v>
      </c>
      <c r="I402" s="86">
        <v>42</v>
      </c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>
        <v>5</v>
      </c>
      <c r="W402" s="87"/>
      <c r="X402" s="87">
        <v>2</v>
      </c>
      <c r="Y402" s="87"/>
      <c r="Z402" s="87"/>
      <c r="AA402" s="87"/>
      <c r="AB402" s="87"/>
      <c r="AC402" s="87"/>
      <c r="AD402" s="87"/>
      <c r="AE402" s="87"/>
      <c r="AF402" s="87"/>
      <c r="AG402" s="87"/>
      <c r="AH402" s="87">
        <v>7</v>
      </c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>
        <v>7</v>
      </c>
      <c r="AU402" s="87"/>
      <c r="AV402" s="87"/>
      <c r="AW402" s="88" t="str">
        <f>HYPERLINK("http://www.openstreetmap.org/?mlat=33.369&amp;mlon=44.5204&amp;zoom=12#map=12/33.369/44.5204","Maplink1")</f>
        <v>Maplink1</v>
      </c>
      <c r="AX402" s="88" t="str">
        <f>HYPERLINK("https://www.google.iq/maps/search/+33.369,44.5204/@33.369,44.5204,14z?hl=en","Maplink2")</f>
        <v>Maplink2</v>
      </c>
      <c r="AY402" s="88" t="str">
        <f>HYPERLINK("http://www.bing.com/maps/?lvl=14&amp;sty=h&amp;cp=33.369~44.5204&amp;sp=point.33.369_44.5204","Maplink3")</f>
        <v>Maplink3</v>
      </c>
      <c r="AZ402" s="76"/>
    </row>
    <row r="403" spans="1:52" x14ac:dyDescent="0.25">
      <c r="A403" s="86">
        <v>23996</v>
      </c>
      <c r="B403" s="87" t="s">
        <v>14</v>
      </c>
      <c r="C403" s="87" t="s">
        <v>686</v>
      </c>
      <c r="D403" s="87" t="s">
        <v>821</v>
      </c>
      <c r="E403" s="87" t="s">
        <v>822</v>
      </c>
      <c r="F403" s="87">
        <v>33.313503820599998</v>
      </c>
      <c r="G403" s="87">
        <v>44.432530831400001</v>
      </c>
      <c r="H403" s="86">
        <v>4</v>
      </c>
      <c r="I403" s="86">
        <v>24</v>
      </c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>
        <v>4</v>
      </c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>
        <v>4</v>
      </c>
      <c r="AI403" s="87"/>
      <c r="AJ403" s="87"/>
      <c r="AK403" s="87"/>
      <c r="AL403" s="87"/>
      <c r="AM403" s="87"/>
      <c r="AN403" s="87"/>
      <c r="AO403" s="87">
        <v>4</v>
      </c>
      <c r="AP403" s="87"/>
      <c r="AQ403" s="87"/>
      <c r="AR403" s="87"/>
      <c r="AS403" s="87"/>
      <c r="AT403" s="87"/>
      <c r="AU403" s="87"/>
      <c r="AV403" s="87"/>
      <c r="AW403" s="88" t="str">
        <f>HYPERLINK("http://www.openstreetmap.org/?mlat=33.3135&amp;mlon=44.4325&amp;zoom=12#map=12/33.3135/44.4325","Maplink1")</f>
        <v>Maplink1</v>
      </c>
      <c r="AX403" s="88" t="str">
        <f>HYPERLINK("https://www.google.iq/maps/search/+33.3135,44.4325/@33.3135,44.4325,14z?hl=en","Maplink2")</f>
        <v>Maplink2</v>
      </c>
      <c r="AY403" s="88" t="str">
        <f>HYPERLINK("http://www.bing.com/maps/?lvl=14&amp;sty=h&amp;cp=33.3135~44.4325&amp;sp=point.33.3135_44.4325","Maplink3")</f>
        <v>Maplink3</v>
      </c>
      <c r="AZ403" s="76"/>
    </row>
    <row r="404" spans="1:52" x14ac:dyDescent="0.25">
      <c r="A404" s="86">
        <v>23997</v>
      </c>
      <c r="B404" s="87" t="s">
        <v>14</v>
      </c>
      <c r="C404" s="87" t="s">
        <v>686</v>
      </c>
      <c r="D404" s="87" t="s">
        <v>823</v>
      </c>
      <c r="E404" s="87" t="s">
        <v>824</v>
      </c>
      <c r="F404" s="87">
        <v>33.303972678699999</v>
      </c>
      <c r="G404" s="87">
        <v>44.4451066154</v>
      </c>
      <c r="H404" s="86">
        <v>3</v>
      </c>
      <c r="I404" s="86">
        <v>18</v>
      </c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>
        <v>3</v>
      </c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>
        <v>3</v>
      </c>
      <c r="AI404" s="87"/>
      <c r="AJ404" s="87"/>
      <c r="AK404" s="87"/>
      <c r="AL404" s="87"/>
      <c r="AM404" s="87"/>
      <c r="AN404" s="87"/>
      <c r="AO404" s="87">
        <v>1</v>
      </c>
      <c r="AP404" s="87">
        <v>2</v>
      </c>
      <c r="AQ404" s="87"/>
      <c r="AR404" s="87"/>
      <c r="AS404" s="87"/>
      <c r="AT404" s="87"/>
      <c r="AU404" s="87"/>
      <c r="AV404" s="87"/>
      <c r="AW404" s="88" t="str">
        <f>HYPERLINK("http://www.openstreetmap.org/?mlat=33.304&amp;mlon=44.4451&amp;zoom=12#map=12/33.304/44.4451","Maplink1")</f>
        <v>Maplink1</v>
      </c>
      <c r="AX404" s="88" t="str">
        <f>HYPERLINK("https://www.google.iq/maps/search/+33.304,44.4451/@33.304,44.4451,14z?hl=en","Maplink2")</f>
        <v>Maplink2</v>
      </c>
      <c r="AY404" s="88" t="str">
        <f>HYPERLINK("http://www.bing.com/maps/?lvl=14&amp;sty=h&amp;cp=33.304~44.4451&amp;sp=point.33.304_44.4451","Maplink3")</f>
        <v>Maplink3</v>
      </c>
      <c r="AZ404" s="76"/>
    </row>
    <row r="405" spans="1:52" x14ac:dyDescent="0.25">
      <c r="A405" s="86">
        <v>23998</v>
      </c>
      <c r="B405" s="87" t="s">
        <v>14</v>
      </c>
      <c r="C405" s="87" t="s">
        <v>686</v>
      </c>
      <c r="D405" s="87" t="s">
        <v>825</v>
      </c>
      <c r="E405" s="87" t="s">
        <v>826</v>
      </c>
      <c r="F405" s="87">
        <v>33.307667302399999</v>
      </c>
      <c r="G405" s="87">
        <v>44.445983073800001</v>
      </c>
      <c r="H405" s="86">
        <v>6</v>
      </c>
      <c r="I405" s="86">
        <v>36</v>
      </c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>
        <v>6</v>
      </c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>
        <v>6</v>
      </c>
      <c r="AI405" s="87"/>
      <c r="AJ405" s="87"/>
      <c r="AK405" s="87"/>
      <c r="AL405" s="87"/>
      <c r="AM405" s="87"/>
      <c r="AN405" s="87"/>
      <c r="AO405" s="87"/>
      <c r="AP405" s="87">
        <v>6</v>
      </c>
      <c r="AQ405" s="87"/>
      <c r="AR405" s="87"/>
      <c r="AS405" s="87"/>
      <c r="AT405" s="87"/>
      <c r="AU405" s="87"/>
      <c r="AV405" s="87"/>
      <c r="AW405" s="88" t="str">
        <f>HYPERLINK("http://www.openstreetmap.org/?mlat=33.3077&amp;mlon=44.446&amp;zoom=12#map=12/33.3077/44.446","Maplink1")</f>
        <v>Maplink1</v>
      </c>
      <c r="AX405" s="88" t="str">
        <f>HYPERLINK("https://www.google.iq/maps/search/+33.3077,44.446/@33.3077,44.446,14z?hl=en","Maplink2")</f>
        <v>Maplink2</v>
      </c>
      <c r="AY405" s="88" t="str">
        <f>HYPERLINK("http://www.bing.com/maps/?lvl=14&amp;sty=h&amp;cp=33.3077~44.446&amp;sp=point.33.3077_44.446","Maplink3")</f>
        <v>Maplink3</v>
      </c>
      <c r="AZ405" s="76"/>
    </row>
    <row r="406" spans="1:52" x14ac:dyDescent="0.25">
      <c r="A406" s="86">
        <v>24473</v>
      </c>
      <c r="B406" s="87" t="s">
        <v>14</v>
      </c>
      <c r="C406" s="87" t="s">
        <v>686</v>
      </c>
      <c r="D406" s="87" t="s">
        <v>827</v>
      </c>
      <c r="E406" s="87" t="s">
        <v>828</v>
      </c>
      <c r="F406" s="87">
        <v>33.273106748700002</v>
      </c>
      <c r="G406" s="87">
        <v>44.474493080000002</v>
      </c>
      <c r="H406" s="86">
        <v>7</v>
      </c>
      <c r="I406" s="86">
        <v>42</v>
      </c>
      <c r="J406" s="87">
        <v>2</v>
      </c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>
        <v>3</v>
      </c>
      <c r="W406" s="87"/>
      <c r="X406" s="87">
        <v>2</v>
      </c>
      <c r="Y406" s="87"/>
      <c r="Z406" s="87"/>
      <c r="AA406" s="87"/>
      <c r="AB406" s="87"/>
      <c r="AC406" s="87"/>
      <c r="AD406" s="87"/>
      <c r="AE406" s="87"/>
      <c r="AF406" s="87"/>
      <c r="AG406" s="87"/>
      <c r="AH406" s="87">
        <v>7</v>
      </c>
      <c r="AI406" s="87"/>
      <c r="AJ406" s="87"/>
      <c r="AK406" s="87"/>
      <c r="AL406" s="87"/>
      <c r="AM406" s="87"/>
      <c r="AN406" s="87"/>
      <c r="AO406" s="87"/>
      <c r="AP406" s="87"/>
      <c r="AQ406" s="87">
        <v>4</v>
      </c>
      <c r="AR406" s="87">
        <v>3</v>
      </c>
      <c r="AS406" s="87"/>
      <c r="AT406" s="87"/>
      <c r="AU406" s="87"/>
      <c r="AV406" s="87"/>
      <c r="AW406" s="88" t="str">
        <f>HYPERLINK("http://www.openstreetmap.org/?mlat=33.2731&amp;mlon=44.4745&amp;zoom=12#map=12/33.2731/44.4745","Maplink1")</f>
        <v>Maplink1</v>
      </c>
      <c r="AX406" s="88" t="str">
        <f>HYPERLINK("https://www.google.iq/maps/search/+33.2731,44.4745/@33.2731,44.4745,14z?hl=en","Maplink2")</f>
        <v>Maplink2</v>
      </c>
      <c r="AY406" s="88" t="str">
        <f>HYPERLINK("http://www.bing.com/maps/?lvl=14&amp;sty=h&amp;cp=33.2731~44.4745&amp;sp=point.33.2731_44.4745","Maplink3")</f>
        <v>Maplink3</v>
      </c>
      <c r="AZ406" s="76"/>
    </row>
    <row r="407" spans="1:52" x14ac:dyDescent="0.25">
      <c r="A407" s="86">
        <v>24008</v>
      </c>
      <c r="B407" s="87" t="s">
        <v>14</v>
      </c>
      <c r="C407" s="87" t="s">
        <v>686</v>
      </c>
      <c r="D407" s="87" t="s">
        <v>829</v>
      </c>
      <c r="E407" s="87" t="s">
        <v>830</v>
      </c>
      <c r="F407" s="87">
        <v>33.264802801499997</v>
      </c>
      <c r="G407" s="87">
        <v>44.476320127000001</v>
      </c>
      <c r="H407" s="86">
        <v>5</v>
      </c>
      <c r="I407" s="86">
        <v>30</v>
      </c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>
        <v>5</v>
      </c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>
        <v>5</v>
      </c>
      <c r="AI407" s="87"/>
      <c r="AJ407" s="87"/>
      <c r="AK407" s="87"/>
      <c r="AL407" s="87"/>
      <c r="AM407" s="87"/>
      <c r="AN407" s="87"/>
      <c r="AO407" s="87">
        <v>5</v>
      </c>
      <c r="AP407" s="87"/>
      <c r="AQ407" s="87"/>
      <c r="AR407" s="87"/>
      <c r="AS407" s="87"/>
      <c r="AT407" s="87"/>
      <c r="AU407" s="87"/>
      <c r="AV407" s="87"/>
      <c r="AW407" s="88" t="str">
        <f>HYPERLINK("http://www.openstreetmap.org/?mlat=33.2648&amp;mlon=44.4763&amp;zoom=12#map=12/33.2648/44.4763","Maplink1")</f>
        <v>Maplink1</v>
      </c>
      <c r="AX407" s="88" t="str">
        <f>HYPERLINK("https://www.google.iq/maps/search/+33.2648,44.4763/@33.2648,44.4763,14z?hl=en","Maplink2")</f>
        <v>Maplink2</v>
      </c>
      <c r="AY407" s="88" t="str">
        <f>HYPERLINK("http://www.bing.com/maps/?lvl=14&amp;sty=h&amp;cp=33.2648~44.4763&amp;sp=point.33.2648_44.4763","Maplink3")</f>
        <v>Maplink3</v>
      </c>
      <c r="AZ407" s="76"/>
    </row>
    <row r="408" spans="1:52" x14ac:dyDescent="0.25">
      <c r="A408" s="86">
        <v>24009</v>
      </c>
      <c r="B408" s="87" t="s">
        <v>14</v>
      </c>
      <c r="C408" s="87" t="s">
        <v>686</v>
      </c>
      <c r="D408" s="87" t="s">
        <v>831</v>
      </c>
      <c r="E408" s="87" t="s">
        <v>832</v>
      </c>
      <c r="F408" s="87">
        <v>33.261178442199999</v>
      </c>
      <c r="G408" s="87">
        <v>44.465784632899997</v>
      </c>
      <c r="H408" s="86">
        <v>3</v>
      </c>
      <c r="I408" s="86">
        <v>18</v>
      </c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>
        <v>3</v>
      </c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>
        <v>3</v>
      </c>
      <c r="AI408" s="87"/>
      <c r="AJ408" s="87"/>
      <c r="AK408" s="87"/>
      <c r="AL408" s="87"/>
      <c r="AM408" s="87"/>
      <c r="AN408" s="87"/>
      <c r="AO408" s="87">
        <v>3</v>
      </c>
      <c r="AP408" s="87"/>
      <c r="AQ408" s="87"/>
      <c r="AR408" s="87"/>
      <c r="AS408" s="87"/>
      <c r="AT408" s="87"/>
      <c r="AU408" s="87"/>
      <c r="AV408" s="87"/>
      <c r="AW408" s="88" t="str">
        <f>HYPERLINK("http://www.openstreetmap.org/?mlat=33.2612&amp;mlon=44.4658&amp;zoom=12#map=12/33.2612/44.4658","Maplink1")</f>
        <v>Maplink1</v>
      </c>
      <c r="AX408" s="88" t="str">
        <f>HYPERLINK("https://www.google.iq/maps/search/+33.2612,44.4658/@33.2612,44.4658,14z?hl=en","Maplink2")</f>
        <v>Maplink2</v>
      </c>
      <c r="AY408" s="88" t="str">
        <f>HYPERLINK("http://www.bing.com/maps/?lvl=14&amp;sty=h&amp;cp=33.2612~44.4658&amp;sp=point.33.2612_44.4658","Maplink3")</f>
        <v>Maplink3</v>
      </c>
      <c r="AZ408" s="76"/>
    </row>
    <row r="409" spans="1:52" x14ac:dyDescent="0.25">
      <c r="A409" s="86">
        <v>24007</v>
      </c>
      <c r="B409" s="87" t="s">
        <v>14</v>
      </c>
      <c r="C409" s="87" t="s">
        <v>686</v>
      </c>
      <c r="D409" s="87" t="s">
        <v>833</v>
      </c>
      <c r="E409" s="87" t="s">
        <v>834</v>
      </c>
      <c r="F409" s="87">
        <v>33.250827819000001</v>
      </c>
      <c r="G409" s="87">
        <v>44.476848767900002</v>
      </c>
      <c r="H409" s="86">
        <v>4</v>
      </c>
      <c r="I409" s="86">
        <v>24</v>
      </c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>
        <v>3</v>
      </c>
      <c r="W409" s="87"/>
      <c r="X409" s="87">
        <v>1</v>
      </c>
      <c r="Y409" s="87"/>
      <c r="Z409" s="87"/>
      <c r="AA409" s="87"/>
      <c r="AB409" s="87"/>
      <c r="AC409" s="87"/>
      <c r="AD409" s="87"/>
      <c r="AE409" s="87"/>
      <c r="AF409" s="87"/>
      <c r="AG409" s="87"/>
      <c r="AH409" s="87">
        <v>4</v>
      </c>
      <c r="AI409" s="87"/>
      <c r="AJ409" s="87"/>
      <c r="AK409" s="87"/>
      <c r="AL409" s="87"/>
      <c r="AM409" s="87"/>
      <c r="AN409" s="87"/>
      <c r="AO409" s="87">
        <v>3</v>
      </c>
      <c r="AP409" s="87">
        <v>1</v>
      </c>
      <c r="AQ409" s="87"/>
      <c r="AR409" s="87"/>
      <c r="AS409" s="87"/>
      <c r="AT409" s="87"/>
      <c r="AU409" s="87"/>
      <c r="AV409" s="87"/>
      <c r="AW409" s="88" t="str">
        <f>HYPERLINK("http://www.openstreetmap.org/?mlat=33.2508&amp;mlon=44.4768&amp;zoom=12#map=12/33.2508/44.4768","Maplink1")</f>
        <v>Maplink1</v>
      </c>
      <c r="AX409" s="88" t="str">
        <f>HYPERLINK("https://www.google.iq/maps/search/+33.2508,44.4768/@33.2508,44.4768,14z?hl=en","Maplink2")</f>
        <v>Maplink2</v>
      </c>
      <c r="AY409" s="88" t="str">
        <f>HYPERLINK("http://www.bing.com/maps/?lvl=14&amp;sty=h&amp;cp=33.2508~44.4768&amp;sp=point.33.2508_44.4768","Maplink3")</f>
        <v>Maplink3</v>
      </c>
      <c r="AZ409" s="76"/>
    </row>
    <row r="410" spans="1:52" x14ac:dyDescent="0.25">
      <c r="A410" s="86">
        <v>24011</v>
      </c>
      <c r="B410" s="87" t="s">
        <v>14</v>
      </c>
      <c r="C410" s="87" t="s">
        <v>686</v>
      </c>
      <c r="D410" s="87" t="s">
        <v>835</v>
      </c>
      <c r="E410" s="87" t="s">
        <v>836</v>
      </c>
      <c r="F410" s="87">
        <v>33.245084463799998</v>
      </c>
      <c r="G410" s="87">
        <v>44.482524724599998</v>
      </c>
      <c r="H410" s="86">
        <v>5</v>
      </c>
      <c r="I410" s="86">
        <v>30</v>
      </c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>
        <v>5</v>
      </c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>
        <v>5</v>
      </c>
      <c r="AI410" s="87"/>
      <c r="AJ410" s="87"/>
      <c r="AK410" s="87"/>
      <c r="AL410" s="87"/>
      <c r="AM410" s="87"/>
      <c r="AN410" s="87"/>
      <c r="AO410" s="87"/>
      <c r="AP410" s="87">
        <v>5</v>
      </c>
      <c r="AQ410" s="87"/>
      <c r="AR410" s="87"/>
      <c r="AS410" s="87"/>
      <c r="AT410" s="87"/>
      <c r="AU410" s="87"/>
      <c r="AV410" s="87"/>
      <c r="AW410" s="88" t="str">
        <f>HYPERLINK("http://www.openstreetmap.org/?mlat=33.2451&amp;mlon=44.4825&amp;zoom=12#map=12/33.2451/44.4825","Maplink1")</f>
        <v>Maplink1</v>
      </c>
      <c r="AX410" s="88" t="str">
        <f>HYPERLINK("https://www.google.iq/maps/search/+33.2451,44.4825/@33.2451,44.4825,14z?hl=en","Maplink2")</f>
        <v>Maplink2</v>
      </c>
      <c r="AY410" s="88" t="str">
        <f>HYPERLINK("http://www.bing.com/maps/?lvl=14&amp;sty=h&amp;cp=33.2451~44.4825&amp;sp=point.33.2451_44.4825","Maplink3")</f>
        <v>Maplink3</v>
      </c>
      <c r="AZ410" s="76"/>
    </row>
    <row r="411" spans="1:52" x14ac:dyDescent="0.25">
      <c r="A411" s="86">
        <v>24010</v>
      </c>
      <c r="B411" s="87" t="s">
        <v>14</v>
      </c>
      <c r="C411" s="87" t="s">
        <v>686</v>
      </c>
      <c r="D411" s="87" t="s">
        <v>837</v>
      </c>
      <c r="E411" s="87" t="s">
        <v>838</v>
      </c>
      <c r="F411" s="87">
        <v>33.245859352799997</v>
      </c>
      <c r="G411" s="87">
        <v>44.489113652</v>
      </c>
      <c r="H411" s="86">
        <v>6</v>
      </c>
      <c r="I411" s="86">
        <v>36</v>
      </c>
      <c r="J411" s="87">
        <v>1</v>
      </c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>
        <v>5</v>
      </c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>
        <v>6</v>
      </c>
      <c r="AI411" s="87"/>
      <c r="AJ411" s="87"/>
      <c r="AK411" s="87"/>
      <c r="AL411" s="87"/>
      <c r="AM411" s="87"/>
      <c r="AN411" s="87">
        <v>1</v>
      </c>
      <c r="AO411" s="87">
        <v>4</v>
      </c>
      <c r="AP411" s="87">
        <v>1</v>
      </c>
      <c r="AQ411" s="87"/>
      <c r="AR411" s="87"/>
      <c r="AS411" s="87"/>
      <c r="AT411" s="87"/>
      <c r="AU411" s="87"/>
      <c r="AV411" s="87"/>
      <c r="AW411" s="88" t="str">
        <f>HYPERLINK("http://www.openstreetmap.org/?mlat=33.2459&amp;mlon=44.4891&amp;zoom=12#map=12/33.2459/44.4891","Maplink1")</f>
        <v>Maplink1</v>
      </c>
      <c r="AX411" s="88" t="str">
        <f>HYPERLINK("https://www.google.iq/maps/search/+33.2459,44.4891/@33.2459,44.4891,14z?hl=en","Maplink2")</f>
        <v>Maplink2</v>
      </c>
      <c r="AY411" s="88" t="str">
        <f>HYPERLINK("http://www.bing.com/maps/?lvl=14&amp;sty=h&amp;cp=33.2459~44.4891&amp;sp=point.33.2459_44.4891","Maplink3")</f>
        <v>Maplink3</v>
      </c>
      <c r="AZ411" s="76"/>
    </row>
    <row r="412" spans="1:52" x14ac:dyDescent="0.25">
      <c r="A412" s="86">
        <v>25457</v>
      </c>
      <c r="B412" s="87" t="s">
        <v>14</v>
      </c>
      <c r="C412" s="87" t="s">
        <v>686</v>
      </c>
      <c r="D412" s="87" t="s">
        <v>839</v>
      </c>
      <c r="E412" s="87" t="s">
        <v>840</v>
      </c>
      <c r="F412" s="87">
        <v>33.241312201900001</v>
      </c>
      <c r="G412" s="87">
        <v>44.495762083599999</v>
      </c>
      <c r="H412" s="86">
        <v>6</v>
      </c>
      <c r="I412" s="86">
        <v>36</v>
      </c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>
        <v>6</v>
      </c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>
        <v>6</v>
      </c>
      <c r="AI412" s="87"/>
      <c r="AJ412" s="87"/>
      <c r="AK412" s="87"/>
      <c r="AL412" s="87"/>
      <c r="AM412" s="87"/>
      <c r="AN412" s="87"/>
      <c r="AO412" s="87"/>
      <c r="AP412" s="87">
        <v>5</v>
      </c>
      <c r="AQ412" s="87">
        <v>1</v>
      </c>
      <c r="AR412" s="87"/>
      <c r="AS412" s="87"/>
      <c r="AT412" s="87"/>
      <c r="AU412" s="87"/>
      <c r="AV412" s="87"/>
      <c r="AW412" s="88" t="str">
        <f>HYPERLINK("http://www.openstreetmap.org/?mlat=33.2413&amp;mlon=44.4958&amp;zoom=12#map=12/33.2413/44.4958","Maplink1")</f>
        <v>Maplink1</v>
      </c>
      <c r="AX412" s="88" t="str">
        <f>HYPERLINK("https://www.google.iq/maps/search/+33.2413,44.4958/@33.2413,44.4958,14z?hl=en","Maplink2")</f>
        <v>Maplink2</v>
      </c>
      <c r="AY412" s="88" t="str">
        <f>HYPERLINK("http://www.bing.com/maps/?lvl=14&amp;sty=h&amp;cp=33.2413~44.4958&amp;sp=point.33.2413_44.4958","Maplink3")</f>
        <v>Maplink3</v>
      </c>
      <c r="AZ412" s="76"/>
    </row>
    <row r="413" spans="1:52" x14ac:dyDescent="0.25">
      <c r="A413" s="86">
        <v>23977</v>
      </c>
      <c r="B413" s="87" t="s">
        <v>14</v>
      </c>
      <c r="C413" s="87" t="s">
        <v>686</v>
      </c>
      <c r="D413" s="87" t="s">
        <v>841</v>
      </c>
      <c r="E413" s="87" t="s">
        <v>842</v>
      </c>
      <c r="F413" s="87">
        <v>33.252132058299999</v>
      </c>
      <c r="G413" s="87">
        <v>44.474141690099998</v>
      </c>
      <c r="H413" s="86">
        <v>4</v>
      </c>
      <c r="I413" s="86">
        <v>24</v>
      </c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>
        <v>4</v>
      </c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>
        <v>4</v>
      </c>
      <c r="AI413" s="87"/>
      <c r="AJ413" s="87"/>
      <c r="AK413" s="87"/>
      <c r="AL413" s="87"/>
      <c r="AM413" s="87"/>
      <c r="AN413" s="87"/>
      <c r="AO413" s="87">
        <v>4</v>
      </c>
      <c r="AP413" s="87"/>
      <c r="AQ413" s="87"/>
      <c r="AR413" s="87"/>
      <c r="AS413" s="87"/>
      <c r="AT413" s="87"/>
      <c r="AU413" s="87"/>
      <c r="AV413" s="87"/>
      <c r="AW413" s="88" t="str">
        <f>HYPERLINK("http://www.openstreetmap.org/?mlat=33.2521&amp;mlon=44.4741&amp;zoom=12#map=12/33.2521/44.4741","Maplink1")</f>
        <v>Maplink1</v>
      </c>
      <c r="AX413" s="88" t="str">
        <f>HYPERLINK("https://www.google.iq/maps/search/+33.2521,44.4741/@33.2521,44.4741,14z?hl=en","Maplink2")</f>
        <v>Maplink2</v>
      </c>
      <c r="AY413" s="88" t="str">
        <f>HYPERLINK("http://www.bing.com/maps/?lvl=14&amp;sty=h&amp;cp=33.2521~44.4741&amp;sp=point.33.2521_44.4741","Maplink3")</f>
        <v>Maplink3</v>
      </c>
      <c r="AZ413" s="76"/>
    </row>
    <row r="414" spans="1:52" x14ac:dyDescent="0.25">
      <c r="A414" s="86">
        <v>23003</v>
      </c>
      <c r="B414" s="87" t="s">
        <v>14</v>
      </c>
      <c r="C414" s="87" t="s">
        <v>686</v>
      </c>
      <c r="D414" s="87" t="s">
        <v>843</v>
      </c>
      <c r="E414" s="87" t="s">
        <v>844</v>
      </c>
      <c r="F414" s="87">
        <v>33.303106207399999</v>
      </c>
      <c r="G414" s="87">
        <v>44.475158464899998</v>
      </c>
      <c r="H414" s="86">
        <v>4</v>
      </c>
      <c r="I414" s="86">
        <v>24</v>
      </c>
      <c r="J414" s="87"/>
      <c r="K414" s="87"/>
      <c r="L414" s="87"/>
      <c r="M414" s="87"/>
      <c r="N414" s="87"/>
      <c r="O414" s="87"/>
      <c r="P414" s="87"/>
      <c r="Q414" s="87"/>
      <c r="R414" s="87">
        <v>2</v>
      </c>
      <c r="S414" s="87"/>
      <c r="T414" s="87"/>
      <c r="U414" s="87"/>
      <c r="V414" s="87">
        <v>2</v>
      </c>
      <c r="W414" s="87"/>
      <c r="X414" s="87"/>
      <c r="Y414" s="87"/>
      <c r="Z414" s="87"/>
      <c r="AA414" s="87"/>
      <c r="AB414" s="87"/>
      <c r="AC414" s="87">
        <v>2</v>
      </c>
      <c r="AD414" s="87"/>
      <c r="AE414" s="87"/>
      <c r="AF414" s="87"/>
      <c r="AG414" s="87"/>
      <c r="AH414" s="87">
        <v>2</v>
      </c>
      <c r="AI414" s="87"/>
      <c r="AJ414" s="87"/>
      <c r="AK414" s="87"/>
      <c r="AL414" s="87"/>
      <c r="AM414" s="87"/>
      <c r="AN414" s="87"/>
      <c r="AO414" s="87"/>
      <c r="AP414" s="87">
        <v>1</v>
      </c>
      <c r="AQ414" s="87">
        <v>3</v>
      </c>
      <c r="AR414" s="87"/>
      <c r="AS414" s="87"/>
      <c r="AT414" s="87"/>
      <c r="AU414" s="87"/>
      <c r="AV414" s="87"/>
      <c r="AW414" s="88" t="str">
        <f>HYPERLINK("http://www.openstreetmap.org/?mlat=33.3031&amp;mlon=44.4752&amp;zoom=12#map=12/33.3031/44.4752","Maplink1")</f>
        <v>Maplink1</v>
      </c>
      <c r="AX414" s="88" t="str">
        <f>HYPERLINK("https://www.google.iq/maps/search/+33.3031,44.4752/@33.3031,44.4752,14z?hl=en","Maplink2")</f>
        <v>Maplink2</v>
      </c>
      <c r="AY414" s="88" t="str">
        <f>HYPERLINK("http://www.bing.com/maps/?lvl=14&amp;sty=h&amp;cp=33.3031~44.4752&amp;sp=point.33.3031_44.4752","Maplink3")</f>
        <v>Maplink3</v>
      </c>
      <c r="AZ414" s="76"/>
    </row>
    <row r="415" spans="1:52" x14ac:dyDescent="0.25">
      <c r="A415" s="86">
        <v>23004</v>
      </c>
      <c r="B415" s="87" t="s">
        <v>14</v>
      </c>
      <c r="C415" s="87" t="s">
        <v>686</v>
      </c>
      <c r="D415" s="87" t="s">
        <v>845</v>
      </c>
      <c r="E415" s="87" t="s">
        <v>846</v>
      </c>
      <c r="F415" s="87">
        <v>33.302029890599997</v>
      </c>
      <c r="G415" s="87">
        <v>44.488508836900003</v>
      </c>
      <c r="H415" s="86">
        <v>6</v>
      </c>
      <c r="I415" s="86">
        <v>36</v>
      </c>
      <c r="J415" s="87">
        <v>2</v>
      </c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>
        <v>4</v>
      </c>
      <c r="W415" s="87"/>
      <c r="X415" s="87"/>
      <c r="Y415" s="87"/>
      <c r="Z415" s="87"/>
      <c r="AA415" s="87"/>
      <c r="AB415" s="87"/>
      <c r="AC415" s="87">
        <v>2</v>
      </c>
      <c r="AD415" s="87"/>
      <c r="AE415" s="87"/>
      <c r="AF415" s="87"/>
      <c r="AG415" s="87"/>
      <c r="AH415" s="87">
        <v>4</v>
      </c>
      <c r="AI415" s="87"/>
      <c r="AJ415" s="87"/>
      <c r="AK415" s="87"/>
      <c r="AL415" s="87"/>
      <c r="AM415" s="87"/>
      <c r="AN415" s="87">
        <v>2</v>
      </c>
      <c r="AO415" s="87"/>
      <c r="AP415" s="87"/>
      <c r="AQ415" s="87">
        <v>4</v>
      </c>
      <c r="AR415" s="87"/>
      <c r="AS415" s="87"/>
      <c r="AT415" s="87"/>
      <c r="AU415" s="87"/>
      <c r="AV415" s="87"/>
      <c r="AW415" s="88" t="str">
        <f>HYPERLINK("http://www.openstreetmap.org/?mlat=33.302&amp;mlon=44.4885&amp;zoom=12#map=12/33.302/44.4885","Maplink1")</f>
        <v>Maplink1</v>
      </c>
      <c r="AX415" s="88" t="str">
        <f>HYPERLINK("https://www.google.iq/maps/search/+33.302,44.4885/@33.302,44.4885,14z?hl=en","Maplink2")</f>
        <v>Maplink2</v>
      </c>
      <c r="AY415" s="88" t="str">
        <f>HYPERLINK("http://www.bing.com/maps/?lvl=14&amp;sty=h&amp;cp=33.302~44.4885&amp;sp=point.33.302_44.4885","Maplink3")</f>
        <v>Maplink3</v>
      </c>
      <c r="AZ415" s="76"/>
    </row>
    <row r="416" spans="1:52" x14ac:dyDescent="0.25">
      <c r="A416" s="86">
        <v>24672</v>
      </c>
      <c r="B416" s="87" t="s">
        <v>14</v>
      </c>
      <c r="C416" s="87" t="s">
        <v>686</v>
      </c>
      <c r="D416" s="87" t="s">
        <v>847</v>
      </c>
      <c r="E416" s="87" t="s">
        <v>848</v>
      </c>
      <c r="F416" s="87">
        <v>33.298638586300001</v>
      </c>
      <c r="G416" s="87">
        <v>44.500912693099998</v>
      </c>
      <c r="H416" s="86">
        <v>5</v>
      </c>
      <c r="I416" s="86">
        <v>30</v>
      </c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>
        <v>5</v>
      </c>
      <c r="W416" s="87"/>
      <c r="X416" s="87"/>
      <c r="Y416" s="87"/>
      <c r="Z416" s="87"/>
      <c r="AA416" s="87"/>
      <c r="AB416" s="87"/>
      <c r="AC416" s="87">
        <v>2</v>
      </c>
      <c r="AD416" s="87"/>
      <c r="AE416" s="87"/>
      <c r="AF416" s="87"/>
      <c r="AG416" s="87"/>
      <c r="AH416" s="87">
        <v>3</v>
      </c>
      <c r="AI416" s="87"/>
      <c r="AJ416" s="87"/>
      <c r="AK416" s="87"/>
      <c r="AL416" s="87"/>
      <c r="AM416" s="87"/>
      <c r="AN416" s="87"/>
      <c r="AO416" s="87"/>
      <c r="AP416" s="87">
        <v>5</v>
      </c>
      <c r="AQ416" s="87"/>
      <c r="AR416" s="87"/>
      <c r="AS416" s="87"/>
      <c r="AT416" s="87"/>
      <c r="AU416" s="87"/>
      <c r="AV416" s="87"/>
      <c r="AW416" s="88" t="str">
        <f>HYPERLINK("http://www.openstreetmap.org/?mlat=33.2986&amp;mlon=44.5009&amp;zoom=12#map=12/33.2986/44.5009","Maplink1")</f>
        <v>Maplink1</v>
      </c>
      <c r="AX416" s="88" t="str">
        <f>HYPERLINK("https://www.google.iq/maps/search/+33.2986,44.5009/@33.2986,44.5009,14z?hl=en","Maplink2")</f>
        <v>Maplink2</v>
      </c>
      <c r="AY416" s="88" t="str">
        <f>HYPERLINK("http://www.bing.com/maps/?lvl=14&amp;sty=h&amp;cp=33.2986~44.5009&amp;sp=point.33.2986_44.5009","Maplink3")</f>
        <v>Maplink3</v>
      </c>
      <c r="AZ416" s="76"/>
    </row>
    <row r="417" spans="1:52" x14ac:dyDescent="0.25">
      <c r="A417" s="86">
        <v>24025</v>
      </c>
      <c r="B417" s="87" t="s">
        <v>14</v>
      </c>
      <c r="C417" s="87" t="s">
        <v>686</v>
      </c>
      <c r="D417" s="87" t="s">
        <v>849</v>
      </c>
      <c r="E417" s="87" t="s">
        <v>850</v>
      </c>
      <c r="F417" s="87">
        <v>33.305785066299997</v>
      </c>
      <c r="G417" s="87">
        <v>44.477300983399999</v>
      </c>
      <c r="H417" s="86">
        <v>6</v>
      </c>
      <c r="I417" s="86">
        <v>36</v>
      </c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>
        <v>6</v>
      </c>
      <c r="W417" s="87"/>
      <c r="X417" s="87"/>
      <c r="Y417" s="87"/>
      <c r="Z417" s="87"/>
      <c r="AA417" s="87"/>
      <c r="AB417" s="87"/>
      <c r="AC417" s="87">
        <v>3</v>
      </c>
      <c r="AD417" s="87"/>
      <c r="AE417" s="87"/>
      <c r="AF417" s="87"/>
      <c r="AG417" s="87"/>
      <c r="AH417" s="87">
        <v>3</v>
      </c>
      <c r="AI417" s="87"/>
      <c r="AJ417" s="87"/>
      <c r="AK417" s="87"/>
      <c r="AL417" s="87"/>
      <c r="AM417" s="87"/>
      <c r="AN417" s="87">
        <v>1</v>
      </c>
      <c r="AO417" s="87">
        <v>3</v>
      </c>
      <c r="AP417" s="87"/>
      <c r="AQ417" s="87"/>
      <c r="AR417" s="87"/>
      <c r="AS417" s="87"/>
      <c r="AT417" s="87">
        <v>2</v>
      </c>
      <c r="AU417" s="87"/>
      <c r="AV417" s="87"/>
      <c r="AW417" s="88" t="str">
        <f>HYPERLINK("http://www.openstreetmap.org/?mlat=33.3058&amp;mlon=44.4773&amp;zoom=12#map=12/33.3058/44.4773","Maplink1")</f>
        <v>Maplink1</v>
      </c>
      <c r="AX417" s="88" t="str">
        <f>HYPERLINK("https://www.google.iq/maps/search/+33.3058,44.4773/@33.3058,44.4773,14z?hl=en","Maplink2")</f>
        <v>Maplink2</v>
      </c>
      <c r="AY417" s="88" t="str">
        <f>HYPERLINK("http://www.bing.com/maps/?lvl=14&amp;sty=h&amp;cp=33.3058~44.4773&amp;sp=point.33.3058_44.4773","Maplink3")</f>
        <v>Maplink3</v>
      </c>
      <c r="AZ417" s="76"/>
    </row>
    <row r="418" spans="1:52" x14ac:dyDescent="0.25">
      <c r="A418" s="86">
        <v>24026</v>
      </c>
      <c r="B418" s="87" t="s">
        <v>14</v>
      </c>
      <c r="C418" s="87" t="s">
        <v>686</v>
      </c>
      <c r="D418" s="87" t="s">
        <v>851</v>
      </c>
      <c r="E418" s="87" t="s">
        <v>852</v>
      </c>
      <c r="F418" s="87">
        <v>33.305380215200003</v>
      </c>
      <c r="G418" s="87">
        <v>44.477099228699998</v>
      </c>
      <c r="H418" s="86">
        <v>6</v>
      </c>
      <c r="I418" s="86">
        <v>36</v>
      </c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>
        <v>6</v>
      </c>
      <c r="W418" s="87"/>
      <c r="X418" s="87"/>
      <c r="Y418" s="87"/>
      <c r="Z418" s="87"/>
      <c r="AA418" s="87"/>
      <c r="AB418" s="87"/>
      <c r="AC418" s="87">
        <v>2</v>
      </c>
      <c r="AD418" s="87"/>
      <c r="AE418" s="87"/>
      <c r="AF418" s="87"/>
      <c r="AG418" s="87"/>
      <c r="AH418" s="87">
        <v>4</v>
      </c>
      <c r="AI418" s="87"/>
      <c r="AJ418" s="87"/>
      <c r="AK418" s="87"/>
      <c r="AL418" s="87"/>
      <c r="AM418" s="87"/>
      <c r="AN418" s="87"/>
      <c r="AO418" s="87">
        <v>1</v>
      </c>
      <c r="AP418" s="87">
        <v>3</v>
      </c>
      <c r="AQ418" s="87"/>
      <c r="AR418" s="87">
        <v>2</v>
      </c>
      <c r="AS418" s="87"/>
      <c r="AT418" s="87"/>
      <c r="AU418" s="87"/>
      <c r="AV418" s="87"/>
      <c r="AW418" s="88" t="str">
        <f>HYPERLINK("http://www.openstreetmap.org/?mlat=33.3054&amp;mlon=44.4771&amp;zoom=12#map=12/33.3054/44.4771","Maplink1")</f>
        <v>Maplink1</v>
      </c>
      <c r="AX418" s="88" t="str">
        <f>HYPERLINK("https://www.google.iq/maps/search/+33.3054,44.4771/@33.3054,44.4771,14z?hl=en","Maplink2")</f>
        <v>Maplink2</v>
      </c>
      <c r="AY418" s="88" t="str">
        <f>HYPERLINK("http://www.bing.com/maps/?lvl=14&amp;sty=h&amp;cp=33.3054~44.4771&amp;sp=point.33.3054_44.4771","Maplink3")</f>
        <v>Maplink3</v>
      </c>
      <c r="AZ418" s="76"/>
    </row>
    <row r="419" spans="1:52" x14ac:dyDescent="0.25">
      <c r="A419" s="86">
        <v>23504</v>
      </c>
      <c r="B419" s="87" t="s">
        <v>14</v>
      </c>
      <c r="C419" s="87" t="s">
        <v>686</v>
      </c>
      <c r="D419" s="87" t="s">
        <v>853</v>
      </c>
      <c r="E419" s="87" t="s">
        <v>854</v>
      </c>
      <c r="F419" s="87">
        <v>33.304036955599997</v>
      </c>
      <c r="G419" s="87">
        <v>44.490143880799998</v>
      </c>
      <c r="H419" s="86">
        <v>5</v>
      </c>
      <c r="I419" s="86">
        <v>30</v>
      </c>
      <c r="J419" s="87"/>
      <c r="K419" s="87"/>
      <c r="L419" s="87"/>
      <c r="M419" s="87"/>
      <c r="N419" s="87"/>
      <c r="O419" s="87">
        <v>1</v>
      </c>
      <c r="P419" s="87"/>
      <c r="Q419" s="87"/>
      <c r="R419" s="87"/>
      <c r="S419" s="87"/>
      <c r="T419" s="87"/>
      <c r="U419" s="87"/>
      <c r="V419" s="87">
        <v>2</v>
      </c>
      <c r="W419" s="87"/>
      <c r="X419" s="87">
        <v>2</v>
      </c>
      <c r="Y419" s="87"/>
      <c r="Z419" s="87"/>
      <c r="AA419" s="87"/>
      <c r="AB419" s="87"/>
      <c r="AC419" s="87">
        <v>2</v>
      </c>
      <c r="AD419" s="87"/>
      <c r="AE419" s="87"/>
      <c r="AF419" s="87"/>
      <c r="AG419" s="87"/>
      <c r="AH419" s="87">
        <v>3</v>
      </c>
      <c r="AI419" s="87"/>
      <c r="AJ419" s="87"/>
      <c r="AK419" s="87"/>
      <c r="AL419" s="87"/>
      <c r="AM419" s="87"/>
      <c r="AN419" s="87"/>
      <c r="AO419" s="87">
        <v>2</v>
      </c>
      <c r="AP419" s="87">
        <v>1</v>
      </c>
      <c r="AQ419" s="87"/>
      <c r="AR419" s="87"/>
      <c r="AS419" s="87"/>
      <c r="AT419" s="87"/>
      <c r="AU419" s="87">
        <v>2</v>
      </c>
      <c r="AV419" s="87"/>
      <c r="AW419" s="88" t="str">
        <f>HYPERLINK("http://www.openstreetmap.org/?mlat=33.304&amp;mlon=44.4901&amp;zoom=12#map=12/33.304/44.4901","Maplink1")</f>
        <v>Maplink1</v>
      </c>
      <c r="AX419" s="88" t="str">
        <f>HYPERLINK("https://www.google.iq/maps/search/+33.304,44.4901/@33.304,44.4901,14z?hl=en","Maplink2")</f>
        <v>Maplink2</v>
      </c>
      <c r="AY419" s="88" t="str">
        <f>HYPERLINK("http://www.bing.com/maps/?lvl=14&amp;sty=h&amp;cp=33.304~44.4901&amp;sp=point.33.304_44.4901","Maplink3")</f>
        <v>Maplink3</v>
      </c>
      <c r="AZ419" s="76"/>
    </row>
    <row r="420" spans="1:52" x14ac:dyDescent="0.25">
      <c r="A420" s="86">
        <v>24698</v>
      </c>
      <c r="B420" s="87" t="s">
        <v>14</v>
      </c>
      <c r="C420" s="87" t="s">
        <v>686</v>
      </c>
      <c r="D420" s="87" t="s">
        <v>855</v>
      </c>
      <c r="E420" s="87" t="s">
        <v>856</v>
      </c>
      <c r="F420" s="87">
        <v>33.3046131722</v>
      </c>
      <c r="G420" s="87">
        <v>44.4927837416</v>
      </c>
      <c r="H420" s="86">
        <v>6</v>
      </c>
      <c r="I420" s="86">
        <v>36</v>
      </c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>
        <v>6</v>
      </c>
      <c r="W420" s="87"/>
      <c r="X420" s="87"/>
      <c r="Y420" s="87"/>
      <c r="Z420" s="87"/>
      <c r="AA420" s="87"/>
      <c r="AB420" s="87"/>
      <c r="AC420" s="87">
        <v>2</v>
      </c>
      <c r="AD420" s="87"/>
      <c r="AE420" s="87"/>
      <c r="AF420" s="87"/>
      <c r="AG420" s="87"/>
      <c r="AH420" s="87">
        <v>4</v>
      </c>
      <c r="AI420" s="87"/>
      <c r="AJ420" s="87"/>
      <c r="AK420" s="87"/>
      <c r="AL420" s="87"/>
      <c r="AM420" s="87"/>
      <c r="AN420" s="87"/>
      <c r="AO420" s="87">
        <v>2</v>
      </c>
      <c r="AP420" s="87"/>
      <c r="AQ420" s="87">
        <v>4</v>
      </c>
      <c r="AR420" s="87"/>
      <c r="AS420" s="87"/>
      <c r="AT420" s="87"/>
      <c r="AU420" s="87"/>
      <c r="AV420" s="87"/>
      <c r="AW420" s="88" t="str">
        <f>HYPERLINK("http://www.openstreetmap.org/?mlat=33.3046&amp;mlon=44.4928&amp;zoom=12#map=12/33.3046/44.4928","Maplink1")</f>
        <v>Maplink1</v>
      </c>
      <c r="AX420" s="88" t="str">
        <f>HYPERLINK("https://www.google.iq/maps/search/+33.3046,44.4928/@33.3046,44.4928,14z?hl=en","Maplink2")</f>
        <v>Maplink2</v>
      </c>
      <c r="AY420" s="88" t="str">
        <f>HYPERLINK("http://www.bing.com/maps/?lvl=14&amp;sty=h&amp;cp=33.3046~44.4928&amp;sp=point.33.3046_44.4928","Maplink3")</f>
        <v>Maplink3</v>
      </c>
      <c r="AZ420" s="76"/>
    </row>
    <row r="421" spans="1:52" x14ac:dyDescent="0.25">
      <c r="A421" s="86">
        <v>24027</v>
      </c>
      <c r="B421" s="87" t="s">
        <v>14</v>
      </c>
      <c r="C421" s="87" t="s">
        <v>686</v>
      </c>
      <c r="D421" s="87" t="s">
        <v>857</v>
      </c>
      <c r="E421" s="87" t="s">
        <v>858</v>
      </c>
      <c r="F421" s="87">
        <v>33.312710097</v>
      </c>
      <c r="G421" s="87">
        <v>44.488226599299999</v>
      </c>
      <c r="H421" s="86">
        <v>6</v>
      </c>
      <c r="I421" s="86">
        <v>36</v>
      </c>
      <c r="J421" s="87"/>
      <c r="K421" s="87"/>
      <c r="L421" s="87"/>
      <c r="M421" s="87"/>
      <c r="N421" s="87"/>
      <c r="O421" s="87">
        <v>1</v>
      </c>
      <c r="P421" s="87"/>
      <c r="Q421" s="87"/>
      <c r="R421" s="87"/>
      <c r="S421" s="87"/>
      <c r="T421" s="87"/>
      <c r="U421" s="87"/>
      <c r="V421" s="87">
        <v>5</v>
      </c>
      <c r="W421" s="87"/>
      <c r="X421" s="87"/>
      <c r="Y421" s="87"/>
      <c r="Z421" s="87"/>
      <c r="AA421" s="87"/>
      <c r="AB421" s="87"/>
      <c r="AC421" s="87">
        <v>4</v>
      </c>
      <c r="AD421" s="87"/>
      <c r="AE421" s="87"/>
      <c r="AF421" s="87"/>
      <c r="AG421" s="87"/>
      <c r="AH421" s="87">
        <v>2</v>
      </c>
      <c r="AI421" s="87"/>
      <c r="AJ421" s="87"/>
      <c r="AK421" s="87"/>
      <c r="AL421" s="87"/>
      <c r="AM421" s="87"/>
      <c r="AN421" s="87"/>
      <c r="AO421" s="87">
        <v>6</v>
      </c>
      <c r="AP421" s="87"/>
      <c r="AQ421" s="87"/>
      <c r="AR421" s="87"/>
      <c r="AS421" s="87"/>
      <c r="AT421" s="87"/>
      <c r="AU421" s="87"/>
      <c r="AV421" s="87"/>
      <c r="AW421" s="88" t="str">
        <f>HYPERLINK("http://www.openstreetmap.org/?mlat=33.3127&amp;mlon=44.4882&amp;zoom=12#map=12/33.3127/44.4882","Maplink1")</f>
        <v>Maplink1</v>
      </c>
      <c r="AX421" s="88" t="str">
        <f>HYPERLINK("https://www.google.iq/maps/search/+33.3127,44.4882/@33.3127,44.4882,14z?hl=en","Maplink2")</f>
        <v>Maplink2</v>
      </c>
      <c r="AY421" s="88" t="str">
        <f>HYPERLINK("http://www.bing.com/maps/?lvl=14&amp;sty=h&amp;cp=33.3127~44.4882&amp;sp=point.33.3127_44.4882","Maplink3")</f>
        <v>Maplink3</v>
      </c>
      <c r="AZ421" s="76"/>
    </row>
    <row r="422" spans="1:52" x14ac:dyDescent="0.25">
      <c r="A422" s="86">
        <v>25156</v>
      </c>
      <c r="B422" s="87" t="s">
        <v>14</v>
      </c>
      <c r="C422" s="87" t="s">
        <v>686</v>
      </c>
      <c r="D422" s="87" t="s">
        <v>859</v>
      </c>
      <c r="E422" s="87" t="s">
        <v>860</v>
      </c>
      <c r="F422" s="87">
        <v>33.311140905999999</v>
      </c>
      <c r="G422" s="87">
        <v>44.479646950300001</v>
      </c>
      <c r="H422" s="86">
        <v>5</v>
      </c>
      <c r="I422" s="86">
        <v>30</v>
      </c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>
        <v>4</v>
      </c>
      <c r="W422" s="87"/>
      <c r="X422" s="87">
        <v>1</v>
      </c>
      <c r="Y422" s="87"/>
      <c r="Z422" s="87"/>
      <c r="AA422" s="87"/>
      <c r="AB422" s="87"/>
      <c r="AC422" s="87"/>
      <c r="AD422" s="87"/>
      <c r="AE422" s="87"/>
      <c r="AF422" s="87"/>
      <c r="AG422" s="87"/>
      <c r="AH422" s="87">
        <v>5</v>
      </c>
      <c r="AI422" s="87"/>
      <c r="AJ422" s="87"/>
      <c r="AK422" s="87"/>
      <c r="AL422" s="87"/>
      <c r="AM422" s="87"/>
      <c r="AN422" s="87"/>
      <c r="AO422" s="87"/>
      <c r="AP422" s="87">
        <v>5</v>
      </c>
      <c r="AQ422" s="87"/>
      <c r="AR422" s="87"/>
      <c r="AS422" s="87"/>
      <c r="AT422" s="87"/>
      <c r="AU422" s="87"/>
      <c r="AV422" s="87"/>
      <c r="AW422" s="88" t="str">
        <f>HYPERLINK("http://www.openstreetmap.org/?mlat=33.3111&amp;mlon=44.4796&amp;zoom=12#map=12/33.3111/44.4796","Maplink1")</f>
        <v>Maplink1</v>
      </c>
      <c r="AX422" s="88" t="str">
        <f>HYPERLINK("https://www.google.iq/maps/search/+33.3111,44.4796/@33.3111,44.4796,14z?hl=en","Maplink2")</f>
        <v>Maplink2</v>
      </c>
      <c r="AY422" s="88" t="str">
        <f>HYPERLINK("http://www.bing.com/maps/?lvl=14&amp;sty=h&amp;cp=33.3111~44.4796&amp;sp=point.33.3111_44.4796","Maplink3")</f>
        <v>Maplink3</v>
      </c>
      <c r="AZ422" s="76"/>
    </row>
    <row r="423" spans="1:52" x14ac:dyDescent="0.25">
      <c r="A423" s="86">
        <v>24015</v>
      </c>
      <c r="B423" s="87" t="s">
        <v>14</v>
      </c>
      <c r="C423" s="87" t="s">
        <v>686</v>
      </c>
      <c r="D423" s="87" t="s">
        <v>861</v>
      </c>
      <c r="E423" s="87" t="s">
        <v>862</v>
      </c>
      <c r="F423" s="87">
        <v>33.271810899000002</v>
      </c>
      <c r="G423" s="87">
        <v>44.512757645599997</v>
      </c>
      <c r="H423" s="86">
        <v>3</v>
      </c>
      <c r="I423" s="86">
        <v>18</v>
      </c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>
        <v>3</v>
      </c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>
        <v>3</v>
      </c>
      <c r="AI423" s="87"/>
      <c r="AJ423" s="87"/>
      <c r="AK423" s="87"/>
      <c r="AL423" s="87"/>
      <c r="AM423" s="87"/>
      <c r="AN423" s="87"/>
      <c r="AO423" s="87"/>
      <c r="AP423" s="87"/>
      <c r="AQ423" s="87">
        <v>3</v>
      </c>
      <c r="AR423" s="87"/>
      <c r="AS423" s="87"/>
      <c r="AT423" s="87"/>
      <c r="AU423" s="87"/>
      <c r="AV423" s="87"/>
      <c r="AW423" s="88" t="str">
        <f>HYPERLINK("http://www.openstreetmap.org/?mlat=33.2718&amp;mlon=44.5128&amp;zoom=12#map=12/33.2718/44.5128","Maplink1")</f>
        <v>Maplink1</v>
      </c>
      <c r="AX423" s="88" t="str">
        <f>HYPERLINK("https://www.google.iq/maps/search/+33.2718,44.5128/@33.2718,44.5128,14z?hl=en","Maplink2")</f>
        <v>Maplink2</v>
      </c>
      <c r="AY423" s="88" t="str">
        <f>HYPERLINK("http://www.bing.com/maps/?lvl=14&amp;sty=h&amp;cp=33.2718~44.5128&amp;sp=point.33.2718_44.5128","Maplink3")</f>
        <v>Maplink3</v>
      </c>
      <c r="AZ423" s="76"/>
    </row>
    <row r="424" spans="1:52" x14ac:dyDescent="0.25">
      <c r="A424" s="86">
        <v>22616</v>
      </c>
      <c r="B424" s="87" t="s">
        <v>14</v>
      </c>
      <c r="C424" s="87" t="s">
        <v>686</v>
      </c>
      <c r="D424" s="87" t="s">
        <v>863</v>
      </c>
      <c r="E424" s="87" t="s">
        <v>864</v>
      </c>
      <c r="F424" s="87">
        <v>33.266290276699998</v>
      </c>
      <c r="G424" s="87">
        <v>44.490334430499999</v>
      </c>
      <c r="H424" s="86">
        <v>4</v>
      </c>
      <c r="I424" s="86">
        <v>24</v>
      </c>
      <c r="J424" s="87"/>
      <c r="K424" s="87"/>
      <c r="L424" s="87"/>
      <c r="M424" s="87"/>
      <c r="N424" s="87"/>
      <c r="O424" s="87">
        <v>2</v>
      </c>
      <c r="P424" s="87"/>
      <c r="Q424" s="87"/>
      <c r="R424" s="87"/>
      <c r="S424" s="87"/>
      <c r="T424" s="87"/>
      <c r="U424" s="87"/>
      <c r="V424" s="87">
        <v>2</v>
      </c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>
        <v>4</v>
      </c>
      <c r="AI424" s="87"/>
      <c r="AJ424" s="87"/>
      <c r="AK424" s="87"/>
      <c r="AL424" s="87"/>
      <c r="AM424" s="87"/>
      <c r="AN424" s="87"/>
      <c r="AO424" s="87"/>
      <c r="AP424" s="87"/>
      <c r="AQ424" s="87">
        <v>4</v>
      </c>
      <c r="AR424" s="87"/>
      <c r="AS424" s="87"/>
      <c r="AT424" s="87"/>
      <c r="AU424" s="87"/>
      <c r="AV424" s="87"/>
      <c r="AW424" s="88" t="str">
        <f>HYPERLINK("http://www.openstreetmap.org/?mlat=33.2663&amp;mlon=44.4903&amp;zoom=12#map=12/33.2663/44.4903","Maplink1")</f>
        <v>Maplink1</v>
      </c>
      <c r="AX424" s="88" t="str">
        <f>HYPERLINK("https://www.google.iq/maps/search/+33.2663,44.4903/@33.2663,44.4903,14z?hl=en","Maplink2")</f>
        <v>Maplink2</v>
      </c>
      <c r="AY424" s="88" t="str">
        <f>HYPERLINK("http://www.bing.com/maps/?lvl=14&amp;sty=h&amp;cp=33.2663~44.4903&amp;sp=point.33.2663_44.4903","Maplink3")</f>
        <v>Maplink3</v>
      </c>
      <c r="AZ424" s="76"/>
    </row>
    <row r="425" spans="1:52" x14ac:dyDescent="0.25">
      <c r="A425" s="86">
        <v>22140</v>
      </c>
      <c r="B425" s="87" t="s">
        <v>14</v>
      </c>
      <c r="C425" s="87" t="s">
        <v>686</v>
      </c>
      <c r="D425" s="87" t="s">
        <v>865</v>
      </c>
      <c r="E425" s="87" t="s">
        <v>866</v>
      </c>
      <c r="F425" s="87">
        <v>33.264072133100001</v>
      </c>
      <c r="G425" s="87">
        <v>44.500386172500001</v>
      </c>
      <c r="H425" s="86">
        <v>3</v>
      </c>
      <c r="I425" s="86">
        <v>18</v>
      </c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>
        <v>3</v>
      </c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>
        <v>3</v>
      </c>
      <c r="AI425" s="87"/>
      <c r="AJ425" s="87"/>
      <c r="AK425" s="87"/>
      <c r="AL425" s="87"/>
      <c r="AM425" s="87"/>
      <c r="AN425" s="87"/>
      <c r="AO425" s="87"/>
      <c r="AP425" s="87">
        <v>3</v>
      </c>
      <c r="AQ425" s="87"/>
      <c r="AR425" s="87"/>
      <c r="AS425" s="87"/>
      <c r="AT425" s="87"/>
      <c r="AU425" s="87"/>
      <c r="AV425" s="87"/>
      <c r="AW425" s="88" t="str">
        <f>HYPERLINK("http://www.openstreetmap.org/?mlat=33.2641&amp;mlon=44.5004&amp;zoom=12#map=12/33.2641/44.5004","Maplink1")</f>
        <v>Maplink1</v>
      </c>
      <c r="AX425" s="88" t="str">
        <f>HYPERLINK("https://www.google.iq/maps/search/+33.2641,44.5004/@33.2641,44.5004,14z?hl=en","Maplink2")</f>
        <v>Maplink2</v>
      </c>
      <c r="AY425" s="88" t="str">
        <f>HYPERLINK("http://www.bing.com/maps/?lvl=14&amp;sty=h&amp;cp=33.2641~44.5004&amp;sp=point.33.2641_44.5004","Maplink3")</f>
        <v>Maplink3</v>
      </c>
      <c r="AZ425" s="76"/>
    </row>
    <row r="426" spans="1:52" x14ac:dyDescent="0.25">
      <c r="A426" s="86">
        <v>24623</v>
      </c>
      <c r="B426" s="87" t="s">
        <v>14</v>
      </c>
      <c r="C426" s="87" t="s">
        <v>686</v>
      </c>
      <c r="D426" s="87" t="s">
        <v>867</v>
      </c>
      <c r="E426" s="87" t="s">
        <v>868</v>
      </c>
      <c r="F426" s="87">
        <v>33.264879546899998</v>
      </c>
      <c r="G426" s="87">
        <v>44.492136768400002</v>
      </c>
      <c r="H426" s="86">
        <v>5</v>
      </c>
      <c r="I426" s="86">
        <v>30</v>
      </c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>
        <v>5</v>
      </c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>
        <v>5</v>
      </c>
      <c r="AI426" s="87"/>
      <c r="AJ426" s="87"/>
      <c r="AK426" s="87"/>
      <c r="AL426" s="87"/>
      <c r="AM426" s="87"/>
      <c r="AN426" s="87"/>
      <c r="AO426" s="87"/>
      <c r="AP426" s="87">
        <v>5</v>
      </c>
      <c r="AQ426" s="87"/>
      <c r="AR426" s="87"/>
      <c r="AS426" s="87"/>
      <c r="AT426" s="87"/>
      <c r="AU426" s="87"/>
      <c r="AV426" s="87"/>
      <c r="AW426" s="88" t="str">
        <f>HYPERLINK("http://www.openstreetmap.org/?mlat=33.2649&amp;mlon=44.4921&amp;zoom=12#map=12/33.2649/44.4921","Maplink1")</f>
        <v>Maplink1</v>
      </c>
      <c r="AX426" s="88" t="str">
        <f>HYPERLINK("https://www.google.iq/maps/search/+33.2649,44.4921/@33.2649,44.4921,14z?hl=en","Maplink2")</f>
        <v>Maplink2</v>
      </c>
      <c r="AY426" s="88" t="str">
        <f>HYPERLINK("http://www.bing.com/maps/?lvl=14&amp;sty=h&amp;cp=33.2649~44.4921&amp;sp=point.33.2649_44.4921","Maplink3")</f>
        <v>Maplink3</v>
      </c>
      <c r="AZ426" s="76"/>
    </row>
    <row r="427" spans="1:52" x14ac:dyDescent="0.25">
      <c r="A427" s="86">
        <v>22248</v>
      </c>
      <c r="B427" s="87" t="s">
        <v>14</v>
      </c>
      <c r="C427" s="87" t="s">
        <v>686</v>
      </c>
      <c r="D427" s="87" t="s">
        <v>869</v>
      </c>
      <c r="E427" s="87" t="s">
        <v>870</v>
      </c>
      <c r="F427" s="87">
        <v>33.2620980015</v>
      </c>
      <c r="G427" s="87">
        <v>44.493115952300002</v>
      </c>
      <c r="H427" s="86">
        <v>3</v>
      </c>
      <c r="I427" s="86">
        <v>18</v>
      </c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>
        <v>3</v>
      </c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>
        <v>3</v>
      </c>
      <c r="AI427" s="87"/>
      <c r="AJ427" s="87"/>
      <c r="AK427" s="87"/>
      <c r="AL427" s="87"/>
      <c r="AM427" s="87"/>
      <c r="AN427" s="87">
        <v>1</v>
      </c>
      <c r="AO427" s="87"/>
      <c r="AP427" s="87">
        <v>2</v>
      </c>
      <c r="AQ427" s="87"/>
      <c r="AR427" s="87"/>
      <c r="AS427" s="87"/>
      <c r="AT427" s="87"/>
      <c r="AU427" s="87"/>
      <c r="AV427" s="87"/>
      <c r="AW427" s="88" t="str">
        <f>HYPERLINK("http://www.openstreetmap.org/?mlat=33.2621&amp;mlon=44.4931&amp;zoom=12#map=12/33.2621/44.4931","Maplink1")</f>
        <v>Maplink1</v>
      </c>
      <c r="AX427" s="88" t="str">
        <f>HYPERLINK("https://www.google.iq/maps/search/+33.2621,44.4931/@33.2621,44.4931,14z?hl=en","Maplink2")</f>
        <v>Maplink2</v>
      </c>
      <c r="AY427" s="88" t="str">
        <f>HYPERLINK("http://www.bing.com/maps/?lvl=14&amp;sty=h&amp;cp=33.2621~44.4931&amp;sp=point.33.2621_44.4931","Maplink3")</f>
        <v>Maplink3</v>
      </c>
      <c r="AZ427" s="76"/>
    </row>
    <row r="428" spans="1:52" x14ac:dyDescent="0.25">
      <c r="A428" s="86">
        <v>25407</v>
      </c>
      <c r="B428" s="87" t="s">
        <v>14</v>
      </c>
      <c r="C428" s="87" t="s">
        <v>686</v>
      </c>
      <c r="D428" s="87" t="s">
        <v>871</v>
      </c>
      <c r="E428" s="87" t="s">
        <v>872</v>
      </c>
      <c r="F428" s="87">
        <v>33.2544557907</v>
      </c>
      <c r="G428" s="87">
        <v>44.497461230600003</v>
      </c>
      <c r="H428" s="86">
        <v>4</v>
      </c>
      <c r="I428" s="86">
        <v>24</v>
      </c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>
        <v>4</v>
      </c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>
        <v>4</v>
      </c>
      <c r="AI428" s="87"/>
      <c r="AJ428" s="87"/>
      <c r="AK428" s="87"/>
      <c r="AL428" s="87"/>
      <c r="AM428" s="87"/>
      <c r="AN428" s="87"/>
      <c r="AO428" s="87"/>
      <c r="AP428" s="87">
        <v>4</v>
      </c>
      <c r="AQ428" s="87"/>
      <c r="AR428" s="87"/>
      <c r="AS428" s="87"/>
      <c r="AT428" s="87"/>
      <c r="AU428" s="87"/>
      <c r="AV428" s="87"/>
      <c r="AW428" s="88" t="str">
        <f>HYPERLINK("http://www.openstreetmap.org/?mlat=33.2545&amp;mlon=44.4975&amp;zoom=12#map=12/33.2545/44.4975","Maplink1")</f>
        <v>Maplink1</v>
      </c>
      <c r="AX428" s="88" t="str">
        <f>HYPERLINK("https://www.google.iq/maps/search/+33.2545,44.4975/@33.2545,44.4975,14z?hl=en","Maplink2")</f>
        <v>Maplink2</v>
      </c>
      <c r="AY428" s="88" t="str">
        <f>HYPERLINK("http://www.bing.com/maps/?lvl=14&amp;sty=h&amp;cp=33.2545~44.4975&amp;sp=point.33.2545_44.4975","Maplink3")</f>
        <v>Maplink3</v>
      </c>
      <c r="AZ428" s="76"/>
    </row>
    <row r="429" spans="1:52" x14ac:dyDescent="0.25">
      <c r="A429" s="86">
        <v>24013</v>
      </c>
      <c r="B429" s="87" t="s">
        <v>14</v>
      </c>
      <c r="C429" s="87" t="s">
        <v>686</v>
      </c>
      <c r="D429" s="87" t="s">
        <v>873</v>
      </c>
      <c r="E429" s="87" t="s">
        <v>874</v>
      </c>
      <c r="F429" s="87">
        <v>33.2426275678</v>
      </c>
      <c r="G429" s="87">
        <v>44.503535193899999</v>
      </c>
      <c r="H429" s="86">
        <v>6</v>
      </c>
      <c r="I429" s="86">
        <v>36</v>
      </c>
      <c r="J429" s="87"/>
      <c r="K429" s="87"/>
      <c r="L429" s="87"/>
      <c r="M429" s="87"/>
      <c r="N429" s="87"/>
      <c r="O429" s="87">
        <v>1</v>
      </c>
      <c r="P429" s="87"/>
      <c r="Q429" s="87"/>
      <c r="R429" s="87"/>
      <c r="S429" s="87"/>
      <c r="T429" s="87"/>
      <c r="U429" s="87"/>
      <c r="V429" s="87">
        <v>3</v>
      </c>
      <c r="W429" s="87"/>
      <c r="X429" s="87">
        <v>2</v>
      </c>
      <c r="Y429" s="87"/>
      <c r="Z429" s="87"/>
      <c r="AA429" s="87"/>
      <c r="AB429" s="87"/>
      <c r="AC429" s="87">
        <v>2</v>
      </c>
      <c r="AD429" s="87"/>
      <c r="AE429" s="87"/>
      <c r="AF429" s="87"/>
      <c r="AG429" s="87"/>
      <c r="AH429" s="87">
        <v>4</v>
      </c>
      <c r="AI429" s="87"/>
      <c r="AJ429" s="87"/>
      <c r="AK429" s="87"/>
      <c r="AL429" s="87"/>
      <c r="AM429" s="87"/>
      <c r="AN429" s="87"/>
      <c r="AO429" s="87"/>
      <c r="AP429" s="87">
        <v>2</v>
      </c>
      <c r="AQ429" s="87">
        <v>4</v>
      </c>
      <c r="AR429" s="87"/>
      <c r="AS429" s="87"/>
      <c r="AT429" s="87"/>
      <c r="AU429" s="87"/>
      <c r="AV429" s="87"/>
      <c r="AW429" s="88" t="str">
        <f>HYPERLINK("http://www.openstreetmap.org/?mlat=33.2426&amp;mlon=44.5035&amp;zoom=12#map=12/33.2426/44.5035","Maplink1")</f>
        <v>Maplink1</v>
      </c>
      <c r="AX429" s="88" t="str">
        <f>HYPERLINK("https://www.google.iq/maps/search/+33.2426,44.5035/@33.2426,44.5035,14z?hl=en","Maplink2")</f>
        <v>Maplink2</v>
      </c>
      <c r="AY429" s="88" t="str">
        <f>HYPERLINK("http://www.bing.com/maps/?lvl=14&amp;sty=h&amp;cp=33.2426~44.5035&amp;sp=point.33.2426_44.5035","Maplink3")</f>
        <v>Maplink3</v>
      </c>
      <c r="AZ429" s="76"/>
    </row>
    <row r="430" spans="1:52" x14ac:dyDescent="0.25">
      <c r="A430" s="86">
        <v>24012</v>
      </c>
      <c r="B430" s="87" t="s">
        <v>14</v>
      </c>
      <c r="C430" s="87" t="s">
        <v>686</v>
      </c>
      <c r="D430" s="87" t="s">
        <v>875</v>
      </c>
      <c r="E430" s="87" t="s">
        <v>876</v>
      </c>
      <c r="F430" s="87">
        <v>33.2426983127</v>
      </c>
      <c r="G430" s="87">
        <v>44.506778426899999</v>
      </c>
      <c r="H430" s="86">
        <v>5</v>
      </c>
      <c r="I430" s="86">
        <v>30</v>
      </c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>
        <v>5</v>
      </c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>
        <v>3</v>
      </c>
      <c r="AI430" s="87">
        <v>2</v>
      </c>
      <c r="AJ430" s="87"/>
      <c r="AK430" s="87"/>
      <c r="AL430" s="87"/>
      <c r="AM430" s="87"/>
      <c r="AN430" s="87"/>
      <c r="AO430" s="87"/>
      <c r="AP430" s="87">
        <v>4</v>
      </c>
      <c r="AQ430" s="87">
        <v>1</v>
      </c>
      <c r="AR430" s="87"/>
      <c r="AS430" s="87"/>
      <c r="AT430" s="87"/>
      <c r="AU430" s="87"/>
      <c r="AV430" s="87"/>
      <c r="AW430" s="88" t="str">
        <f>HYPERLINK("http://www.openstreetmap.org/?mlat=33.2427&amp;mlon=44.5068&amp;zoom=12#map=12/33.2427/44.5068","Maplink1")</f>
        <v>Maplink1</v>
      </c>
      <c r="AX430" s="88" t="str">
        <f>HYPERLINK("https://www.google.iq/maps/search/+33.2427,44.5068/@33.2427,44.5068,14z?hl=en","Maplink2")</f>
        <v>Maplink2</v>
      </c>
      <c r="AY430" s="88" t="str">
        <f>HYPERLINK("http://www.bing.com/maps/?lvl=14&amp;sty=h&amp;cp=33.2427~44.5068&amp;sp=point.33.2427_44.5068","Maplink3")</f>
        <v>Maplink3</v>
      </c>
      <c r="AZ430" s="76"/>
    </row>
    <row r="431" spans="1:52" x14ac:dyDescent="0.25">
      <c r="A431" s="86">
        <v>24014</v>
      </c>
      <c r="B431" s="87" t="s">
        <v>14</v>
      </c>
      <c r="C431" s="87" t="s">
        <v>686</v>
      </c>
      <c r="D431" s="87" t="s">
        <v>877</v>
      </c>
      <c r="E431" s="87" t="s">
        <v>878</v>
      </c>
      <c r="F431" s="87">
        <v>33.245291668199997</v>
      </c>
      <c r="G431" s="87">
        <v>44.518904603199999</v>
      </c>
      <c r="H431" s="86">
        <v>5</v>
      </c>
      <c r="I431" s="86">
        <v>30</v>
      </c>
      <c r="J431" s="87">
        <v>1</v>
      </c>
      <c r="K431" s="87"/>
      <c r="L431" s="87"/>
      <c r="M431" s="87"/>
      <c r="N431" s="87"/>
      <c r="O431" s="87">
        <v>4</v>
      </c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>
        <v>5</v>
      </c>
      <c r="AI431" s="87"/>
      <c r="AJ431" s="87"/>
      <c r="AK431" s="87"/>
      <c r="AL431" s="87"/>
      <c r="AM431" s="87"/>
      <c r="AN431" s="87"/>
      <c r="AO431" s="87"/>
      <c r="AP431" s="87"/>
      <c r="AQ431" s="87"/>
      <c r="AR431" s="87">
        <v>5</v>
      </c>
      <c r="AS431" s="87"/>
      <c r="AT431" s="87"/>
      <c r="AU431" s="87"/>
      <c r="AV431" s="87"/>
      <c r="AW431" s="88" t="str">
        <f>HYPERLINK("http://www.openstreetmap.org/?mlat=33.2453&amp;mlon=44.5189&amp;zoom=12#map=12/33.2453/44.5189","Maplink1")</f>
        <v>Maplink1</v>
      </c>
      <c r="AX431" s="88" t="str">
        <f>HYPERLINK("https://www.google.iq/maps/search/+33.2453,44.5189/@33.2453,44.5189,14z?hl=en","Maplink2")</f>
        <v>Maplink2</v>
      </c>
      <c r="AY431" s="88" t="str">
        <f>HYPERLINK("http://www.bing.com/maps/?lvl=14&amp;sty=h&amp;cp=33.2453~44.5189&amp;sp=point.33.2453_44.5189","Maplink3")</f>
        <v>Maplink3</v>
      </c>
      <c r="AZ431" s="76"/>
    </row>
    <row r="432" spans="1:52" x14ac:dyDescent="0.25">
      <c r="A432" s="86">
        <v>23991</v>
      </c>
      <c r="B432" s="87" t="s">
        <v>14</v>
      </c>
      <c r="C432" s="87" t="s">
        <v>686</v>
      </c>
      <c r="D432" s="87" t="s">
        <v>879</v>
      </c>
      <c r="E432" s="87" t="s">
        <v>880</v>
      </c>
      <c r="F432" s="87">
        <v>33.308334233899998</v>
      </c>
      <c r="G432" s="87">
        <v>44.462765606600001</v>
      </c>
      <c r="H432" s="86">
        <v>4</v>
      </c>
      <c r="I432" s="86">
        <v>24</v>
      </c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>
        <v>2</v>
      </c>
      <c r="W432" s="87"/>
      <c r="X432" s="87">
        <v>2</v>
      </c>
      <c r="Y432" s="87"/>
      <c r="Z432" s="87"/>
      <c r="AA432" s="87"/>
      <c r="AB432" s="87"/>
      <c r="AC432" s="87">
        <v>1</v>
      </c>
      <c r="AD432" s="87"/>
      <c r="AE432" s="87"/>
      <c r="AF432" s="87"/>
      <c r="AG432" s="87"/>
      <c r="AH432" s="87">
        <v>3</v>
      </c>
      <c r="AI432" s="87"/>
      <c r="AJ432" s="87"/>
      <c r="AK432" s="87"/>
      <c r="AL432" s="87"/>
      <c r="AM432" s="87"/>
      <c r="AN432" s="87"/>
      <c r="AO432" s="87"/>
      <c r="AP432" s="87"/>
      <c r="AQ432" s="87">
        <v>4</v>
      </c>
      <c r="AR432" s="87"/>
      <c r="AS432" s="87"/>
      <c r="AT432" s="87"/>
      <c r="AU432" s="87"/>
      <c r="AV432" s="87"/>
      <c r="AW432" s="88" t="str">
        <f>HYPERLINK("http://www.openstreetmap.org/?mlat=33.3083&amp;mlon=44.4628&amp;zoom=12#map=12/33.3083/44.4628","Maplink1")</f>
        <v>Maplink1</v>
      </c>
      <c r="AX432" s="88" t="str">
        <f>HYPERLINK("https://www.google.iq/maps/search/+33.3083,44.4628/@33.3083,44.4628,14z?hl=en","Maplink2")</f>
        <v>Maplink2</v>
      </c>
      <c r="AY432" s="88" t="str">
        <f>HYPERLINK("http://www.bing.com/maps/?lvl=14&amp;sty=h&amp;cp=33.3083~44.4628&amp;sp=point.33.3083_44.4628","Maplink3")</f>
        <v>Maplink3</v>
      </c>
      <c r="AZ432" s="76"/>
    </row>
    <row r="433" spans="1:52" x14ac:dyDescent="0.25">
      <c r="A433" s="86">
        <v>23990</v>
      </c>
      <c r="B433" s="87" t="s">
        <v>14</v>
      </c>
      <c r="C433" s="87" t="s">
        <v>686</v>
      </c>
      <c r="D433" s="87" t="s">
        <v>881</v>
      </c>
      <c r="E433" s="87" t="s">
        <v>882</v>
      </c>
      <c r="F433" s="87">
        <v>33.3206336111</v>
      </c>
      <c r="G433" s="87">
        <v>44.471447702100001</v>
      </c>
      <c r="H433" s="86">
        <v>6</v>
      </c>
      <c r="I433" s="86">
        <v>36</v>
      </c>
      <c r="J433" s="87">
        <v>2</v>
      </c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>
        <v>4</v>
      </c>
      <c r="W433" s="87"/>
      <c r="X433" s="87"/>
      <c r="Y433" s="87"/>
      <c r="Z433" s="87"/>
      <c r="AA433" s="87"/>
      <c r="AB433" s="87"/>
      <c r="AC433" s="87">
        <v>2</v>
      </c>
      <c r="AD433" s="87"/>
      <c r="AE433" s="87"/>
      <c r="AF433" s="87"/>
      <c r="AG433" s="87"/>
      <c r="AH433" s="87">
        <v>4</v>
      </c>
      <c r="AI433" s="87"/>
      <c r="AJ433" s="87"/>
      <c r="AK433" s="87"/>
      <c r="AL433" s="87"/>
      <c r="AM433" s="87"/>
      <c r="AN433" s="87">
        <v>2</v>
      </c>
      <c r="AO433" s="87"/>
      <c r="AP433" s="87">
        <v>3</v>
      </c>
      <c r="AQ433" s="87">
        <v>1</v>
      </c>
      <c r="AR433" s="87"/>
      <c r="AS433" s="87"/>
      <c r="AT433" s="87"/>
      <c r="AU433" s="87"/>
      <c r="AV433" s="87"/>
      <c r="AW433" s="88" t="str">
        <f>HYPERLINK("http://www.openstreetmap.org/?mlat=33.3206&amp;mlon=44.4714&amp;zoom=12#map=12/33.3206/44.4714","Maplink1")</f>
        <v>Maplink1</v>
      </c>
      <c r="AX433" s="88" t="str">
        <f>HYPERLINK("https://www.google.iq/maps/search/+33.3206,44.4714/@33.3206,44.4714,14z?hl=en","Maplink2")</f>
        <v>Maplink2</v>
      </c>
      <c r="AY433" s="88" t="str">
        <f>HYPERLINK("http://www.bing.com/maps/?lvl=14&amp;sty=h&amp;cp=33.3206~44.4714&amp;sp=point.33.3206_44.4714","Maplink3")</f>
        <v>Maplink3</v>
      </c>
      <c r="AZ433" s="76"/>
    </row>
    <row r="434" spans="1:52" x14ac:dyDescent="0.25">
      <c r="A434" s="86">
        <v>24226</v>
      </c>
      <c r="B434" s="87" t="s">
        <v>14</v>
      </c>
      <c r="C434" s="87" t="s">
        <v>686</v>
      </c>
      <c r="D434" s="87" t="s">
        <v>883</v>
      </c>
      <c r="E434" s="87" t="s">
        <v>884</v>
      </c>
      <c r="F434" s="87">
        <v>33.316772256299998</v>
      </c>
      <c r="G434" s="87">
        <v>44.4695252283</v>
      </c>
      <c r="H434" s="86">
        <v>5</v>
      </c>
      <c r="I434" s="86">
        <v>30</v>
      </c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>
        <v>5</v>
      </c>
      <c r="W434" s="87"/>
      <c r="X434" s="87"/>
      <c r="Y434" s="87"/>
      <c r="Z434" s="87"/>
      <c r="AA434" s="87"/>
      <c r="AB434" s="87"/>
      <c r="AC434" s="87">
        <v>3</v>
      </c>
      <c r="AD434" s="87"/>
      <c r="AE434" s="87"/>
      <c r="AF434" s="87"/>
      <c r="AG434" s="87"/>
      <c r="AH434" s="87">
        <v>2</v>
      </c>
      <c r="AI434" s="87"/>
      <c r="AJ434" s="87"/>
      <c r="AK434" s="87"/>
      <c r="AL434" s="87"/>
      <c r="AM434" s="87"/>
      <c r="AN434" s="87"/>
      <c r="AO434" s="87"/>
      <c r="AP434" s="87">
        <v>5</v>
      </c>
      <c r="AQ434" s="87"/>
      <c r="AR434" s="87"/>
      <c r="AS434" s="87"/>
      <c r="AT434" s="87"/>
      <c r="AU434" s="87"/>
      <c r="AV434" s="87"/>
      <c r="AW434" s="88" t="str">
        <f>HYPERLINK("http://www.openstreetmap.org/?mlat=33.3168&amp;mlon=44.4695&amp;zoom=12#map=12/33.3168/44.4695","Maplink1")</f>
        <v>Maplink1</v>
      </c>
      <c r="AX434" s="88" t="str">
        <f>HYPERLINK("https://www.google.iq/maps/search/+33.3168,44.4695/@33.3168,44.4695,14z?hl=en","Maplink2")</f>
        <v>Maplink2</v>
      </c>
      <c r="AY434" s="88" t="str">
        <f>HYPERLINK("http://www.bing.com/maps/?lvl=14&amp;sty=h&amp;cp=33.3168~44.4695&amp;sp=point.33.3168_44.4695","Maplink3")</f>
        <v>Maplink3</v>
      </c>
      <c r="AZ434" s="76"/>
    </row>
    <row r="435" spans="1:52" x14ac:dyDescent="0.25">
      <c r="A435" s="86">
        <v>25969</v>
      </c>
      <c r="B435" s="87" t="s">
        <v>14</v>
      </c>
      <c r="C435" s="87" t="s">
        <v>686</v>
      </c>
      <c r="D435" s="87" t="s">
        <v>885</v>
      </c>
      <c r="E435" s="87" t="s">
        <v>886</v>
      </c>
      <c r="F435" s="87">
        <v>33.317756799599998</v>
      </c>
      <c r="G435" s="87">
        <v>44.446957165599997</v>
      </c>
      <c r="H435" s="86">
        <v>105</v>
      </c>
      <c r="I435" s="86">
        <v>630</v>
      </c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>
        <v>101</v>
      </c>
      <c r="W435" s="87"/>
      <c r="X435" s="87">
        <v>4</v>
      </c>
      <c r="Y435" s="87"/>
      <c r="Z435" s="87"/>
      <c r="AA435" s="87"/>
      <c r="AB435" s="87">
        <v>105</v>
      </c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>
        <v>93</v>
      </c>
      <c r="AQ435" s="87">
        <v>12</v>
      </c>
      <c r="AR435" s="87"/>
      <c r="AS435" s="87"/>
      <c r="AT435" s="87"/>
      <c r="AU435" s="87"/>
      <c r="AV435" s="87"/>
      <c r="AW435" s="88" t="str">
        <f>HYPERLINK("http://www.openstreetmap.org/?mlat=33.3178&amp;mlon=44.447&amp;zoom=12#map=12/33.3178/44.447","Maplink1")</f>
        <v>Maplink1</v>
      </c>
      <c r="AX435" s="88" t="str">
        <f>HYPERLINK("https://www.google.iq/maps/search/+33.3178,44.447/@33.3178,44.447,14z?hl=en","Maplink2")</f>
        <v>Maplink2</v>
      </c>
      <c r="AY435" s="88" t="str">
        <f>HYPERLINK("http://www.bing.com/maps/?lvl=14&amp;sty=h&amp;cp=33.3178~44.447&amp;sp=point.33.3178_44.447","Maplink3")</f>
        <v>Maplink3</v>
      </c>
      <c r="AZ435" s="76"/>
    </row>
    <row r="436" spans="1:52" x14ac:dyDescent="0.25">
      <c r="A436" s="86">
        <v>28398</v>
      </c>
      <c r="B436" s="87" t="s">
        <v>14</v>
      </c>
      <c r="C436" s="87" t="s">
        <v>887</v>
      </c>
      <c r="D436" s="87" t="s">
        <v>888</v>
      </c>
      <c r="E436" s="87" t="s">
        <v>889</v>
      </c>
      <c r="F436" s="87">
        <v>33.494478400299997</v>
      </c>
      <c r="G436" s="87">
        <v>44.245403534600001</v>
      </c>
      <c r="H436" s="86">
        <v>6</v>
      </c>
      <c r="I436" s="86">
        <v>36</v>
      </c>
      <c r="J436" s="87">
        <v>6</v>
      </c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>
        <v>6</v>
      </c>
      <c r="AI436" s="87"/>
      <c r="AJ436" s="87"/>
      <c r="AK436" s="87"/>
      <c r="AL436" s="87"/>
      <c r="AM436" s="87"/>
      <c r="AN436" s="87"/>
      <c r="AO436" s="87"/>
      <c r="AP436" s="87"/>
      <c r="AQ436" s="87"/>
      <c r="AR436" s="87">
        <v>6</v>
      </c>
      <c r="AS436" s="87"/>
      <c r="AT436" s="87"/>
      <c r="AU436" s="87"/>
      <c r="AV436" s="87"/>
      <c r="AW436" s="88" t="str">
        <f>HYPERLINK("http://www.openstreetmap.org/?mlat=33.4945&amp;mlon=44.2454&amp;zoom=12#map=12/33.4945/44.2454","Maplink1")</f>
        <v>Maplink1</v>
      </c>
      <c r="AX436" s="88" t="str">
        <f>HYPERLINK("https://www.google.iq/maps/search/+33.4945,44.2454/@33.4945,44.2454,14z?hl=en","Maplink2")</f>
        <v>Maplink2</v>
      </c>
      <c r="AY436" s="88" t="str">
        <f>HYPERLINK("http://www.bing.com/maps/?lvl=14&amp;sty=h&amp;cp=33.4945~44.2454&amp;sp=point.33.4945_44.2454","Maplink3")</f>
        <v>Maplink3</v>
      </c>
      <c r="AZ436" s="76"/>
    </row>
    <row r="437" spans="1:52" x14ac:dyDescent="0.25">
      <c r="A437" s="86">
        <v>23619</v>
      </c>
      <c r="B437" s="87" t="s">
        <v>14</v>
      </c>
      <c r="C437" s="87" t="s">
        <v>887</v>
      </c>
      <c r="D437" s="87" t="s">
        <v>890</v>
      </c>
      <c r="E437" s="87" t="s">
        <v>891</v>
      </c>
      <c r="F437" s="87">
        <v>33.491052572599997</v>
      </c>
      <c r="G437" s="87">
        <v>44.238985834300003</v>
      </c>
      <c r="H437" s="86">
        <v>5</v>
      </c>
      <c r="I437" s="86">
        <v>30</v>
      </c>
      <c r="J437" s="87">
        <v>5</v>
      </c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>
        <v>2</v>
      </c>
      <c r="AD437" s="87"/>
      <c r="AE437" s="87"/>
      <c r="AF437" s="87"/>
      <c r="AG437" s="87"/>
      <c r="AH437" s="87">
        <v>3</v>
      </c>
      <c r="AI437" s="87"/>
      <c r="AJ437" s="87"/>
      <c r="AK437" s="87"/>
      <c r="AL437" s="87"/>
      <c r="AM437" s="87"/>
      <c r="AN437" s="87">
        <v>1</v>
      </c>
      <c r="AO437" s="87"/>
      <c r="AP437" s="87"/>
      <c r="AQ437" s="87">
        <v>4</v>
      </c>
      <c r="AR437" s="87"/>
      <c r="AS437" s="87"/>
      <c r="AT437" s="87"/>
      <c r="AU437" s="87"/>
      <c r="AV437" s="87"/>
      <c r="AW437" s="88" t="str">
        <f>HYPERLINK("http://www.openstreetmap.org/?mlat=33.4911&amp;mlon=44.239&amp;zoom=12#map=12/33.4911/44.239","Maplink1")</f>
        <v>Maplink1</v>
      </c>
      <c r="AX437" s="88" t="str">
        <f>HYPERLINK("https://www.google.iq/maps/search/+33.4911,44.239/@33.4911,44.239,14z?hl=en","Maplink2")</f>
        <v>Maplink2</v>
      </c>
      <c r="AY437" s="88" t="str">
        <f>HYPERLINK("http://www.bing.com/maps/?lvl=14&amp;sty=h&amp;cp=33.4911~44.239&amp;sp=point.33.4911_44.239","Maplink3")</f>
        <v>Maplink3</v>
      </c>
      <c r="AZ437" s="76"/>
    </row>
    <row r="438" spans="1:52" x14ac:dyDescent="0.25">
      <c r="A438" s="86">
        <v>27413</v>
      </c>
      <c r="B438" s="87" t="s">
        <v>14</v>
      </c>
      <c r="C438" s="87" t="s">
        <v>887</v>
      </c>
      <c r="D438" s="87" t="s">
        <v>892</v>
      </c>
      <c r="E438" s="87" t="s">
        <v>893</v>
      </c>
      <c r="F438" s="87">
        <v>33.434974564199997</v>
      </c>
      <c r="G438" s="87">
        <v>44.243924064600002</v>
      </c>
      <c r="H438" s="86">
        <v>38</v>
      </c>
      <c r="I438" s="86">
        <v>228</v>
      </c>
      <c r="J438" s="87">
        <v>3</v>
      </c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>
        <v>35</v>
      </c>
      <c r="Y438" s="87"/>
      <c r="Z438" s="87"/>
      <c r="AA438" s="87"/>
      <c r="AB438" s="87"/>
      <c r="AC438" s="87"/>
      <c r="AD438" s="87"/>
      <c r="AE438" s="87"/>
      <c r="AF438" s="87"/>
      <c r="AG438" s="87"/>
      <c r="AH438" s="87">
        <v>3</v>
      </c>
      <c r="AI438" s="87"/>
      <c r="AJ438" s="87"/>
      <c r="AK438" s="87">
        <v>35</v>
      </c>
      <c r="AL438" s="87"/>
      <c r="AM438" s="87"/>
      <c r="AN438" s="87"/>
      <c r="AO438" s="87">
        <v>22</v>
      </c>
      <c r="AP438" s="87">
        <v>14</v>
      </c>
      <c r="AQ438" s="87"/>
      <c r="AR438" s="87">
        <v>2</v>
      </c>
      <c r="AS438" s="87"/>
      <c r="AT438" s="87"/>
      <c r="AU438" s="87"/>
      <c r="AV438" s="87"/>
      <c r="AW438" s="88" t="str">
        <f>HYPERLINK("http://www.openstreetmap.org/?mlat=33.435&amp;mlon=44.2439&amp;zoom=12#map=12/33.435/44.2439","Maplink1")</f>
        <v>Maplink1</v>
      </c>
      <c r="AX438" s="88" t="str">
        <f>HYPERLINK("https://www.google.iq/maps/search/+33.435,44.2439/@33.435,44.2439,14z?hl=en","Maplink2")</f>
        <v>Maplink2</v>
      </c>
      <c r="AY438" s="88" t="str">
        <f>HYPERLINK("http://www.bing.com/maps/?lvl=14&amp;sty=h&amp;cp=33.435~44.2439&amp;sp=point.33.435_44.2439","Maplink3")</f>
        <v>Maplink3</v>
      </c>
      <c r="AZ438" s="76"/>
    </row>
    <row r="439" spans="1:52" x14ac:dyDescent="0.25">
      <c r="A439" s="86">
        <v>27414</v>
      </c>
      <c r="B439" s="87" t="s">
        <v>14</v>
      </c>
      <c r="C439" s="87" t="s">
        <v>887</v>
      </c>
      <c r="D439" s="87" t="s">
        <v>894</v>
      </c>
      <c r="E439" s="87" t="s">
        <v>895</v>
      </c>
      <c r="F439" s="87">
        <v>33.434962800599997</v>
      </c>
      <c r="G439" s="87">
        <v>44.256111709000002</v>
      </c>
      <c r="H439" s="86">
        <v>6</v>
      </c>
      <c r="I439" s="86">
        <v>36</v>
      </c>
      <c r="J439" s="87">
        <v>2</v>
      </c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>
        <v>4</v>
      </c>
      <c r="Y439" s="87"/>
      <c r="Z439" s="87"/>
      <c r="AA439" s="87"/>
      <c r="AB439" s="87"/>
      <c r="AC439" s="87">
        <v>2</v>
      </c>
      <c r="AD439" s="87"/>
      <c r="AE439" s="87"/>
      <c r="AF439" s="87"/>
      <c r="AG439" s="87"/>
      <c r="AH439" s="87">
        <v>4</v>
      </c>
      <c r="AI439" s="87"/>
      <c r="AJ439" s="87"/>
      <c r="AK439" s="87"/>
      <c r="AL439" s="87"/>
      <c r="AM439" s="87"/>
      <c r="AN439" s="87">
        <v>4</v>
      </c>
      <c r="AO439" s="87">
        <v>2</v>
      </c>
      <c r="AP439" s="87"/>
      <c r="AQ439" s="87"/>
      <c r="AR439" s="87"/>
      <c r="AS439" s="87"/>
      <c r="AT439" s="87"/>
      <c r="AU439" s="87"/>
      <c r="AV439" s="87"/>
      <c r="AW439" s="88" t="str">
        <f>HYPERLINK("http://www.openstreetmap.org/?mlat=33.435&amp;mlon=44.2561&amp;zoom=12#map=12/33.435/44.2561","Maplink1")</f>
        <v>Maplink1</v>
      </c>
      <c r="AX439" s="88" t="str">
        <f>HYPERLINK("https://www.google.iq/maps/search/+33.435,44.2561/@33.435,44.2561,14z?hl=en","Maplink2")</f>
        <v>Maplink2</v>
      </c>
      <c r="AY439" s="88" t="str">
        <f>HYPERLINK("http://www.bing.com/maps/?lvl=14&amp;sty=h&amp;cp=33.435~44.2561&amp;sp=point.33.435_44.2561","Maplink3")</f>
        <v>Maplink3</v>
      </c>
      <c r="AZ439" s="76"/>
    </row>
    <row r="440" spans="1:52" x14ac:dyDescent="0.25">
      <c r="A440" s="86">
        <v>27415</v>
      </c>
      <c r="B440" s="87" t="s">
        <v>14</v>
      </c>
      <c r="C440" s="87" t="s">
        <v>887</v>
      </c>
      <c r="D440" s="87" t="s">
        <v>896</v>
      </c>
      <c r="E440" s="87" t="s">
        <v>897</v>
      </c>
      <c r="F440" s="87">
        <v>33.422679372700003</v>
      </c>
      <c r="G440" s="87">
        <v>44.278121098200003</v>
      </c>
      <c r="H440" s="86">
        <v>5</v>
      </c>
      <c r="I440" s="86">
        <v>30</v>
      </c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>
        <v>1</v>
      </c>
      <c r="W440" s="87"/>
      <c r="X440" s="87">
        <v>4</v>
      </c>
      <c r="Y440" s="87"/>
      <c r="Z440" s="87"/>
      <c r="AA440" s="87"/>
      <c r="AB440" s="87"/>
      <c r="AC440" s="87">
        <v>1</v>
      </c>
      <c r="AD440" s="87"/>
      <c r="AE440" s="87"/>
      <c r="AF440" s="87"/>
      <c r="AG440" s="87"/>
      <c r="AH440" s="87">
        <v>4</v>
      </c>
      <c r="AI440" s="87"/>
      <c r="AJ440" s="87"/>
      <c r="AK440" s="87"/>
      <c r="AL440" s="87"/>
      <c r="AM440" s="87"/>
      <c r="AN440" s="87">
        <v>4</v>
      </c>
      <c r="AO440" s="87"/>
      <c r="AP440" s="87">
        <v>1</v>
      </c>
      <c r="AQ440" s="87"/>
      <c r="AR440" s="87"/>
      <c r="AS440" s="87"/>
      <c r="AT440" s="87"/>
      <c r="AU440" s="87"/>
      <c r="AV440" s="87"/>
      <c r="AW440" s="88" t="str">
        <f>HYPERLINK("http://www.openstreetmap.org/?mlat=33.4227&amp;mlon=44.2781&amp;zoom=12#map=12/33.4227/44.2781","Maplink1")</f>
        <v>Maplink1</v>
      </c>
      <c r="AX440" s="88" t="str">
        <f>HYPERLINK("https://www.google.iq/maps/search/+33.4227,44.2781/@33.4227,44.2781,14z?hl=en","Maplink2")</f>
        <v>Maplink2</v>
      </c>
      <c r="AY440" s="88" t="str">
        <f>HYPERLINK("http://www.bing.com/maps/?lvl=14&amp;sty=h&amp;cp=33.4227~44.2781&amp;sp=point.33.4227_44.2781","Maplink3")</f>
        <v>Maplink3</v>
      </c>
      <c r="AZ440" s="76"/>
    </row>
    <row r="441" spans="1:52" x14ac:dyDescent="0.25">
      <c r="A441" s="86">
        <v>24660</v>
      </c>
      <c r="B441" s="87" t="s">
        <v>14</v>
      </c>
      <c r="C441" s="87" t="s">
        <v>887</v>
      </c>
      <c r="D441" s="87" t="s">
        <v>898</v>
      </c>
      <c r="E441" s="87" t="s">
        <v>899</v>
      </c>
      <c r="F441" s="87">
        <v>33.355143383200001</v>
      </c>
      <c r="G441" s="87">
        <v>44.364139167799998</v>
      </c>
      <c r="H441" s="86">
        <v>3</v>
      </c>
      <c r="I441" s="86">
        <v>18</v>
      </c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>
        <v>3</v>
      </c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>
        <v>3</v>
      </c>
      <c r="AI441" s="87"/>
      <c r="AJ441" s="87"/>
      <c r="AK441" s="87"/>
      <c r="AL441" s="87"/>
      <c r="AM441" s="87"/>
      <c r="AN441" s="87"/>
      <c r="AO441" s="87"/>
      <c r="AP441" s="87"/>
      <c r="AQ441" s="87">
        <v>3</v>
      </c>
      <c r="AR441" s="87"/>
      <c r="AS441" s="87"/>
      <c r="AT441" s="87"/>
      <c r="AU441" s="87"/>
      <c r="AV441" s="87"/>
      <c r="AW441" s="88" t="str">
        <f>HYPERLINK("http://www.openstreetmap.org/?mlat=33.3551&amp;mlon=44.3641&amp;zoom=12#map=12/33.3551/44.3641","Maplink1")</f>
        <v>Maplink1</v>
      </c>
      <c r="AX441" s="88" t="str">
        <f>HYPERLINK("https://www.google.iq/maps/search/+33.3551,44.3641/@33.3551,44.3641,14z?hl=en","Maplink2")</f>
        <v>Maplink2</v>
      </c>
      <c r="AY441" s="88" t="str">
        <f>HYPERLINK("http://www.bing.com/maps/?lvl=14&amp;sty=h&amp;cp=33.3551~44.3641&amp;sp=point.33.3551_44.3641","Maplink3")</f>
        <v>Maplink3</v>
      </c>
      <c r="AZ441" s="76"/>
    </row>
    <row r="442" spans="1:52" x14ac:dyDescent="0.25">
      <c r="A442" s="86">
        <v>24773</v>
      </c>
      <c r="B442" s="87" t="s">
        <v>14</v>
      </c>
      <c r="C442" s="87" t="s">
        <v>887</v>
      </c>
      <c r="D442" s="87" t="s">
        <v>900</v>
      </c>
      <c r="E442" s="87" t="s">
        <v>901</v>
      </c>
      <c r="F442" s="87">
        <v>33.356832286600003</v>
      </c>
      <c r="G442" s="87">
        <v>44.363383950100001</v>
      </c>
      <c r="H442" s="86">
        <v>5</v>
      </c>
      <c r="I442" s="86">
        <v>30</v>
      </c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>
        <v>5</v>
      </c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>
        <v>5</v>
      </c>
      <c r="AI442" s="87"/>
      <c r="AJ442" s="87"/>
      <c r="AK442" s="87"/>
      <c r="AL442" s="87"/>
      <c r="AM442" s="87"/>
      <c r="AN442" s="87"/>
      <c r="AO442" s="87"/>
      <c r="AP442" s="87"/>
      <c r="AQ442" s="87">
        <v>5</v>
      </c>
      <c r="AR442" s="87"/>
      <c r="AS442" s="87"/>
      <c r="AT442" s="87"/>
      <c r="AU442" s="87"/>
      <c r="AV442" s="87"/>
      <c r="AW442" s="88" t="str">
        <f>HYPERLINK("http://www.openstreetmap.org/?mlat=33.3568&amp;mlon=44.3634&amp;zoom=12#map=12/33.3568/44.3634","Maplink1")</f>
        <v>Maplink1</v>
      </c>
      <c r="AX442" s="88" t="str">
        <f>HYPERLINK("https://www.google.iq/maps/search/+33.3568,44.3634/@33.3568,44.3634,14z?hl=en","Maplink2")</f>
        <v>Maplink2</v>
      </c>
      <c r="AY442" s="88" t="str">
        <f>HYPERLINK("http://www.bing.com/maps/?lvl=14&amp;sty=h&amp;cp=33.3568~44.3634&amp;sp=point.33.3568_44.3634","Maplink3")</f>
        <v>Maplink3</v>
      </c>
      <c r="AZ442" s="76"/>
    </row>
    <row r="443" spans="1:52" x14ac:dyDescent="0.25">
      <c r="A443" s="86">
        <v>25184</v>
      </c>
      <c r="B443" s="87" t="s">
        <v>14</v>
      </c>
      <c r="C443" s="87" t="s">
        <v>887</v>
      </c>
      <c r="D443" s="87" t="s">
        <v>902</v>
      </c>
      <c r="E443" s="87" t="s">
        <v>903</v>
      </c>
      <c r="F443" s="87">
        <v>33.559246366000004</v>
      </c>
      <c r="G443" s="87">
        <v>44.1777590373</v>
      </c>
      <c r="H443" s="86">
        <v>4</v>
      </c>
      <c r="I443" s="86">
        <v>24</v>
      </c>
      <c r="J443" s="87">
        <v>4</v>
      </c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>
        <v>2</v>
      </c>
      <c r="AD443" s="87"/>
      <c r="AE443" s="87"/>
      <c r="AF443" s="87"/>
      <c r="AG443" s="87"/>
      <c r="AH443" s="87">
        <v>2</v>
      </c>
      <c r="AI443" s="87"/>
      <c r="AJ443" s="87"/>
      <c r="AK443" s="87"/>
      <c r="AL443" s="87"/>
      <c r="AM443" s="87"/>
      <c r="AN443" s="87"/>
      <c r="AO443" s="87"/>
      <c r="AP443" s="87"/>
      <c r="AQ443" s="87">
        <v>4</v>
      </c>
      <c r="AR443" s="87"/>
      <c r="AS443" s="87"/>
      <c r="AT443" s="87"/>
      <c r="AU443" s="87"/>
      <c r="AV443" s="87"/>
      <c r="AW443" s="88" t="str">
        <f>HYPERLINK("http://www.openstreetmap.org/?mlat=33.5592&amp;mlon=44.1778&amp;zoom=12#map=12/33.5592/44.1778","Maplink1")</f>
        <v>Maplink1</v>
      </c>
      <c r="AX443" s="88" t="str">
        <f>HYPERLINK("https://www.google.iq/maps/search/+33.5592,44.1778/@33.5592,44.1778,14z?hl=en","Maplink2")</f>
        <v>Maplink2</v>
      </c>
      <c r="AY443" s="88" t="str">
        <f>HYPERLINK("http://www.bing.com/maps/?lvl=14&amp;sty=h&amp;cp=33.5592~44.1778&amp;sp=point.33.5592_44.1778","Maplink3")</f>
        <v>Maplink3</v>
      </c>
      <c r="AZ443" s="76"/>
    </row>
    <row r="444" spans="1:52" x14ac:dyDescent="0.25">
      <c r="A444" s="86">
        <v>22249</v>
      </c>
      <c r="B444" s="87" t="s">
        <v>14</v>
      </c>
      <c r="C444" s="87" t="s">
        <v>887</v>
      </c>
      <c r="D444" s="87" t="s">
        <v>904</v>
      </c>
      <c r="E444" s="87" t="s">
        <v>905</v>
      </c>
      <c r="F444" s="87">
        <v>33.357572039499999</v>
      </c>
      <c r="G444" s="87">
        <v>44.321016026800002</v>
      </c>
      <c r="H444" s="86">
        <v>3</v>
      </c>
      <c r="I444" s="86">
        <v>18</v>
      </c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>
        <v>2</v>
      </c>
      <c r="W444" s="87"/>
      <c r="X444" s="87">
        <v>1</v>
      </c>
      <c r="Y444" s="87"/>
      <c r="Z444" s="87"/>
      <c r="AA444" s="87"/>
      <c r="AB444" s="87"/>
      <c r="AC444" s="87">
        <v>1</v>
      </c>
      <c r="AD444" s="87"/>
      <c r="AE444" s="87"/>
      <c r="AF444" s="87"/>
      <c r="AG444" s="87"/>
      <c r="AH444" s="87">
        <v>2</v>
      </c>
      <c r="AI444" s="87"/>
      <c r="AJ444" s="87"/>
      <c r="AK444" s="87"/>
      <c r="AL444" s="87"/>
      <c r="AM444" s="87"/>
      <c r="AN444" s="87"/>
      <c r="AO444" s="87">
        <v>2</v>
      </c>
      <c r="AP444" s="87">
        <v>1</v>
      </c>
      <c r="AQ444" s="87"/>
      <c r="AR444" s="87"/>
      <c r="AS444" s="87"/>
      <c r="AT444" s="87"/>
      <c r="AU444" s="87"/>
      <c r="AV444" s="87"/>
      <c r="AW444" s="88" t="str">
        <f>HYPERLINK("http://www.openstreetmap.org/?mlat=33.3576&amp;mlon=44.321&amp;zoom=12#map=12/33.3576/44.321","Maplink1")</f>
        <v>Maplink1</v>
      </c>
      <c r="AX444" s="88" t="str">
        <f>HYPERLINK("https://www.google.iq/maps/search/+33.3576,44.321/@33.3576,44.321,14z?hl=en","Maplink2")</f>
        <v>Maplink2</v>
      </c>
      <c r="AY444" s="88" t="str">
        <f>HYPERLINK("http://www.bing.com/maps/?lvl=14&amp;sty=h&amp;cp=33.3576~44.321&amp;sp=point.33.3576_44.321","Maplink3")</f>
        <v>Maplink3</v>
      </c>
      <c r="AZ444" s="76"/>
    </row>
    <row r="445" spans="1:52" x14ac:dyDescent="0.25">
      <c r="A445" s="86">
        <v>24934</v>
      </c>
      <c r="B445" s="87" t="s">
        <v>14</v>
      </c>
      <c r="C445" s="87" t="s">
        <v>887</v>
      </c>
      <c r="D445" s="87" t="s">
        <v>906</v>
      </c>
      <c r="E445" s="87" t="s">
        <v>907</v>
      </c>
      <c r="F445" s="87">
        <v>33.354787068100002</v>
      </c>
      <c r="G445" s="87">
        <v>44.3250751896</v>
      </c>
      <c r="H445" s="86">
        <v>3</v>
      </c>
      <c r="I445" s="86">
        <v>18</v>
      </c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>
        <v>3</v>
      </c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>
        <v>3</v>
      </c>
      <c r="AI445" s="87"/>
      <c r="AJ445" s="87"/>
      <c r="AK445" s="87"/>
      <c r="AL445" s="87"/>
      <c r="AM445" s="87"/>
      <c r="AN445" s="87"/>
      <c r="AO445" s="87">
        <v>3</v>
      </c>
      <c r="AP445" s="87"/>
      <c r="AQ445" s="87"/>
      <c r="AR445" s="87"/>
      <c r="AS445" s="87"/>
      <c r="AT445" s="87"/>
      <c r="AU445" s="87"/>
      <c r="AV445" s="87"/>
      <c r="AW445" s="88" t="str">
        <f>HYPERLINK("http://www.openstreetmap.org/?mlat=33.3548&amp;mlon=44.3251&amp;zoom=12#map=12/33.3548/44.3251","Maplink1")</f>
        <v>Maplink1</v>
      </c>
      <c r="AX445" s="88" t="str">
        <f>HYPERLINK("https://www.google.iq/maps/search/+33.3548,44.3251/@33.3548,44.3251,14z?hl=en","Maplink2")</f>
        <v>Maplink2</v>
      </c>
      <c r="AY445" s="88" t="str">
        <f>HYPERLINK("http://www.bing.com/maps/?lvl=14&amp;sty=h&amp;cp=33.3548~44.3251&amp;sp=point.33.3548_44.3251","Maplink3")</f>
        <v>Maplink3</v>
      </c>
      <c r="AZ445" s="76"/>
    </row>
    <row r="446" spans="1:52" x14ac:dyDescent="0.25">
      <c r="A446" s="86">
        <v>24935</v>
      </c>
      <c r="B446" s="87" t="s">
        <v>14</v>
      </c>
      <c r="C446" s="87" t="s">
        <v>887</v>
      </c>
      <c r="D446" s="87" t="s">
        <v>908</v>
      </c>
      <c r="E446" s="87" t="s">
        <v>909</v>
      </c>
      <c r="F446" s="87">
        <v>33.3585306684</v>
      </c>
      <c r="G446" s="87">
        <v>44.324428129200001</v>
      </c>
      <c r="H446" s="86">
        <v>2</v>
      </c>
      <c r="I446" s="86">
        <v>12</v>
      </c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>
        <v>2</v>
      </c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>
        <v>2</v>
      </c>
      <c r="AI446" s="87"/>
      <c r="AJ446" s="87"/>
      <c r="AK446" s="87"/>
      <c r="AL446" s="87"/>
      <c r="AM446" s="87"/>
      <c r="AN446" s="87"/>
      <c r="AO446" s="87">
        <v>2</v>
      </c>
      <c r="AP446" s="87"/>
      <c r="AQ446" s="87"/>
      <c r="AR446" s="87"/>
      <c r="AS446" s="87"/>
      <c r="AT446" s="87"/>
      <c r="AU446" s="87"/>
      <c r="AV446" s="87"/>
      <c r="AW446" s="88" t="str">
        <f>HYPERLINK("http://www.openstreetmap.org/?mlat=33.3585&amp;mlon=44.3244&amp;zoom=12#map=12/33.3585/44.3244","Maplink1")</f>
        <v>Maplink1</v>
      </c>
      <c r="AX446" s="88" t="str">
        <f>HYPERLINK("https://www.google.iq/maps/search/+33.3585,44.3244/@33.3585,44.3244,14z?hl=en","Maplink2")</f>
        <v>Maplink2</v>
      </c>
      <c r="AY446" s="88" t="str">
        <f>HYPERLINK("http://www.bing.com/maps/?lvl=14&amp;sty=h&amp;cp=33.3585~44.3244&amp;sp=point.33.3585_44.3244","Maplink3")</f>
        <v>Maplink3</v>
      </c>
      <c r="AZ446" s="76"/>
    </row>
    <row r="447" spans="1:52" x14ac:dyDescent="0.25">
      <c r="A447" s="86">
        <v>24963</v>
      </c>
      <c r="B447" s="87" t="s">
        <v>14</v>
      </c>
      <c r="C447" s="87" t="s">
        <v>887</v>
      </c>
      <c r="D447" s="87" t="s">
        <v>910</v>
      </c>
      <c r="E447" s="87" t="s">
        <v>911</v>
      </c>
      <c r="F447" s="87">
        <v>33.361931863999999</v>
      </c>
      <c r="G447" s="87">
        <v>44.325004935899997</v>
      </c>
      <c r="H447" s="86">
        <v>3</v>
      </c>
      <c r="I447" s="86">
        <v>18</v>
      </c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>
        <v>3</v>
      </c>
      <c r="W447" s="87"/>
      <c r="X447" s="87"/>
      <c r="Y447" s="87"/>
      <c r="Z447" s="87"/>
      <c r="AA447" s="87"/>
      <c r="AB447" s="87"/>
      <c r="AC447" s="87">
        <v>2</v>
      </c>
      <c r="AD447" s="87"/>
      <c r="AE447" s="87"/>
      <c r="AF447" s="87"/>
      <c r="AG447" s="87"/>
      <c r="AH447" s="87">
        <v>1</v>
      </c>
      <c r="AI447" s="87"/>
      <c r="AJ447" s="87"/>
      <c r="AK447" s="87"/>
      <c r="AL447" s="87"/>
      <c r="AM447" s="87"/>
      <c r="AN447" s="87"/>
      <c r="AO447" s="87">
        <v>1</v>
      </c>
      <c r="AP447" s="87">
        <v>2</v>
      </c>
      <c r="AQ447" s="87"/>
      <c r="AR447" s="87"/>
      <c r="AS447" s="87"/>
      <c r="AT447" s="87"/>
      <c r="AU447" s="87"/>
      <c r="AV447" s="87"/>
      <c r="AW447" s="88" t="str">
        <f>HYPERLINK("http://www.openstreetmap.org/?mlat=33.3619&amp;mlon=44.325&amp;zoom=12#map=12/33.3619/44.325","Maplink1")</f>
        <v>Maplink1</v>
      </c>
      <c r="AX447" s="88" t="str">
        <f>HYPERLINK("https://www.google.iq/maps/search/+33.3619,44.325/@33.3619,44.325,14z?hl=en","Maplink2")</f>
        <v>Maplink2</v>
      </c>
      <c r="AY447" s="88" t="str">
        <f>HYPERLINK("http://www.bing.com/maps/?lvl=14&amp;sty=h&amp;cp=33.3619~44.325&amp;sp=point.33.3619_44.325","Maplink3")</f>
        <v>Maplink3</v>
      </c>
      <c r="AZ447" s="76"/>
    </row>
    <row r="448" spans="1:52" x14ac:dyDescent="0.25">
      <c r="A448" s="86">
        <v>24752</v>
      </c>
      <c r="B448" s="87" t="s">
        <v>14</v>
      </c>
      <c r="C448" s="87" t="s">
        <v>887</v>
      </c>
      <c r="D448" s="87" t="s">
        <v>912</v>
      </c>
      <c r="E448" s="87" t="s">
        <v>913</v>
      </c>
      <c r="F448" s="87">
        <v>33.346983210499999</v>
      </c>
      <c r="G448" s="87">
        <v>44.3247900024</v>
      </c>
      <c r="H448" s="86">
        <v>7</v>
      </c>
      <c r="I448" s="86">
        <v>42</v>
      </c>
      <c r="J448" s="87"/>
      <c r="K448" s="87"/>
      <c r="L448" s="87"/>
      <c r="M448" s="87"/>
      <c r="N448" s="87"/>
      <c r="O448" s="87">
        <v>5</v>
      </c>
      <c r="P448" s="87"/>
      <c r="Q448" s="87"/>
      <c r="R448" s="87"/>
      <c r="S448" s="87"/>
      <c r="T448" s="87"/>
      <c r="U448" s="87"/>
      <c r="V448" s="87">
        <v>2</v>
      </c>
      <c r="W448" s="87"/>
      <c r="X448" s="87"/>
      <c r="Y448" s="87"/>
      <c r="Z448" s="87"/>
      <c r="AA448" s="87"/>
      <c r="AB448" s="87"/>
      <c r="AC448" s="87">
        <v>4</v>
      </c>
      <c r="AD448" s="87"/>
      <c r="AE448" s="87"/>
      <c r="AF448" s="87"/>
      <c r="AG448" s="87"/>
      <c r="AH448" s="87">
        <v>3</v>
      </c>
      <c r="AI448" s="87"/>
      <c r="AJ448" s="87"/>
      <c r="AK448" s="87"/>
      <c r="AL448" s="87"/>
      <c r="AM448" s="87"/>
      <c r="AN448" s="87"/>
      <c r="AO448" s="87">
        <v>5</v>
      </c>
      <c r="AP448" s="87"/>
      <c r="AQ448" s="87">
        <v>2</v>
      </c>
      <c r="AR448" s="87"/>
      <c r="AS448" s="87"/>
      <c r="AT448" s="87"/>
      <c r="AU448" s="87"/>
      <c r="AV448" s="87"/>
      <c r="AW448" s="88" t="str">
        <f>HYPERLINK("http://www.openstreetmap.org/?mlat=33.347&amp;mlon=44.3248&amp;zoom=12#map=12/33.347/44.3248","Maplink1")</f>
        <v>Maplink1</v>
      </c>
      <c r="AX448" s="88" t="str">
        <f>HYPERLINK("https://www.google.iq/maps/search/+33.347,44.3248/@33.347,44.3248,14z?hl=en","Maplink2")</f>
        <v>Maplink2</v>
      </c>
      <c r="AY448" s="88" t="str">
        <f>HYPERLINK("http://www.bing.com/maps/?lvl=14&amp;sty=h&amp;cp=33.347~44.3248&amp;sp=point.33.347_44.3248","Maplink3")</f>
        <v>Maplink3</v>
      </c>
      <c r="AZ448" s="76"/>
    </row>
    <row r="449" spans="1:52" x14ac:dyDescent="0.25">
      <c r="A449" s="86">
        <v>24936</v>
      </c>
      <c r="B449" s="87" t="s">
        <v>14</v>
      </c>
      <c r="C449" s="87" t="s">
        <v>887</v>
      </c>
      <c r="D449" s="87" t="s">
        <v>914</v>
      </c>
      <c r="E449" s="87" t="s">
        <v>915</v>
      </c>
      <c r="F449" s="87">
        <v>33.350762023000001</v>
      </c>
      <c r="G449" s="87">
        <v>44.3105177662</v>
      </c>
      <c r="H449" s="86">
        <v>4</v>
      </c>
      <c r="I449" s="86">
        <v>24</v>
      </c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>
        <v>4</v>
      </c>
      <c r="W449" s="87"/>
      <c r="X449" s="87"/>
      <c r="Y449" s="87"/>
      <c r="Z449" s="87"/>
      <c r="AA449" s="87"/>
      <c r="AB449" s="87"/>
      <c r="AC449" s="87">
        <v>1</v>
      </c>
      <c r="AD449" s="87"/>
      <c r="AE449" s="87"/>
      <c r="AF449" s="87"/>
      <c r="AG449" s="87"/>
      <c r="AH449" s="87">
        <v>3</v>
      </c>
      <c r="AI449" s="87"/>
      <c r="AJ449" s="87"/>
      <c r="AK449" s="87"/>
      <c r="AL449" s="87"/>
      <c r="AM449" s="87"/>
      <c r="AN449" s="87"/>
      <c r="AO449" s="87"/>
      <c r="AP449" s="87"/>
      <c r="AQ449" s="87">
        <v>3</v>
      </c>
      <c r="AR449" s="87"/>
      <c r="AS449" s="87"/>
      <c r="AT449" s="87">
        <v>1</v>
      </c>
      <c r="AU449" s="87"/>
      <c r="AV449" s="87"/>
      <c r="AW449" s="88" t="str">
        <f>HYPERLINK("http://www.openstreetmap.org/?mlat=33.3508&amp;mlon=44.3105&amp;zoom=12#map=12/33.3508/44.3105","Maplink1")</f>
        <v>Maplink1</v>
      </c>
      <c r="AX449" s="88" t="str">
        <f>HYPERLINK("https://www.google.iq/maps/search/+33.3508,44.3105/@33.3508,44.3105,14z?hl=en","Maplink2")</f>
        <v>Maplink2</v>
      </c>
      <c r="AY449" s="88" t="str">
        <f>HYPERLINK("http://www.bing.com/maps/?lvl=14&amp;sty=h&amp;cp=33.3508~44.3105&amp;sp=point.33.3508_44.3105","Maplink3")</f>
        <v>Maplink3</v>
      </c>
      <c r="AZ449" s="76"/>
    </row>
    <row r="450" spans="1:52" x14ac:dyDescent="0.25">
      <c r="A450" s="86">
        <v>24732</v>
      </c>
      <c r="B450" s="87" t="s">
        <v>14</v>
      </c>
      <c r="C450" s="87" t="s">
        <v>887</v>
      </c>
      <c r="D450" s="87" t="s">
        <v>916</v>
      </c>
      <c r="E450" s="87" t="s">
        <v>917</v>
      </c>
      <c r="F450" s="87">
        <v>33.354920131</v>
      </c>
      <c r="G450" s="87">
        <v>44.313211705000001</v>
      </c>
      <c r="H450" s="86">
        <v>4</v>
      </c>
      <c r="I450" s="86">
        <v>24</v>
      </c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>
        <v>2</v>
      </c>
      <c r="W450" s="87"/>
      <c r="X450" s="87">
        <v>2</v>
      </c>
      <c r="Y450" s="87"/>
      <c r="Z450" s="87"/>
      <c r="AA450" s="87"/>
      <c r="AB450" s="87"/>
      <c r="AC450" s="87">
        <v>2</v>
      </c>
      <c r="AD450" s="87"/>
      <c r="AE450" s="87"/>
      <c r="AF450" s="87"/>
      <c r="AG450" s="87"/>
      <c r="AH450" s="87">
        <v>2</v>
      </c>
      <c r="AI450" s="87"/>
      <c r="AJ450" s="87"/>
      <c r="AK450" s="87"/>
      <c r="AL450" s="87"/>
      <c r="AM450" s="87"/>
      <c r="AN450" s="87"/>
      <c r="AO450" s="87">
        <v>2</v>
      </c>
      <c r="AP450" s="87"/>
      <c r="AQ450" s="87"/>
      <c r="AR450" s="87">
        <v>2</v>
      </c>
      <c r="AS450" s="87"/>
      <c r="AT450" s="87"/>
      <c r="AU450" s="87"/>
      <c r="AV450" s="87"/>
      <c r="AW450" s="88" t="str">
        <f>HYPERLINK("http://www.openstreetmap.org/?mlat=33.3549&amp;mlon=44.3132&amp;zoom=12#map=12/33.3549/44.3132","Maplink1")</f>
        <v>Maplink1</v>
      </c>
      <c r="AX450" s="88" t="str">
        <f>HYPERLINK("https://www.google.iq/maps/search/+33.3549,44.3132/@33.3549,44.3132,14z?hl=en","Maplink2")</f>
        <v>Maplink2</v>
      </c>
      <c r="AY450" s="88" t="str">
        <f>HYPERLINK("http://www.bing.com/maps/?lvl=14&amp;sty=h&amp;cp=33.3549~44.3132&amp;sp=point.33.3549_44.3132","Maplink3")</f>
        <v>Maplink3</v>
      </c>
      <c r="AZ450" s="76"/>
    </row>
    <row r="451" spans="1:52" x14ac:dyDescent="0.25">
      <c r="A451" s="86">
        <v>24937</v>
      </c>
      <c r="B451" s="87" t="s">
        <v>14</v>
      </c>
      <c r="C451" s="87" t="s">
        <v>887</v>
      </c>
      <c r="D451" s="87" t="s">
        <v>918</v>
      </c>
      <c r="E451" s="87" t="s">
        <v>919</v>
      </c>
      <c r="F451" s="87">
        <v>33.361542218499999</v>
      </c>
      <c r="G451" s="87">
        <v>44.311011053500003</v>
      </c>
      <c r="H451" s="86">
        <v>5</v>
      </c>
      <c r="I451" s="86">
        <v>30</v>
      </c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>
        <v>3</v>
      </c>
      <c r="W451" s="87"/>
      <c r="X451" s="87">
        <v>2</v>
      </c>
      <c r="Y451" s="87"/>
      <c r="Z451" s="87"/>
      <c r="AA451" s="87"/>
      <c r="AB451" s="87"/>
      <c r="AC451" s="87">
        <v>3</v>
      </c>
      <c r="AD451" s="87"/>
      <c r="AE451" s="87"/>
      <c r="AF451" s="87"/>
      <c r="AG451" s="87"/>
      <c r="AH451" s="87">
        <v>2</v>
      </c>
      <c r="AI451" s="87"/>
      <c r="AJ451" s="87"/>
      <c r="AK451" s="87"/>
      <c r="AL451" s="87"/>
      <c r="AM451" s="87"/>
      <c r="AN451" s="87"/>
      <c r="AO451" s="87">
        <v>3</v>
      </c>
      <c r="AP451" s="87"/>
      <c r="AQ451" s="87">
        <v>2</v>
      </c>
      <c r="AR451" s="87"/>
      <c r="AS451" s="87"/>
      <c r="AT451" s="87"/>
      <c r="AU451" s="87"/>
      <c r="AV451" s="87"/>
      <c r="AW451" s="88" t="str">
        <f>HYPERLINK("http://www.openstreetmap.org/?mlat=33.3615&amp;mlon=44.311&amp;zoom=12#map=12/33.3615/44.311","Maplink1")</f>
        <v>Maplink1</v>
      </c>
      <c r="AX451" s="88" t="str">
        <f>HYPERLINK("https://www.google.iq/maps/search/+33.3615,44.311/@33.3615,44.311,14z?hl=en","Maplink2")</f>
        <v>Maplink2</v>
      </c>
      <c r="AY451" s="88" t="str">
        <f>HYPERLINK("http://www.bing.com/maps/?lvl=14&amp;sty=h&amp;cp=33.3615~44.311&amp;sp=point.33.3615_44.311","Maplink3")</f>
        <v>Maplink3</v>
      </c>
      <c r="AZ451" s="76"/>
    </row>
    <row r="452" spans="1:52" x14ac:dyDescent="0.25">
      <c r="A452" s="86">
        <v>24733</v>
      </c>
      <c r="B452" s="87" t="s">
        <v>14</v>
      </c>
      <c r="C452" s="87" t="s">
        <v>887</v>
      </c>
      <c r="D452" s="87" t="s">
        <v>920</v>
      </c>
      <c r="E452" s="87" t="s">
        <v>921</v>
      </c>
      <c r="F452" s="87">
        <v>33.367075442299999</v>
      </c>
      <c r="G452" s="87">
        <v>44.304972606299998</v>
      </c>
      <c r="H452" s="86">
        <v>6</v>
      </c>
      <c r="I452" s="86">
        <v>36</v>
      </c>
      <c r="J452" s="87"/>
      <c r="K452" s="87"/>
      <c r="L452" s="87"/>
      <c r="M452" s="87"/>
      <c r="N452" s="87"/>
      <c r="O452" s="87">
        <v>2</v>
      </c>
      <c r="P452" s="87"/>
      <c r="Q452" s="87"/>
      <c r="R452" s="87"/>
      <c r="S452" s="87"/>
      <c r="T452" s="87"/>
      <c r="U452" s="87"/>
      <c r="V452" s="87">
        <v>2</v>
      </c>
      <c r="W452" s="87"/>
      <c r="X452" s="87">
        <v>2</v>
      </c>
      <c r="Y452" s="87"/>
      <c r="Z452" s="87"/>
      <c r="AA452" s="87"/>
      <c r="AB452" s="87"/>
      <c r="AC452" s="87">
        <v>2</v>
      </c>
      <c r="AD452" s="87"/>
      <c r="AE452" s="87"/>
      <c r="AF452" s="87"/>
      <c r="AG452" s="87"/>
      <c r="AH452" s="87">
        <v>4</v>
      </c>
      <c r="AI452" s="87"/>
      <c r="AJ452" s="87"/>
      <c r="AK452" s="87"/>
      <c r="AL452" s="87"/>
      <c r="AM452" s="87"/>
      <c r="AN452" s="87">
        <v>2</v>
      </c>
      <c r="AO452" s="87">
        <v>2</v>
      </c>
      <c r="AP452" s="87"/>
      <c r="AQ452" s="87"/>
      <c r="AR452" s="87"/>
      <c r="AS452" s="87"/>
      <c r="AT452" s="87">
        <v>2</v>
      </c>
      <c r="AU452" s="87"/>
      <c r="AV452" s="87"/>
      <c r="AW452" s="88" t="str">
        <f>HYPERLINK("http://www.openstreetmap.org/?mlat=33.3671&amp;mlon=44.305&amp;zoom=12#map=12/33.3671/44.305","Maplink1")</f>
        <v>Maplink1</v>
      </c>
      <c r="AX452" s="88" t="str">
        <f>HYPERLINK("https://www.google.iq/maps/search/+33.3671,44.305/@33.3671,44.305,14z?hl=en","Maplink2")</f>
        <v>Maplink2</v>
      </c>
      <c r="AY452" s="88" t="str">
        <f>HYPERLINK("http://www.bing.com/maps/?lvl=14&amp;sty=h&amp;cp=33.3671~44.305&amp;sp=point.33.3671_44.305","Maplink3")</f>
        <v>Maplink3</v>
      </c>
      <c r="AZ452" s="76"/>
    </row>
    <row r="453" spans="1:52" x14ac:dyDescent="0.25">
      <c r="A453" s="86">
        <v>25198</v>
      </c>
      <c r="B453" s="87" t="s">
        <v>14</v>
      </c>
      <c r="C453" s="87" t="s">
        <v>887</v>
      </c>
      <c r="D453" s="87" t="s">
        <v>922</v>
      </c>
      <c r="E453" s="87" t="s">
        <v>923</v>
      </c>
      <c r="F453" s="87">
        <v>33.517734816599997</v>
      </c>
      <c r="G453" s="87">
        <v>44.233466769499998</v>
      </c>
      <c r="H453" s="86">
        <v>8</v>
      </c>
      <c r="I453" s="86">
        <v>48</v>
      </c>
      <c r="J453" s="87">
        <v>8</v>
      </c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>
        <v>4</v>
      </c>
      <c r="AD453" s="87"/>
      <c r="AE453" s="87"/>
      <c r="AF453" s="87"/>
      <c r="AG453" s="87"/>
      <c r="AH453" s="87">
        <v>4</v>
      </c>
      <c r="AI453" s="87"/>
      <c r="AJ453" s="87"/>
      <c r="AK453" s="87"/>
      <c r="AL453" s="87"/>
      <c r="AM453" s="87"/>
      <c r="AN453" s="87"/>
      <c r="AO453" s="87"/>
      <c r="AP453" s="87">
        <v>3</v>
      </c>
      <c r="AQ453" s="87">
        <v>5</v>
      </c>
      <c r="AR453" s="87"/>
      <c r="AS453" s="87"/>
      <c r="AT453" s="87"/>
      <c r="AU453" s="87"/>
      <c r="AV453" s="87"/>
      <c r="AW453" s="88" t="str">
        <f>HYPERLINK("http://www.openstreetmap.org/?mlat=33.5177&amp;mlon=44.2335&amp;zoom=12#map=12/33.5177/44.2335","Maplink1")</f>
        <v>Maplink1</v>
      </c>
      <c r="AX453" s="88" t="str">
        <f>HYPERLINK("https://www.google.iq/maps/search/+33.5177,44.2335/@33.5177,44.2335,14z?hl=en","Maplink2")</f>
        <v>Maplink2</v>
      </c>
      <c r="AY453" s="88" t="str">
        <f>HYPERLINK("http://www.bing.com/maps/?lvl=14&amp;sty=h&amp;cp=33.5177~44.2335&amp;sp=point.33.5177_44.2335","Maplink3")</f>
        <v>Maplink3</v>
      </c>
      <c r="AZ453" s="76"/>
    </row>
    <row r="454" spans="1:52" x14ac:dyDescent="0.25">
      <c r="A454" s="86">
        <v>25718</v>
      </c>
      <c r="B454" s="87" t="s">
        <v>14</v>
      </c>
      <c r="C454" s="87" t="s">
        <v>887</v>
      </c>
      <c r="D454" s="87" t="s">
        <v>924</v>
      </c>
      <c r="E454" s="87" t="s">
        <v>925</v>
      </c>
      <c r="F454" s="87">
        <v>33.344737747800004</v>
      </c>
      <c r="G454" s="87">
        <v>44.3435128789</v>
      </c>
      <c r="H454" s="86">
        <v>9</v>
      </c>
      <c r="I454" s="86">
        <v>54</v>
      </c>
      <c r="J454" s="87">
        <v>3</v>
      </c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>
        <v>4</v>
      </c>
      <c r="W454" s="87"/>
      <c r="X454" s="87">
        <v>2</v>
      </c>
      <c r="Y454" s="87"/>
      <c r="Z454" s="87"/>
      <c r="AA454" s="87"/>
      <c r="AB454" s="87"/>
      <c r="AC454" s="87">
        <v>4</v>
      </c>
      <c r="AD454" s="87"/>
      <c r="AE454" s="87"/>
      <c r="AF454" s="87"/>
      <c r="AG454" s="87"/>
      <c r="AH454" s="87">
        <v>5</v>
      </c>
      <c r="AI454" s="87"/>
      <c r="AJ454" s="87"/>
      <c r="AK454" s="87"/>
      <c r="AL454" s="87"/>
      <c r="AM454" s="87"/>
      <c r="AN454" s="87"/>
      <c r="AO454" s="87">
        <v>3</v>
      </c>
      <c r="AP454" s="87"/>
      <c r="AQ454" s="87">
        <v>3</v>
      </c>
      <c r="AR454" s="87"/>
      <c r="AS454" s="87"/>
      <c r="AT454" s="87">
        <v>3</v>
      </c>
      <c r="AU454" s="87"/>
      <c r="AV454" s="87"/>
      <c r="AW454" s="88" t="str">
        <f>HYPERLINK("http://www.openstreetmap.org/?mlat=33.3447&amp;mlon=44.3435&amp;zoom=12#map=12/33.3447/44.3435","Maplink1")</f>
        <v>Maplink1</v>
      </c>
      <c r="AX454" s="88" t="str">
        <f>HYPERLINK("https://www.google.iq/maps/search/+33.3447,44.3435/@33.3447,44.3435,14z?hl=en","Maplink2")</f>
        <v>Maplink2</v>
      </c>
      <c r="AY454" s="88" t="str">
        <f>HYPERLINK("http://www.bing.com/maps/?lvl=14&amp;sty=h&amp;cp=33.3447~44.3435&amp;sp=point.33.3447_44.3435","Maplink3")</f>
        <v>Maplink3</v>
      </c>
      <c r="AZ454" s="76"/>
    </row>
    <row r="455" spans="1:52" x14ac:dyDescent="0.25">
      <c r="A455" s="86">
        <v>25717</v>
      </c>
      <c r="B455" s="87" t="s">
        <v>14</v>
      </c>
      <c r="C455" s="87" t="s">
        <v>887</v>
      </c>
      <c r="D455" s="87" t="s">
        <v>926</v>
      </c>
      <c r="E455" s="87" t="s">
        <v>927</v>
      </c>
      <c r="F455" s="87">
        <v>33.347650563999998</v>
      </c>
      <c r="G455" s="87">
        <v>44.346469419999998</v>
      </c>
      <c r="H455" s="86">
        <v>8</v>
      </c>
      <c r="I455" s="86">
        <v>48</v>
      </c>
      <c r="J455" s="87">
        <v>5</v>
      </c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>
        <v>3</v>
      </c>
      <c r="W455" s="87"/>
      <c r="X455" s="87"/>
      <c r="Y455" s="87"/>
      <c r="Z455" s="87"/>
      <c r="AA455" s="87"/>
      <c r="AB455" s="87"/>
      <c r="AC455" s="87">
        <v>3</v>
      </c>
      <c r="AD455" s="87"/>
      <c r="AE455" s="87"/>
      <c r="AF455" s="87"/>
      <c r="AG455" s="87"/>
      <c r="AH455" s="87">
        <v>5</v>
      </c>
      <c r="AI455" s="87"/>
      <c r="AJ455" s="87"/>
      <c r="AK455" s="87"/>
      <c r="AL455" s="87"/>
      <c r="AM455" s="87"/>
      <c r="AN455" s="87">
        <v>5</v>
      </c>
      <c r="AO455" s="87"/>
      <c r="AP455" s="87"/>
      <c r="AQ455" s="87"/>
      <c r="AR455" s="87"/>
      <c r="AS455" s="87"/>
      <c r="AT455" s="87">
        <v>3</v>
      </c>
      <c r="AU455" s="87"/>
      <c r="AV455" s="87"/>
      <c r="AW455" s="88" t="str">
        <f>HYPERLINK("http://www.openstreetmap.org/?mlat=33.3477&amp;mlon=44.3465&amp;zoom=12#map=12/33.3477/44.3465","Maplink1")</f>
        <v>Maplink1</v>
      </c>
      <c r="AX455" s="88" t="str">
        <f>HYPERLINK("https://www.google.iq/maps/search/+33.3477,44.3465/@33.3477,44.3465,14z?hl=en","Maplink2")</f>
        <v>Maplink2</v>
      </c>
      <c r="AY455" s="88" t="str">
        <f>HYPERLINK("http://www.bing.com/maps/?lvl=14&amp;sty=h&amp;cp=33.3477~44.3465&amp;sp=point.33.3477_44.3465","Maplink3")</f>
        <v>Maplink3</v>
      </c>
      <c r="AZ455" s="76"/>
    </row>
    <row r="456" spans="1:52" x14ac:dyDescent="0.25">
      <c r="A456" s="86">
        <v>23579</v>
      </c>
      <c r="B456" s="87" t="s">
        <v>14</v>
      </c>
      <c r="C456" s="87" t="s">
        <v>887</v>
      </c>
      <c r="D456" s="87" t="s">
        <v>928</v>
      </c>
      <c r="E456" s="87" t="s">
        <v>929</v>
      </c>
      <c r="F456" s="87">
        <v>33.347183642499999</v>
      </c>
      <c r="G456" s="87">
        <v>44.339419574799997</v>
      </c>
      <c r="H456" s="86">
        <v>9</v>
      </c>
      <c r="I456" s="86">
        <v>54</v>
      </c>
      <c r="J456" s="87">
        <v>6</v>
      </c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>
        <v>3</v>
      </c>
      <c r="Y456" s="87"/>
      <c r="Z456" s="87"/>
      <c r="AA456" s="87"/>
      <c r="AB456" s="87"/>
      <c r="AC456" s="87">
        <v>2</v>
      </c>
      <c r="AD456" s="87"/>
      <c r="AE456" s="87"/>
      <c r="AF456" s="87"/>
      <c r="AG456" s="87"/>
      <c r="AH456" s="87">
        <v>7</v>
      </c>
      <c r="AI456" s="87"/>
      <c r="AJ456" s="87"/>
      <c r="AK456" s="87"/>
      <c r="AL456" s="87"/>
      <c r="AM456" s="87"/>
      <c r="AN456" s="87"/>
      <c r="AO456" s="87"/>
      <c r="AP456" s="87"/>
      <c r="AQ456" s="87">
        <v>3</v>
      </c>
      <c r="AR456" s="87">
        <v>6</v>
      </c>
      <c r="AS456" s="87"/>
      <c r="AT456" s="87"/>
      <c r="AU456" s="87"/>
      <c r="AV456" s="87"/>
      <c r="AW456" s="88" t="str">
        <f>HYPERLINK("http://www.openstreetmap.org/?mlat=33.3472&amp;mlon=44.3394&amp;zoom=12#map=12/33.3472/44.3394","Maplink1")</f>
        <v>Maplink1</v>
      </c>
      <c r="AX456" s="88" t="str">
        <f>HYPERLINK("https://www.google.iq/maps/search/+33.3472,44.3394/@33.3472,44.3394,14z?hl=en","Maplink2")</f>
        <v>Maplink2</v>
      </c>
      <c r="AY456" s="88" t="str">
        <f>HYPERLINK("http://www.bing.com/maps/?lvl=14&amp;sty=h&amp;cp=33.3472~44.3394&amp;sp=point.33.3472_44.3394","Maplink3")</f>
        <v>Maplink3</v>
      </c>
      <c r="AZ456" s="76"/>
    </row>
    <row r="457" spans="1:52" x14ac:dyDescent="0.25">
      <c r="A457" s="86">
        <v>25719</v>
      </c>
      <c r="B457" s="87" t="s">
        <v>14</v>
      </c>
      <c r="C457" s="87" t="s">
        <v>887</v>
      </c>
      <c r="D457" s="87" t="s">
        <v>930</v>
      </c>
      <c r="E457" s="87" t="s">
        <v>931</v>
      </c>
      <c r="F457" s="87">
        <v>33.345852358599998</v>
      </c>
      <c r="G457" s="87">
        <v>44.335635347100002</v>
      </c>
      <c r="H457" s="86">
        <v>5</v>
      </c>
      <c r="I457" s="86">
        <v>30</v>
      </c>
      <c r="J457" s="87">
        <v>4</v>
      </c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>
        <v>1</v>
      </c>
      <c r="W457" s="87"/>
      <c r="X457" s="87"/>
      <c r="Y457" s="87"/>
      <c r="Z457" s="87"/>
      <c r="AA457" s="87"/>
      <c r="AB457" s="87"/>
      <c r="AC457" s="87">
        <v>3</v>
      </c>
      <c r="AD457" s="87"/>
      <c r="AE457" s="87"/>
      <c r="AF457" s="87"/>
      <c r="AG457" s="87"/>
      <c r="AH457" s="87">
        <v>2</v>
      </c>
      <c r="AI457" s="87"/>
      <c r="AJ457" s="87"/>
      <c r="AK457" s="87"/>
      <c r="AL457" s="87"/>
      <c r="AM457" s="87"/>
      <c r="AN457" s="87"/>
      <c r="AO457" s="87">
        <v>4</v>
      </c>
      <c r="AP457" s="87">
        <v>1</v>
      </c>
      <c r="AQ457" s="87"/>
      <c r="AR457" s="87"/>
      <c r="AS457" s="87"/>
      <c r="AT457" s="87"/>
      <c r="AU457" s="87"/>
      <c r="AV457" s="87"/>
      <c r="AW457" s="88" t="str">
        <f>HYPERLINK("http://www.openstreetmap.org/?mlat=33.3459&amp;mlon=44.3356&amp;zoom=12#map=12/33.3459/44.3356","Maplink1")</f>
        <v>Maplink1</v>
      </c>
      <c r="AX457" s="88" t="str">
        <f>HYPERLINK("https://www.google.iq/maps/search/+33.3459,44.3356/@33.3459,44.3356,14z?hl=en","Maplink2")</f>
        <v>Maplink2</v>
      </c>
      <c r="AY457" s="88" t="str">
        <f>HYPERLINK("http://www.bing.com/maps/?lvl=14&amp;sty=h&amp;cp=33.3459~44.3356&amp;sp=point.33.3459_44.3356","Maplink3")</f>
        <v>Maplink3</v>
      </c>
      <c r="AZ457" s="76"/>
    </row>
    <row r="458" spans="1:52" x14ac:dyDescent="0.25">
      <c r="A458" s="86">
        <v>25200</v>
      </c>
      <c r="B458" s="87" t="s">
        <v>14</v>
      </c>
      <c r="C458" s="87" t="s">
        <v>887</v>
      </c>
      <c r="D458" s="87" t="s">
        <v>932</v>
      </c>
      <c r="E458" s="87" t="s">
        <v>933</v>
      </c>
      <c r="F458" s="87">
        <v>33.355826253300002</v>
      </c>
      <c r="G458" s="87">
        <v>44.336331456700002</v>
      </c>
      <c r="H458" s="86">
        <v>9</v>
      </c>
      <c r="I458" s="86">
        <v>54</v>
      </c>
      <c r="J458" s="87">
        <v>5</v>
      </c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>
        <v>4</v>
      </c>
      <c r="W458" s="87"/>
      <c r="X458" s="87"/>
      <c r="Y458" s="87"/>
      <c r="Z458" s="87"/>
      <c r="AA458" s="87"/>
      <c r="AB458" s="87"/>
      <c r="AC458" s="87">
        <v>2</v>
      </c>
      <c r="AD458" s="87"/>
      <c r="AE458" s="87"/>
      <c r="AF458" s="87"/>
      <c r="AG458" s="87"/>
      <c r="AH458" s="87">
        <v>7</v>
      </c>
      <c r="AI458" s="87"/>
      <c r="AJ458" s="87"/>
      <c r="AK458" s="87"/>
      <c r="AL458" s="87"/>
      <c r="AM458" s="87"/>
      <c r="AN458" s="87"/>
      <c r="AO458" s="87">
        <v>5</v>
      </c>
      <c r="AP458" s="87"/>
      <c r="AQ458" s="87"/>
      <c r="AR458" s="87">
        <v>4</v>
      </c>
      <c r="AS458" s="87"/>
      <c r="AT458" s="87"/>
      <c r="AU458" s="87"/>
      <c r="AV458" s="87"/>
      <c r="AW458" s="88" t="str">
        <f>HYPERLINK("http://www.openstreetmap.org/?mlat=33.3558&amp;mlon=44.3363&amp;zoom=12#map=12/33.3558/44.3363","Maplink1")</f>
        <v>Maplink1</v>
      </c>
      <c r="AX458" s="88" t="str">
        <f>HYPERLINK("https://www.google.iq/maps/search/+33.3558,44.3363/@33.3558,44.3363,14z?hl=en","Maplink2")</f>
        <v>Maplink2</v>
      </c>
      <c r="AY458" s="88" t="str">
        <f>HYPERLINK("http://www.bing.com/maps/?lvl=14&amp;sty=h&amp;cp=33.3558~44.3363&amp;sp=point.33.3558_44.3363","Maplink3")</f>
        <v>Maplink3</v>
      </c>
      <c r="AZ458" s="76"/>
    </row>
    <row r="459" spans="1:52" x14ac:dyDescent="0.25">
      <c r="A459" s="86">
        <v>25199</v>
      </c>
      <c r="B459" s="87" t="s">
        <v>14</v>
      </c>
      <c r="C459" s="87" t="s">
        <v>887</v>
      </c>
      <c r="D459" s="87" t="s">
        <v>934</v>
      </c>
      <c r="E459" s="87" t="s">
        <v>935</v>
      </c>
      <c r="F459" s="87">
        <v>33.506594356100003</v>
      </c>
      <c r="G459" s="87">
        <v>44.237274428799999</v>
      </c>
      <c r="H459" s="86">
        <v>8</v>
      </c>
      <c r="I459" s="86">
        <v>48</v>
      </c>
      <c r="J459" s="87">
        <v>8</v>
      </c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>
        <v>4</v>
      </c>
      <c r="AD459" s="87"/>
      <c r="AE459" s="87"/>
      <c r="AF459" s="87"/>
      <c r="AG459" s="87"/>
      <c r="AH459" s="87">
        <v>4</v>
      </c>
      <c r="AI459" s="87"/>
      <c r="AJ459" s="87"/>
      <c r="AK459" s="87"/>
      <c r="AL459" s="87"/>
      <c r="AM459" s="87"/>
      <c r="AN459" s="87"/>
      <c r="AO459" s="87"/>
      <c r="AP459" s="87">
        <v>5</v>
      </c>
      <c r="AQ459" s="87">
        <v>3</v>
      </c>
      <c r="AR459" s="87"/>
      <c r="AS459" s="87"/>
      <c r="AT459" s="87"/>
      <c r="AU459" s="87"/>
      <c r="AV459" s="87"/>
      <c r="AW459" s="88" t="str">
        <f>HYPERLINK("http://www.openstreetmap.org/?mlat=33.5066&amp;mlon=44.2373&amp;zoom=12#map=12/33.5066/44.2373","Maplink1")</f>
        <v>Maplink1</v>
      </c>
      <c r="AX459" s="88" t="str">
        <f>HYPERLINK("https://www.google.iq/maps/search/+33.5066,44.2373/@33.5066,44.2373,14z?hl=en","Maplink2")</f>
        <v>Maplink2</v>
      </c>
      <c r="AY459" s="88" t="str">
        <f>HYPERLINK("http://www.bing.com/maps/?lvl=14&amp;sty=h&amp;cp=33.5066~44.2373&amp;sp=point.33.5066_44.2373","Maplink3")</f>
        <v>Maplink3</v>
      </c>
      <c r="AZ459" s="76"/>
    </row>
    <row r="460" spans="1:52" x14ac:dyDescent="0.25">
      <c r="A460" s="86">
        <v>27249</v>
      </c>
      <c r="B460" s="87" t="s">
        <v>14</v>
      </c>
      <c r="C460" s="87" t="s">
        <v>887</v>
      </c>
      <c r="D460" s="87" t="s">
        <v>936</v>
      </c>
      <c r="E460" s="87" t="s">
        <v>937</v>
      </c>
      <c r="F460" s="87">
        <v>33.559000805300002</v>
      </c>
      <c r="G460" s="87">
        <v>44.1891059099</v>
      </c>
      <c r="H460" s="86">
        <v>7</v>
      </c>
      <c r="I460" s="86">
        <v>42</v>
      </c>
      <c r="J460" s="87">
        <v>5</v>
      </c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>
        <v>2</v>
      </c>
      <c r="Y460" s="87"/>
      <c r="Z460" s="87"/>
      <c r="AA460" s="87"/>
      <c r="AB460" s="87"/>
      <c r="AC460" s="87">
        <v>2</v>
      </c>
      <c r="AD460" s="87"/>
      <c r="AE460" s="87"/>
      <c r="AF460" s="87"/>
      <c r="AG460" s="87"/>
      <c r="AH460" s="87">
        <v>5</v>
      </c>
      <c r="AI460" s="87"/>
      <c r="AJ460" s="87"/>
      <c r="AK460" s="87"/>
      <c r="AL460" s="87"/>
      <c r="AM460" s="87"/>
      <c r="AN460" s="87"/>
      <c r="AO460" s="87"/>
      <c r="AP460" s="87"/>
      <c r="AQ460" s="87">
        <v>3</v>
      </c>
      <c r="AR460" s="87">
        <v>4</v>
      </c>
      <c r="AS460" s="87"/>
      <c r="AT460" s="87"/>
      <c r="AU460" s="87"/>
      <c r="AV460" s="87"/>
      <c r="AW460" s="88" t="str">
        <f>HYPERLINK("http://www.openstreetmap.org/?mlat=33.559&amp;mlon=44.1891&amp;zoom=12#map=12/33.559/44.1891","Maplink1")</f>
        <v>Maplink1</v>
      </c>
      <c r="AX460" s="88" t="str">
        <f>HYPERLINK("https://www.google.iq/maps/search/+33.559,44.1891/@33.559,44.1891,14z?hl=en","Maplink2")</f>
        <v>Maplink2</v>
      </c>
      <c r="AY460" s="88" t="str">
        <f>HYPERLINK("http://www.bing.com/maps/?lvl=14&amp;sty=h&amp;cp=33.559~44.1891&amp;sp=point.33.559_44.1891","Maplink3")</f>
        <v>Maplink3</v>
      </c>
      <c r="AZ460" s="76"/>
    </row>
    <row r="461" spans="1:52" x14ac:dyDescent="0.25">
      <c r="A461" s="86">
        <v>27309</v>
      </c>
      <c r="B461" s="87" t="s">
        <v>14</v>
      </c>
      <c r="C461" s="87" t="s">
        <v>887</v>
      </c>
      <c r="D461" s="87" t="s">
        <v>938</v>
      </c>
      <c r="E461" s="87" t="s">
        <v>939</v>
      </c>
      <c r="F461" s="87">
        <v>33.538300252699997</v>
      </c>
      <c r="G461" s="87">
        <v>44.245841486899998</v>
      </c>
      <c r="H461" s="86">
        <v>8</v>
      </c>
      <c r="I461" s="86">
        <v>48</v>
      </c>
      <c r="J461" s="87">
        <v>8</v>
      </c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>
        <v>8</v>
      </c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>
        <v>4</v>
      </c>
      <c r="AR461" s="87">
        <v>4</v>
      </c>
      <c r="AS461" s="87"/>
      <c r="AT461" s="87"/>
      <c r="AU461" s="87"/>
      <c r="AV461" s="87"/>
      <c r="AW461" s="88" t="str">
        <f>HYPERLINK("http://www.openstreetmap.org/?mlat=33.5383&amp;mlon=44.2458&amp;zoom=12#map=12/33.5383/44.2458","Maplink1")</f>
        <v>Maplink1</v>
      </c>
      <c r="AX461" s="88" t="str">
        <f>HYPERLINK("https://www.google.iq/maps/search/+33.5383,44.2458/@33.5383,44.2458,14z?hl=en","Maplink2")</f>
        <v>Maplink2</v>
      </c>
      <c r="AY461" s="88" t="str">
        <f>HYPERLINK("http://www.bing.com/maps/?lvl=14&amp;sty=h&amp;cp=33.5383~44.2458&amp;sp=point.33.5383_44.2458","Maplink3")</f>
        <v>Maplink3</v>
      </c>
      <c r="AZ461" s="76"/>
    </row>
    <row r="462" spans="1:52" x14ac:dyDescent="0.25">
      <c r="A462" s="86">
        <v>24501</v>
      </c>
      <c r="B462" s="87" t="s">
        <v>14</v>
      </c>
      <c r="C462" s="87" t="s">
        <v>887</v>
      </c>
      <c r="D462" s="87" t="s">
        <v>940</v>
      </c>
      <c r="E462" s="87" t="s">
        <v>941</v>
      </c>
      <c r="F462" s="87">
        <v>33.351159046900001</v>
      </c>
      <c r="G462" s="87">
        <v>44.352253075199997</v>
      </c>
      <c r="H462" s="86">
        <v>9</v>
      </c>
      <c r="I462" s="86">
        <v>54</v>
      </c>
      <c r="J462" s="87">
        <v>5</v>
      </c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>
        <v>4</v>
      </c>
      <c r="W462" s="87"/>
      <c r="X462" s="87"/>
      <c r="Y462" s="87"/>
      <c r="Z462" s="87"/>
      <c r="AA462" s="87"/>
      <c r="AB462" s="87"/>
      <c r="AC462" s="87">
        <v>3</v>
      </c>
      <c r="AD462" s="87"/>
      <c r="AE462" s="87"/>
      <c r="AF462" s="87"/>
      <c r="AG462" s="87"/>
      <c r="AH462" s="87">
        <v>6</v>
      </c>
      <c r="AI462" s="87"/>
      <c r="AJ462" s="87"/>
      <c r="AK462" s="87"/>
      <c r="AL462" s="87"/>
      <c r="AM462" s="87"/>
      <c r="AN462" s="87"/>
      <c r="AO462" s="87">
        <v>4</v>
      </c>
      <c r="AP462" s="87"/>
      <c r="AQ462" s="87">
        <v>5</v>
      </c>
      <c r="AR462" s="87"/>
      <c r="AS462" s="87"/>
      <c r="AT462" s="87"/>
      <c r="AU462" s="87"/>
      <c r="AV462" s="87"/>
      <c r="AW462" s="88" t="str">
        <f>HYPERLINK("http://www.openstreetmap.org/?mlat=33.3512&amp;mlon=44.3523&amp;zoom=12#map=12/33.3512/44.3523","Maplink1")</f>
        <v>Maplink1</v>
      </c>
      <c r="AX462" s="88" t="str">
        <f>HYPERLINK("https://www.google.iq/maps/search/+33.3512,44.3523/@33.3512,44.3523,14z?hl=en","Maplink2")</f>
        <v>Maplink2</v>
      </c>
      <c r="AY462" s="88" t="str">
        <f>HYPERLINK("http://www.bing.com/maps/?lvl=14&amp;sty=h&amp;cp=33.3512~44.3523&amp;sp=point.33.3512_44.3523","Maplink3")</f>
        <v>Maplink3</v>
      </c>
      <c r="AZ462" s="76"/>
    </row>
    <row r="463" spans="1:52" x14ac:dyDescent="0.25">
      <c r="A463" s="86">
        <v>23508</v>
      </c>
      <c r="B463" s="87" t="s">
        <v>14</v>
      </c>
      <c r="C463" s="87" t="s">
        <v>887</v>
      </c>
      <c r="D463" s="87" t="s">
        <v>942</v>
      </c>
      <c r="E463" s="87" t="s">
        <v>943</v>
      </c>
      <c r="F463" s="87">
        <v>33.574395553700001</v>
      </c>
      <c r="G463" s="87">
        <v>44.1823801866</v>
      </c>
      <c r="H463" s="86">
        <v>4</v>
      </c>
      <c r="I463" s="86">
        <v>24</v>
      </c>
      <c r="J463" s="87">
        <v>4</v>
      </c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>
        <v>2</v>
      </c>
      <c r="AD463" s="87"/>
      <c r="AE463" s="87"/>
      <c r="AF463" s="87"/>
      <c r="AG463" s="87"/>
      <c r="AH463" s="87">
        <v>2</v>
      </c>
      <c r="AI463" s="87"/>
      <c r="AJ463" s="87"/>
      <c r="AK463" s="87"/>
      <c r="AL463" s="87"/>
      <c r="AM463" s="87"/>
      <c r="AN463" s="87"/>
      <c r="AO463" s="87"/>
      <c r="AP463" s="87"/>
      <c r="AQ463" s="87">
        <v>4</v>
      </c>
      <c r="AR463" s="87"/>
      <c r="AS463" s="87"/>
      <c r="AT463" s="87"/>
      <c r="AU463" s="87"/>
      <c r="AV463" s="87"/>
      <c r="AW463" s="88" t="str">
        <f>HYPERLINK("http://www.openstreetmap.org/?mlat=33.5744&amp;mlon=44.1824&amp;zoom=12#map=12/33.5744/44.1824","Maplink1")</f>
        <v>Maplink1</v>
      </c>
      <c r="AX463" s="88" t="str">
        <f>HYPERLINK("https://www.google.iq/maps/search/+33.5744,44.1824/@33.5744,44.1824,14z?hl=en","Maplink2")</f>
        <v>Maplink2</v>
      </c>
      <c r="AY463" s="88" t="str">
        <f>HYPERLINK("http://www.bing.com/maps/?lvl=14&amp;sty=h&amp;cp=33.5744~44.1824&amp;sp=point.33.5744_44.1824","Maplink3")</f>
        <v>Maplink3</v>
      </c>
      <c r="AZ463" s="76"/>
    </row>
    <row r="464" spans="1:52" x14ac:dyDescent="0.25">
      <c r="A464" s="86">
        <v>27250</v>
      </c>
      <c r="B464" s="87" t="s">
        <v>14</v>
      </c>
      <c r="C464" s="87" t="s">
        <v>887</v>
      </c>
      <c r="D464" s="87" t="s">
        <v>944</v>
      </c>
      <c r="E464" s="87" t="s">
        <v>945</v>
      </c>
      <c r="F464" s="87">
        <v>33.549419324500001</v>
      </c>
      <c r="G464" s="87">
        <v>44.168413000199997</v>
      </c>
      <c r="H464" s="86">
        <v>5</v>
      </c>
      <c r="I464" s="86">
        <v>30</v>
      </c>
      <c r="J464" s="87">
        <v>5</v>
      </c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>
        <v>5</v>
      </c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>
        <v>5</v>
      </c>
      <c r="AR464" s="87"/>
      <c r="AS464" s="87"/>
      <c r="AT464" s="87"/>
      <c r="AU464" s="87"/>
      <c r="AV464" s="87"/>
      <c r="AW464" s="88" t="str">
        <f>HYPERLINK("http://www.openstreetmap.org/?mlat=33.5494&amp;mlon=44.1684&amp;zoom=12#map=12/33.5494/44.1684","Maplink1")</f>
        <v>Maplink1</v>
      </c>
      <c r="AX464" s="88" t="str">
        <f>HYPERLINK("https://www.google.iq/maps/search/+33.5494,44.1684/@33.5494,44.1684,14z?hl=en","Maplink2")</f>
        <v>Maplink2</v>
      </c>
      <c r="AY464" s="88" t="str">
        <f>HYPERLINK("http://www.bing.com/maps/?lvl=14&amp;sty=h&amp;cp=33.5494~44.1684&amp;sp=point.33.5494_44.1684","Maplink3")</f>
        <v>Maplink3</v>
      </c>
      <c r="AZ464" s="76"/>
    </row>
    <row r="465" spans="1:52" x14ac:dyDescent="0.25">
      <c r="A465" s="86">
        <v>25192</v>
      </c>
      <c r="B465" s="87" t="s">
        <v>14</v>
      </c>
      <c r="C465" s="87" t="s">
        <v>887</v>
      </c>
      <c r="D465" s="87" t="s">
        <v>946</v>
      </c>
      <c r="E465" s="87" t="s">
        <v>947</v>
      </c>
      <c r="F465" s="87">
        <v>33.445511484199997</v>
      </c>
      <c r="G465" s="87">
        <v>44.275832766900002</v>
      </c>
      <c r="H465" s="86">
        <v>3</v>
      </c>
      <c r="I465" s="86">
        <v>18</v>
      </c>
      <c r="J465" s="87">
        <v>3</v>
      </c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>
        <v>3</v>
      </c>
      <c r="AI465" s="87"/>
      <c r="AJ465" s="87"/>
      <c r="AK465" s="87"/>
      <c r="AL465" s="87"/>
      <c r="AM465" s="87"/>
      <c r="AN465" s="87"/>
      <c r="AO465" s="87"/>
      <c r="AP465" s="87"/>
      <c r="AQ465" s="87"/>
      <c r="AR465" s="87">
        <v>3</v>
      </c>
      <c r="AS465" s="87"/>
      <c r="AT465" s="87"/>
      <c r="AU465" s="87"/>
      <c r="AV465" s="87"/>
      <c r="AW465" s="88" t="str">
        <f>HYPERLINK("http://www.openstreetmap.org/?mlat=33.4455&amp;mlon=44.2758&amp;zoom=12#map=12/33.4455/44.2758","Maplink1")</f>
        <v>Maplink1</v>
      </c>
      <c r="AX465" s="88" t="str">
        <f>HYPERLINK("https://www.google.iq/maps/search/+33.4455,44.2758/@33.4455,44.2758,14z?hl=en","Maplink2")</f>
        <v>Maplink2</v>
      </c>
      <c r="AY465" s="88" t="str">
        <f>HYPERLINK("http://www.bing.com/maps/?lvl=14&amp;sty=h&amp;cp=33.4455~44.2758&amp;sp=point.33.4455_44.2758","Maplink3")</f>
        <v>Maplink3</v>
      </c>
      <c r="AZ465" s="76"/>
    </row>
    <row r="466" spans="1:52" x14ac:dyDescent="0.25">
      <c r="A466" s="86">
        <v>25176</v>
      </c>
      <c r="B466" s="87" t="s">
        <v>14</v>
      </c>
      <c r="C466" s="87" t="s">
        <v>887</v>
      </c>
      <c r="D466" s="87" t="s">
        <v>948</v>
      </c>
      <c r="E466" s="87" t="s">
        <v>949</v>
      </c>
      <c r="F466" s="87">
        <v>33.471481109999999</v>
      </c>
      <c r="G466" s="87">
        <v>44.222379374100001</v>
      </c>
      <c r="H466" s="86">
        <v>4</v>
      </c>
      <c r="I466" s="86">
        <v>24</v>
      </c>
      <c r="J466" s="87">
        <v>4</v>
      </c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>
        <v>4</v>
      </c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>
        <v>4</v>
      </c>
      <c r="AS466" s="87"/>
      <c r="AT466" s="87"/>
      <c r="AU466" s="87"/>
      <c r="AV466" s="87"/>
      <c r="AW466" s="88" t="str">
        <f>HYPERLINK("http://www.openstreetmap.org/?mlat=33.4715&amp;mlon=44.2224&amp;zoom=12#map=12/33.4715/44.2224","Maplink1")</f>
        <v>Maplink1</v>
      </c>
      <c r="AX466" s="88" t="str">
        <f>HYPERLINK("https://www.google.iq/maps/search/+33.4715,44.2224/@33.4715,44.2224,14z?hl=en","Maplink2")</f>
        <v>Maplink2</v>
      </c>
      <c r="AY466" s="88" t="str">
        <f>HYPERLINK("http://www.bing.com/maps/?lvl=14&amp;sty=h&amp;cp=33.4715~44.2224&amp;sp=point.33.4715_44.2224","Maplink3")</f>
        <v>Maplink3</v>
      </c>
      <c r="AZ466" s="76"/>
    </row>
    <row r="467" spans="1:52" x14ac:dyDescent="0.25">
      <c r="A467" s="86">
        <v>25174</v>
      </c>
      <c r="B467" s="87" t="s">
        <v>14</v>
      </c>
      <c r="C467" s="87" t="s">
        <v>887</v>
      </c>
      <c r="D467" s="87" t="s">
        <v>950</v>
      </c>
      <c r="E467" s="87" t="s">
        <v>951</v>
      </c>
      <c r="F467" s="87">
        <v>33.469069780799998</v>
      </c>
      <c r="G467" s="87">
        <v>44.211703500399999</v>
      </c>
      <c r="H467" s="86">
        <v>4</v>
      </c>
      <c r="I467" s="86">
        <v>24</v>
      </c>
      <c r="J467" s="87">
        <v>4</v>
      </c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>
        <v>4</v>
      </c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>
        <v>4</v>
      </c>
      <c r="AS467" s="87"/>
      <c r="AT467" s="87"/>
      <c r="AU467" s="87"/>
      <c r="AV467" s="87"/>
      <c r="AW467" s="88" t="str">
        <f>HYPERLINK("http://www.openstreetmap.org/?mlat=33.4691&amp;mlon=44.2117&amp;zoom=12#map=12/33.4691/44.2117","Maplink1")</f>
        <v>Maplink1</v>
      </c>
      <c r="AX467" s="88" t="str">
        <f>HYPERLINK("https://www.google.iq/maps/search/+33.4691,44.2117/@33.4691,44.2117,14z?hl=en","Maplink2")</f>
        <v>Maplink2</v>
      </c>
      <c r="AY467" s="88" t="str">
        <f>HYPERLINK("http://www.bing.com/maps/?lvl=14&amp;sty=h&amp;cp=33.4691~44.2117&amp;sp=point.33.4691_44.2117","Maplink3")</f>
        <v>Maplink3</v>
      </c>
      <c r="AZ467" s="76"/>
    </row>
    <row r="468" spans="1:52" x14ac:dyDescent="0.25">
      <c r="A468" s="86">
        <v>25185</v>
      </c>
      <c r="B468" s="87" t="s">
        <v>14</v>
      </c>
      <c r="C468" s="87" t="s">
        <v>887</v>
      </c>
      <c r="D468" s="87" t="s">
        <v>952</v>
      </c>
      <c r="E468" s="87" t="s">
        <v>953</v>
      </c>
      <c r="F468" s="87">
        <v>33.550105224200003</v>
      </c>
      <c r="G468" s="87">
        <v>44.193312184100002</v>
      </c>
      <c r="H468" s="86">
        <v>7</v>
      </c>
      <c r="I468" s="86">
        <v>42</v>
      </c>
      <c r="J468" s="87">
        <v>7</v>
      </c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>
        <v>3</v>
      </c>
      <c r="AD468" s="87"/>
      <c r="AE468" s="87"/>
      <c r="AF468" s="87"/>
      <c r="AG468" s="87"/>
      <c r="AH468" s="87">
        <v>4</v>
      </c>
      <c r="AI468" s="87"/>
      <c r="AJ468" s="87"/>
      <c r="AK468" s="87"/>
      <c r="AL468" s="87"/>
      <c r="AM468" s="87"/>
      <c r="AN468" s="87"/>
      <c r="AO468" s="87"/>
      <c r="AP468" s="87"/>
      <c r="AQ468" s="87">
        <v>7</v>
      </c>
      <c r="AR468" s="87"/>
      <c r="AS468" s="87"/>
      <c r="AT468" s="87"/>
      <c r="AU468" s="87"/>
      <c r="AV468" s="87"/>
      <c r="AW468" s="88" t="str">
        <f>HYPERLINK("http://www.openstreetmap.org/?mlat=33.5501&amp;mlon=44.1933&amp;zoom=12#map=12/33.5501/44.1933","Maplink1")</f>
        <v>Maplink1</v>
      </c>
      <c r="AX468" s="88" t="str">
        <f>HYPERLINK("https://www.google.iq/maps/search/+33.5501,44.1933/@33.5501,44.1933,14z?hl=en","Maplink2")</f>
        <v>Maplink2</v>
      </c>
      <c r="AY468" s="88" t="str">
        <f>HYPERLINK("http://www.bing.com/maps/?lvl=14&amp;sty=h&amp;cp=33.5501~44.1933&amp;sp=point.33.5501_44.1933","Maplink3")</f>
        <v>Maplink3</v>
      </c>
      <c r="AZ468" s="76"/>
    </row>
    <row r="469" spans="1:52" x14ac:dyDescent="0.25">
      <c r="A469" s="86">
        <v>25188</v>
      </c>
      <c r="B469" s="87" t="s">
        <v>14</v>
      </c>
      <c r="C469" s="87" t="s">
        <v>887</v>
      </c>
      <c r="D469" s="87" t="s">
        <v>954</v>
      </c>
      <c r="E469" s="87" t="s">
        <v>955</v>
      </c>
      <c r="F469" s="87">
        <v>33.511156247099997</v>
      </c>
      <c r="G469" s="87">
        <v>44.201648553399998</v>
      </c>
      <c r="H469" s="86">
        <v>6</v>
      </c>
      <c r="I469" s="86">
        <v>36</v>
      </c>
      <c r="J469" s="87">
        <v>6</v>
      </c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>
        <v>4</v>
      </c>
      <c r="AD469" s="87"/>
      <c r="AE469" s="87"/>
      <c r="AF469" s="87"/>
      <c r="AG469" s="87"/>
      <c r="AH469" s="87">
        <v>2</v>
      </c>
      <c r="AI469" s="87"/>
      <c r="AJ469" s="87"/>
      <c r="AK469" s="87"/>
      <c r="AL469" s="87"/>
      <c r="AM469" s="87"/>
      <c r="AN469" s="87"/>
      <c r="AO469" s="87"/>
      <c r="AP469" s="87">
        <v>5</v>
      </c>
      <c r="AQ469" s="87">
        <v>1</v>
      </c>
      <c r="AR469" s="87"/>
      <c r="AS469" s="87"/>
      <c r="AT469" s="87"/>
      <c r="AU469" s="87"/>
      <c r="AV469" s="87"/>
      <c r="AW469" s="88" t="str">
        <f>HYPERLINK("http://www.openstreetmap.org/?mlat=33.5112&amp;mlon=44.2016&amp;zoom=12#map=12/33.5112/44.2016","Maplink1")</f>
        <v>Maplink1</v>
      </c>
      <c r="AX469" s="88" t="str">
        <f>HYPERLINK("https://www.google.iq/maps/search/+33.5112,44.2016/@33.5112,44.2016,14z?hl=en","Maplink2")</f>
        <v>Maplink2</v>
      </c>
      <c r="AY469" s="88" t="str">
        <f>HYPERLINK("http://www.bing.com/maps/?lvl=14&amp;sty=h&amp;cp=33.5112~44.2016&amp;sp=point.33.5112_44.2016","Maplink3")</f>
        <v>Maplink3</v>
      </c>
      <c r="AZ469" s="76"/>
    </row>
    <row r="470" spans="1:52" x14ac:dyDescent="0.25">
      <c r="A470" s="86">
        <v>25182</v>
      </c>
      <c r="B470" s="87" t="s">
        <v>14</v>
      </c>
      <c r="C470" s="87" t="s">
        <v>887</v>
      </c>
      <c r="D470" s="87" t="s">
        <v>956</v>
      </c>
      <c r="E470" s="87" t="s">
        <v>957</v>
      </c>
      <c r="F470" s="87">
        <v>33.4917371258</v>
      </c>
      <c r="G470" s="87">
        <v>44.173853489800003</v>
      </c>
      <c r="H470" s="86">
        <v>6</v>
      </c>
      <c r="I470" s="86">
        <v>36</v>
      </c>
      <c r="J470" s="87">
        <v>6</v>
      </c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>
        <v>6</v>
      </c>
      <c r="AI470" s="87"/>
      <c r="AJ470" s="87"/>
      <c r="AK470" s="87"/>
      <c r="AL470" s="87"/>
      <c r="AM470" s="87"/>
      <c r="AN470" s="87"/>
      <c r="AO470" s="87"/>
      <c r="AP470" s="87"/>
      <c r="AQ470" s="87"/>
      <c r="AR470" s="87">
        <v>6</v>
      </c>
      <c r="AS470" s="87"/>
      <c r="AT470" s="87"/>
      <c r="AU470" s="87"/>
      <c r="AV470" s="87"/>
      <c r="AW470" s="88" t="str">
        <f>HYPERLINK("http://www.openstreetmap.org/?mlat=33.4917&amp;mlon=44.1739&amp;zoom=12#map=12/33.4917/44.1739","Maplink1")</f>
        <v>Maplink1</v>
      </c>
      <c r="AX470" s="88" t="str">
        <f>HYPERLINK("https://www.google.iq/maps/search/+33.4917,44.1739/@33.4917,44.1739,14z?hl=en","Maplink2")</f>
        <v>Maplink2</v>
      </c>
      <c r="AY470" s="88" t="str">
        <f>HYPERLINK("http://www.bing.com/maps/?lvl=14&amp;sty=h&amp;cp=33.4917~44.1739&amp;sp=point.33.4917_44.1739","Maplink3")</f>
        <v>Maplink3</v>
      </c>
      <c r="AZ470" s="76"/>
    </row>
    <row r="471" spans="1:52" x14ac:dyDescent="0.25">
      <c r="A471" s="86">
        <v>25195</v>
      </c>
      <c r="B471" s="87" t="s">
        <v>14</v>
      </c>
      <c r="C471" s="87" t="s">
        <v>887</v>
      </c>
      <c r="D471" s="87" t="s">
        <v>958</v>
      </c>
      <c r="E471" s="87" t="s">
        <v>959</v>
      </c>
      <c r="F471" s="87">
        <v>33.547098714999997</v>
      </c>
      <c r="G471" s="87">
        <v>44.197870164800001</v>
      </c>
      <c r="H471" s="86">
        <v>8</v>
      </c>
      <c r="I471" s="86">
        <v>48</v>
      </c>
      <c r="J471" s="87">
        <v>8</v>
      </c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>
        <v>4</v>
      </c>
      <c r="AD471" s="87"/>
      <c r="AE471" s="87"/>
      <c r="AF471" s="87"/>
      <c r="AG471" s="87"/>
      <c r="AH471" s="87">
        <v>4</v>
      </c>
      <c r="AI471" s="87"/>
      <c r="AJ471" s="87"/>
      <c r="AK471" s="87"/>
      <c r="AL471" s="87"/>
      <c r="AM471" s="87"/>
      <c r="AN471" s="87">
        <v>8</v>
      </c>
      <c r="AO471" s="87"/>
      <c r="AP471" s="87"/>
      <c r="AQ471" s="87"/>
      <c r="AR471" s="87"/>
      <c r="AS471" s="87"/>
      <c r="AT471" s="87"/>
      <c r="AU471" s="87"/>
      <c r="AV471" s="87"/>
      <c r="AW471" s="88" t="str">
        <f>HYPERLINK("http://www.openstreetmap.org/?mlat=33.5471&amp;mlon=44.1979&amp;zoom=12#map=12/33.5471/44.1979","Maplink1")</f>
        <v>Maplink1</v>
      </c>
      <c r="AX471" s="88" t="str">
        <f>HYPERLINK("https://www.google.iq/maps/search/+33.5471,44.1979/@33.5471,44.1979,14z?hl=en","Maplink2")</f>
        <v>Maplink2</v>
      </c>
      <c r="AY471" s="88" t="str">
        <f>HYPERLINK("http://www.bing.com/maps/?lvl=14&amp;sty=h&amp;cp=33.5471~44.1979&amp;sp=point.33.5471_44.1979","Maplink3")</f>
        <v>Maplink3</v>
      </c>
      <c r="AZ471" s="76"/>
    </row>
    <row r="472" spans="1:52" x14ac:dyDescent="0.25">
      <c r="A472" s="86">
        <v>28405</v>
      </c>
      <c r="B472" s="87" t="s">
        <v>14</v>
      </c>
      <c r="C472" s="87" t="s">
        <v>887</v>
      </c>
      <c r="D472" s="87" t="s">
        <v>960</v>
      </c>
      <c r="E472" s="87" t="s">
        <v>961</v>
      </c>
      <c r="F472" s="87">
        <v>33.510387923099998</v>
      </c>
      <c r="G472" s="87">
        <v>44.233838593999998</v>
      </c>
      <c r="H472" s="86">
        <v>8</v>
      </c>
      <c r="I472" s="86">
        <v>48</v>
      </c>
      <c r="J472" s="87">
        <v>8</v>
      </c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>
        <v>4</v>
      </c>
      <c r="AD472" s="87"/>
      <c r="AE472" s="87"/>
      <c r="AF472" s="87"/>
      <c r="AG472" s="87"/>
      <c r="AH472" s="87">
        <v>4</v>
      </c>
      <c r="AI472" s="87"/>
      <c r="AJ472" s="87"/>
      <c r="AK472" s="87"/>
      <c r="AL472" s="87"/>
      <c r="AM472" s="87"/>
      <c r="AN472" s="87"/>
      <c r="AO472" s="87"/>
      <c r="AP472" s="87"/>
      <c r="AQ472" s="87">
        <v>3</v>
      </c>
      <c r="AR472" s="87">
        <v>5</v>
      </c>
      <c r="AS472" s="87"/>
      <c r="AT472" s="87"/>
      <c r="AU472" s="87"/>
      <c r="AV472" s="87"/>
      <c r="AW472" s="88" t="str">
        <f>HYPERLINK("http://www.openstreetmap.org/?mlat=33.5104&amp;mlon=44.2338&amp;zoom=12#map=12/33.5104/44.2338","Maplink1")</f>
        <v>Maplink1</v>
      </c>
      <c r="AX472" s="88" t="str">
        <f>HYPERLINK("https://www.google.iq/maps/search/+33.5104,44.2338/@33.5104,44.2338,14z?hl=en","Maplink2")</f>
        <v>Maplink2</v>
      </c>
      <c r="AY472" s="88" t="str">
        <f>HYPERLINK("http://www.bing.com/maps/?lvl=14&amp;sty=h&amp;cp=33.5104~44.2338&amp;sp=point.33.5104_44.2338","Maplink3")</f>
        <v>Maplink3</v>
      </c>
      <c r="AZ472" s="76"/>
    </row>
    <row r="473" spans="1:52" x14ac:dyDescent="0.25">
      <c r="A473" s="86">
        <v>23641</v>
      </c>
      <c r="B473" s="87" t="s">
        <v>14</v>
      </c>
      <c r="C473" s="87" t="s">
        <v>887</v>
      </c>
      <c r="D473" s="87" t="s">
        <v>962</v>
      </c>
      <c r="E473" s="87" t="s">
        <v>208</v>
      </c>
      <c r="F473" s="87">
        <v>33.4567390367</v>
      </c>
      <c r="G473" s="87">
        <v>44.239995558300002</v>
      </c>
      <c r="H473" s="86">
        <v>8</v>
      </c>
      <c r="I473" s="86">
        <v>48</v>
      </c>
      <c r="J473" s="87">
        <v>8</v>
      </c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>
        <v>8</v>
      </c>
      <c r="AI473" s="87"/>
      <c r="AJ473" s="87"/>
      <c r="AK473" s="87"/>
      <c r="AL473" s="87"/>
      <c r="AM473" s="87"/>
      <c r="AN473" s="87"/>
      <c r="AO473" s="87">
        <v>2</v>
      </c>
      <c r="AP473" s="87">
        <v>3</v>
      </c>
      <c r="AQ473" s="87"/>
      <c r="AR473" s="87">
        <v>3</v>
      </c>
      <c r="AS473" s="87"/>
      <c r="AT473" s="87"/>
      <c r="AU473" s="87"/>
      <c r="AV473" s="87"/>
      <c r="AW473" s="88" t="str">
        <f>HYPERLINK("http://www.openstreetmap.org/?mlat=33.4567&amp;mlon=44.24&amp;zoom=12#map=12/33.4567/44.24","Maplink1")</f>
        <v>Maplink1</v>
      </c>
      <c r="AX473" s="88" t="str">
        <f>HYPERLINK("https://www.google.iq/maps/search/+33.4567,44.24/@33.4567,44.24,14z?hl=en","Maplink2")</f>
        <v>Maplink2</v>
      </c>
      <c r="AY473" s="88" t="str">
        <f>HYPERLINK("http://www.bing.com/maps/?lvl=14&amp;sty=h&amp;cp=33.4567~44.24&amp;sp=point.33.4567_44.24","Maplink3")</f>
        <v>Maplink3</v>
      </c>
      <c r="AZ473" s="76"/>
    </row>
    <row r="474" spans="1:52" x14ac:dyDescent="0.25">
      <c r="A474" s="86">
        <v>23581</v>
      </c>
      <c r="B474" s="87" t="s">
        <v>14</v>
      </c>
      <c r="C474" s="87" t="s">
        <v>887</v>
      </c>
      <c r="D474" s="87" t="s">
        <v>963</v>
      </c>
      <c r="E474" s="87" t="s">
        <v>964</v>
      </c>
      <c r="F474" s="87">
        <v>33.474867123000003</v>
      </c>
      <c r="G474" s="87">
        <v>44.256540076299999</v>
      </c>
      <c r="H474" s="86">
        <v>5</v>
      </c>
      <c r="I474" s="86">
        <v>30</v>
      </c>
      <c r="J474" s="87">
        <v>5</v>
      </c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>
        <v>5</v>
      </c>
      <c r="AI474" s="87"/>
      <c r="AJ474" s="87"/>
      <c r="AK474" s="87"/>
      <c r="AL474" s="87"/>
      <c r="AM474" s="87"/>
      <c r="AN474" s="87"/>
      <c r="AO474" s="87"/>
      <c r="AP474" s="87">
        <v>3</v>
      </c>
      <c r="AQ474" s="87">
        <v>2</v>
      </c>
      <c r="AR474" s="87"/>
      <c r="AS474" s="87"/>
      <c r="AT474" s="87"/>
      <c r="AU474" s="87"/>
      <c r="AV474" s="87"/>
      <c r="AW474" s="88" t="str">
        <f>HYPERLINK("http://www.openstreetmap.org/?mlat=33.4749&amp;mlon=44.2565&amp;zoom=12#map=12/33.4749/44.2565","Maplink1")</f>
        <v>Maplink1</v>
      </c>
      <c r="AX474" s="88" t="str">
        <f>HYPERLINK("https://www.google.iq/maps/search/+33.4749,44.2565/@33.4749,44.2565,14z?hl=en","Maplink2")</f>
        <v>Maplink2</v>
      </c>
      <c r="AY474" s="88" t="str">
        <f>HYPERLINK("http://www.bing.com/maps/?lvl=14&amp;sty=h&amp;cp=33.4749~44.2565&amp;sp=point.33.4749_44.2565","Maplink3")</f>
        <v>Maplink3</v>
      </c>
      <c r="AZ474" s="76"/>
    </row>
    <row r="475" spans="1:52" x14ac:dyDescent="0.25">
      <c r="A475" s="86">
        <v>7285</v>
      </c>
      <c r="B475" s="87" t="s">
        <v>14</v>
      </c>
      <c r="C475" s="87" t="s">
        <v>887</v>
      </c>
      <c r="D475" s="87" t="s">
        <v>965</v>
      </c>
      <c r="E475" s="87" t="s">
        <v>966</v>
      </c>
      <c r="F475" s="87">
        <v>33.374432689899997</v>
      </c>
      <c r="G475" s="87">
        <v>44.303666008900002</v>
      </c>
      <c r="H475" s="86">
        <v>10</v>
      </c>
      <c r="I475" s="86">
        <v>60</v>
      </c>
      <c r="J475" s="87">
        <v>2</v>
      </c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>
        <v>5</v>
      </c>
      <c r="W475" s="87"/>
      <c r="X475" s="87">
        <v>3</v>
      </c>
      <c r="Y475" s="87"/>
      <c r="Z475" s="87"/>
      <c r="AA475" s="87"/>
      <c r="AB475" s="87"/>
      <c r="AC475" s="87"/>
      <c r="AD475" s="87"/>
      <c r="AE475" s="87"/>
      <c r="AF475" s="87"/>
      <c r="AG475" s="87"/>
      <c r="AH475" s="87">
        <v>10</v>
      </c>
      <c r="AI475" s="87"/>
      <c r="AJ475" s="87"/>
      <c r="AK475" s="87"/>
      <c r="AL475" s="87"/>
      <c r="AM475" s="87"/>
      <c r="AN475" s="87"/>
      <c r="AO475" s="87"/>
      <c r="AP475" s="87">
        <v>5</v>
      </c>
      <c r="AQ475" s="87">
        <v>5</v>
      </c>
      <c r="AR475" s="87"/>
      <c r="AS475" s="87"/>
      <c r="AT475" s="87"/>
      <c r="AU475" s="87"/>
      <c r="AV475" s="87"/>
      <c r="AW475" s="88" t="str">
        <f>HYPERLINK("http://www.openstreetmap.org/?mlat=33.3744&amp;mlon=44.3037&amp;zoom=12#map=12/33.3744/44.3037","Maplink1")</f>
        <v>Maplink1</v>
      </c>
      <c r="AX475" s="88" t="str">
        <f>HYPERLINK("https://www.google.iq/maps/search/+33.3744,44.3037/@33.3744,44.3037,14z?hl=en","Maplink2")</f>
        <v>Maplink2</v>
      </c>
      <c r="AY475" s="88" t="str">
        <f>HYPERLINK("http://www.bing.com/maps/?lvl=14&amp;sty=h&amp;cp=33.3744~44.3037&amp;sp=point.33.3744_44.3037","Maplink3")</f>
        <v>Maplink3</v>
      </c>
      <c r="AZ475" s="76"/>
    </row>
    <row r="476" spans="1:52" x14ac:dyDescent="0.25">
      <c r="A476" s="86">
        <v>27407</v>
      </c>
      <c r="B476" s="87" t="s">
        <v>14</v>
      </c>
      <c r="C476" s="87" t="s">
        <v>887</v>
      </c>
      <c r="D476" s="87" t="s">
        <v>967</v>
      </c>
      <c r="E476" s="87" t="s">
        <v>968</v>
      </c>
      <c r="F476" s="87">
        <v>33.377868485500002</v>
      </c>
      <c r="G476" s="87">
        <v>44.309859685299998</v>
      </c>
      <c r="H476" s="86">
        <v>12</v>
      </c>
      <c r="I476" s="86">
        <v>72</v>
      </c>
      <c r="J476" s="87">
        <v>2</v>
      </c>
      <c r="K476" s="87"/>
      <c r="L476" s="87"/>
      <c r="M476" s="87"/>
      <c r="N476" s="87"/>
      <c r="O476" s="87"/>
      <c r="P476" s="87"/>
      <c r="Q476" s="87"/>
      <c r="R476" s="87">
        <v>4</v>
      </c>
      <c r="S476" s="87"/>
      <c r="T476" s="87"/>
      <c r="U476" s="87"/>
      <c r="V476" s="87">
        <v>4</v>
      </c>
      <c r="W476" s="87"/>
      <c r="X476" s="87">
        <v>2</v>
      </c>
      <c r="Y476" s="87"/>
      <c r="Z476" s="87"/>
      <c r="AA476" s="87"/>
      <c r="AB476" s="87"/>
      <c r="AC476" s="87">
        <v>6</v>
      </c>
      <c r="AD476" s="87"/>
      <c r="AE476" s="87"/>
      <c r="AF476" s="87"/>
      <c r="AG476" s="87"/>
      <c r="AH476" s="87">
        <v>6</v>
      </c>
      <c r="AI476" s="87"/>
      <c r="AJ476" s="87"/>
      <c r="AK476" s="87"/>
      <c r="AL476" s="87"/>
      <c r="AM476" s="87"/>
      <c r="AN476" s="87"/>
      <c r="AO476" s="87"/>
      <c r="AP476" s="87">
        <v>10</v>
      </c>
      <c r="AQ476" s="87">
        <v>2</v>
      </c>
      <c r="AR476" s="87"/>
      <c r="AS476" s="87"/>
      <c r="AT476" s="87"/>
      <c r="AU476" s="87"/>
      <c r="AV476" s="87"/>
      <c r="AW476" s="88" t="str">
        <f>HYPERLINK("http://www.openstreetmap.org/?mlat=33.3779&amp;mlon=44.3099&amp;zoom=12#map=12/33.3779/44.3099","Maplink1")</f>
        <v>Maplink1</v>
      </c>
      <c r="AX476" s="88" t="str">
        <f>HYPERLINK("https://www.google.iq/maps/search/+33.3779,44.3099/@33.3779,44.3099,14z?hl=en","Maplink2")</f>
        <v>Maplink2</v>
      </c>
      <c r="AY476" s="88" t="str">
        <f>HYPERLINK("http://www.bing.com/maps/?lvl=14&amp;sty=h&amp;cp=33.3779~44.3099&amp;sp=point.33.3779_44.3099","Maplink3")</f>
        <v>Maplink3</v>
      </c>
      <c r="AZ476" s="76"/>
    </row>
    <row r="477" spans="1:52" x14ac:dyDescent="0.25">
      <c r="A477" s="86">
        <v>27408</v>
      </c>
      <c r="B477" s="87" t="s">
        <v>14</v>
      </c>
      <c r="C477" s="87" t="s">
        <v>887</v>
      </c>
      <c r="D477" s="87" t="s">
        <v>969</v>
      </c>
      <c r="E477" s="87" t="s">
        <v>970</v>
      </c>
      <c r="F477" s="87">
        <v>33.380617732799998</v>
      </c>
      <c r="G477" s="87">
        <v>44.306454387400002</v>
      </c>
      <c r="H477" s="86">
        <v>4</v>
      </c>
      <c r="I477" s="86">
        <v>24</v>
      </c>
      <c r="J477" s="87">
        <v>2</v>
      </c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>
        <v>2</v>
      </c>
      <c r="W477" s="87"/>
      <c r="X477" s="87"/>
      <c r="Y477" s="87"/>
      <c r="Z477" s="87"/>
      <c r="AA477" s="87"/>
      <c r="AB477" s="87"/>
      <c r="AC477" s="87">
        <v>2</v>
      </c>
      <c r="AD477" s="87"/>
      <c r="AE477" s="87"/>
      <c r="AF477" s="87"/>
      <c r="AG477" s="87"/>
      <c r="AH477" s="87">
        <v>2</v>
      </c>
      <c r="AI477" s="87"/>
      <c r="AJ477" s="87"/>
      <c r="AK477" s="87"/>
      <c r="AL477" s="87"/>
      <c r="AM477" s="87"/>
      <c r="AN477" s="87"/>
      <c r="AO477" s="87">
        <v>2</v>
      </c>
      <c r="AP477" s="87"/>
      <c r="AQ477" s="87"/>
      <c r="AR477" s="87">
        <v>2</v>
      </c>
      <c r="AS477" s="87"/>
      <c r="AT477" s="87"/>
      <c r="AU477" s="87"/>
      <c r="AV477" s="87"/>
      <c r="AW477" s="88" t="str">
        <f>HYPERLINK("http://www.openstreetmap.org/?mlat=33.3806&amp;mlon=44.3065&amp;zoom=12#map=12/33.3806/44.3065","Maplink1")</f>
        <v>Maplink1</v>
      </c>
      <c r="AX477" s="88" t="str">
        <f>HYPERLINK("https://www.google.iq/maps/search/+33.3806,44.3065/@33.3806,44.3065,14z?hl=en","Maplink2")</f>
        <v>Maplink2</v>
      </c>
      <c r="AY477" s="88" t="str">
        <f>HYPERLINK("http://www.bing.com/maps/?lvl=14&amp;sty=h&amp;cp=33.3806~44.3065&amp;sp=point.33.3806_44.3065","Maplink3")</f>
        <v>Maplink3</v>
      </c>
      <c r="AZ477" s="76"/>
    </row>
    <row r="478" spans="1:52" x14ac:dyDescent="0.25">
      <c r="A478" s="86">
        <v>20784</v>
      </c>
      <c r="B478" s="87" t="s">
        <v>14</v>
      </c>
      <c r="C478" s="87" t="s">
        <v>887</v>
      </c>
      <c r="D478" s="87" t="s">
        <v>971</v>
      </c>
      <c r="E478" s="87" t="s">
        <v>972</v>
      </c>
      <c r="F478" s="87">
        <v>33.491936978299996</v>
      </c>
      <c r="G478" s="87">
        <v>44.251671678999998</v>
      </c>
      <c r="H478" s="86">
        <v>7</v>
      </c>
      <c r="I478" s="86">
        <v>42</v>
      </c>
      <c r="J478" s="87">
        <v>7</v>
      </c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>
        <v>2</v>
      </c>
      <c r="AD478" s="87"/>
      <c r="AE478" s="87"/>
      <c r="AF478" s="87"/>
      <c r="AG478" s="87"/>
      <c r="AH478" s="87">
        <v>5</v>
      </c>
      <c r="AI478" s="87"/>
      <c r="AJ478" s="87"/>
      <c r="AK478" s="87"/>
      <c r="AL478" s="87"/>
      <c r="AM478" s="87"/>
      <c r="AN478" s="87"/>
      <c r="AO478" s="87"/>
      <c r="AP478" s="87"/>
      <c r="AQ478" s="87">
        <v>7</v>
      </c>
      <c r="AR478" s="87"/>
      <c r="AS478" s="87"/>
      <c r="AT478" s="87"/>
      <c r="AU478" s="87"/>
      <c r="AV478" s="87"/>
      <c r="AW478" s="88" t="str">
        <f>HYPERLINK("http://www.openstreetmap.org/?mlat=33.4919&amp;mlon=44.2517&amp;zoom=12#map=12/33.4919/44.2517","Maplink1")</f>
        <v>Maplink1</v>
      </c>
      <c r="AX478" s="88" t="str">
        <f>HYPERLINK("https://www.google.iq/maps/search/+33.4919,44.2517/@33.4919,44.2517,14z?hl=en","Maplink2")</f>
        <v>Maplink2</v>
      </c>
      <c r="AY478" s="88" t="str">
        <f>HYPERLINK("http://www.bing.com/maps/?lvl=14&amp;sty=h&amp;cp=33.4919~44.2517&amp;sp=point.33.4919_44.2517","Maplink3")</f>
        <v>Maplink3</v>
      </c>
      <c r="AZ478" s="76"/>
    </row>
    <row r="479" spans="1:52" x14ac:dyDescent="0.25">
      <c r="A479" s="86">
        <v>27377</v>
      </c>
      <c r="B479" s="87" t="s">
        <v>14</v>
      </c>
      <c r="C479" s="87" t="s">
        <v>887</v>
      </c>
      <c r="D479" s="87" t="s">
        <v>973</v>
      </c>
      <c r="E479" s="87" t="s">
        <v>974</v>
      </c>
      <c r="F479" s="87">
        <v>33.578810975499998</v>
      </c>
      <c r="G479" s="87">
        <v>44.1959589788</v>
      </c>
      <c r="H479" s="86">
        <v>7</v>
      </c>
      <c r="I479" s="86">
        <v>42</v>
      </c>
      <c r="J479" s="87">
        <v>7</v>
      </c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>
        <v>5</v>
      </c>
      <c r="AD479" s="87"/>
      <c r="AE479" s="87"/>
      <c r="AF479" s="87"/>
      <c r="AG479" s="87"/>
      <c r="AH479" s="87">
        <v>2</v>
      </c>
      <c r="AI479" s="87"/>
      <c r="AJ479" s="87"/>
      <c r="AK479" s="87"/>
      <c r="AL479" s="87"/>
      <c r="AM479" s="87"/>
      <c r="AN479" s="87"/>
      <c r="AO479" s="87"/>
      <c r="AP479" s="87"/>
      <c r="AQ479" s="87">
        <v>4</v>
      </c>
      <c r="AR479" s="87">
        <v>3</v>
      </c>
      <c r="AS479" s="87"/>
      <c r="AT479" s="87"/>
      <c r="AU479" s="87"/>
      <c r="AV479" s="87"/>
      <c r="AW479" s="88" t="str">
        <f>HYPERLINK("http://www.openstreetmap.org/?mlat=33.5788&amp;mlon=44.196&amp;zoom=12#map=12/33.5788/44.196","Maplink1")</f>
        <v>Maplink1</v>
      </c>
      <c r="AX479" s="88" t="str">
        <f>HYPERLINK("https://www.google.iq/maps/search/+33.5788,44.196/@33.5788,44.196,14z?hl=en","Maplink2")</f>
        <v>Maplink2</v>
      </c>
      <c r="AY479" s="88" t="str">
        <f>HYPERLINK("http://www.bing.com/maps/?lvl=14&amp;sty=h&amp;cp=33.5788~44.196&amp;sp=point.33.5788_44.196","Maplink3")</f>
        <v>Maplink3</v>
      </c>
      <c r="AZ479" s="76"/>
    </row>
    <row r="480" spans="1:52" x14ac:dyDescent="0.25">
      <c r="A480" s="86">
        <v>25173</v>
      </c>
      <c r="B480" s="87" t="s">
        <v>14</v>
      </c>
      <c r="C480" s="87" t="s">
        <v>887</v>
      </c>
      <c r="D480" s="87" t="s">
        <v>975</v>
      </c>
      <c r="E480" s="87" t="s">
        <v>976</v>
      </c>
      <c r="F480" s="87">
        <v>33.462936469699997</v>
      </c>
      <c r="G480" s="87">
        <v>44.221703597500003</v>
      </c>
      <c r="H480" s="86">
        <v>5</v>
      </c>
      <c r="I480" s="86">
        <v>30</v>
      </c>
      <c r="J480" s="87">
        <v>5</v>
      </c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>
        <v>3</v>
      </c>
      <c r="AD480" s="87"/>
      <c r="AE480" s="87"/>
      <c r="AF480" s="87"/>
      <c r="AG480" s="87"/>
      <c r="AH480" s="87">
        <v>2</v>
      </c>
      <c r="AI480" s="87"/>
      <c r="AJ480" s="87"/>
      <c r="AK480" s="87"/>
      <c r="AL480" s="87"/>
      <c r="AM480" s="87"/>
      <c r="AN480" s="87"/>
      <c r="AO480" s="87"/>
      <c r="AP480" s="87"/>
      <c r="AQ480" s="87"/>
      <c r="AR480" s="87">
        <v>5</v>
      </c>
      <c r="AS480" s="87"/>
      <c r="AT480" s="87"/>
      <c r="AU480" s="87"/>
      <c r="AV480" s="87"/>
      <c r="AW480" s="88" t="str">
        <f>HYPERLINK("http://www.openstreetmap.org/?mlat=33.4629&amp;mlon=44.2217&amp;zoom=12#map=12/33.4629/44.2217","Maplink1")</f>
        <v>Maplink1</v>
      </c>
      <c r="AX480" s="88" t="str">
        <f>HYPERLINK("https://www.google.iq/maps/search/+33.4629,44.2217/@33.4629,44.2217,14z?hl=en","Maplink2")</f>
        <v>Maplink2</v>
      </c>
      <c r="AY480" s="88" t="str">
        <f>HYPERLINK("http://www.bing.com/maps/?lvl=14&amp;sty=h&amp;cp=33.4629~44.2217&amp;sp=point.33.4629_44.2217","Maplink3")</f>
        <v>Maplink3</v>
      </c>
      <c r="AZ480" s="76"/>
    </row>
    <row r="481" spans="1:52" x14ac:dyDescent="0.25">
      <c r="A481" s="86">
        <v>25172</v>
      </c>
      <c r="B481" s="87" t="s">
        <v>14</v>
      </c>
      <c r="C481" s="87" t="s">
        <v>887</v>
      </c>
      <c r="D481" s="87" t="s">
        <v>977</v>
      </c>
      <c r="E481" s="87" t="s">
        <v>978</v>
      </c>
      <c r="F481" s="87">
        <v>33.459034175900001</v>
      </c>
      <c r="G481" s="87">
        <v>44.230421033299997</v>
      </c>
      <c r="H481" s="86">
        <v>5</v>
      </c>
      <c r="I481" s="86">
        <v>30</v>
      </c>
      <c r="J481" s="87">
        <v>5</v>
      </c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>
        <v>5</v>
      </c>
      <c r="AI481" s="87"/>
      <c r="AJ481" s="87"/>
      <c r="AK481" s="87"/>
      <c r="AL481" s="87"/>
      <c r="AM481" s="87"/>
      <c r="AN481" s="87"/>
      <c r="AO481" s="87"/>
      <c r="AP481" s="87"/>
      <c r="AQ481" s="87"/>
      <c r="AR481" s="87">
        <v>4</v>
      </c>
      <c r="AS481" s="87">
        <v>1</v>
      </c>
      <c r="AT481" s="87"/>
      <c r="AU481" s="87"/>
      <c r="AV481" s="87"/>
      <c r="AW481" s="88" t="str">
        <f>HYPERLINK("http://www.openstreetmap.org/?mlat=33.459&amp;mlon=44.2304&amp;zoom=12#map=12/33.459/44.2304","Maplink1")</f>
        <v>Maplink1</v>
      </c>
      <c r="AX481" s="88" t="str">
        <f>HYPERLINK("https://www.google.iq/maps/search/+33.459,44.2304/@33.459,44.2304,14z?hl=en","Maplink2")</f>
        <v>Maplink2</v>
      </c>
      <c r="AY481" s="88" t="str">
        <f>HYPERLINK("http://www.bing.com/maps/?lvl=14&amp;sty=h&amp;cp=33.459~44.2304&amp;sp=point.33.459_44.2304","Maplink3")</f>
        <v>Maplink3</v>
      </c>
      <c r="AZ481" s="76"/>
    </row>
    <row r="482" spans="1:52" x14ac:dyDescent="0.25">
      <c r="A482" s="86">
        <v>25189</v>
      </c>
      <c r="B482" s="87" t="s">
        <v>14</v>
      </c>
      <c r="C482" s="87" t="s">
        <v>887</v>
      </c>
      <c r="D482" s="87" t="s">
        <v>979</v>
      </c>
      <c r="E482" s="87" t="s">
        <v>980</v>
      </c>
      <c r="F482" s="87">
        <v>33.514569340599998</v>
      </c>
      <c r="G482" s="87">
        <v>44.218413814400002</v>
      </c>
      <c r="H482" s="86">
        <v>7</v>
      </c>
      <c r="I482" s="86">
        <v>42</v>
      </c>
      <c r="J482" s="87">
        <v>7</v>
      </c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>
        <v>4</v>
      </c>
      <c r="AD482" s="87"/>
      <c r="AE482" s="87"/>
      <c r="AF482" s="87"/>
      <c r="AG482" s="87"/>
      <c r="AH482" s="87">
        <v>3</v>
      </c>
      <c r="AI482" s="87"/>
      <c r="AJ482" s="87"/>
      <c r="AK482" s="87"/>
      <c r="AL482" s="87"/>
      <c r="AM482" s="87"/>
      <c r="AN482" s="87"/>
      <c r="AO482" s="87"/>
      <c r="AP482" s="87"/>
      <c r="AQ482" s="87"/>
      <c r="AR482" s="87">
        <v>7</v>
      </c>
      <c r="AS482" s="87"/>
      <c r="AT482" s="87"/>
      <c r="AU482" s="87"/>
      <c r="AV482" s="87"/>
      <c r="AW482" s="88" t="str">
        <f>HYPERLINK("http://www.openstreetmap.org/?mlat=33.5146&amp;mlon=44.2184&amp;zoom=12#map=12/33.5146/44.2184","Maplink1")</f>
        <v>Maplink1</v>
      </c>
      <c r="AX482" s="88" t="str">
        <f>HYPERLINK("https://www.google.iq/maps/search/+33.5146,44.2184/@33.5146,44.2184,14z?hl=en","Maplink2")</f>
        <v>Maplink2</v>
      </c>
      <c r="AY482" s="88" t="str">
        <f>HYPERLINK("http://www.bing.com/maps/?lvl=14&amp;sty=h&amp;cp=33.5146~44.2184&amp;sp=point.33.5146_44.2184","Maplink3")</f>
        <v>Maplink3</v>
      </c>
      <c r="AZ482" s="76"/>
    </row>
    <row r="483" spans="1:52" x14ac:dyDescent="0.25">
      <c r="A483" s="86">
        <v>28399</v>
      </c>
      <c r="B483" s="87" t="s">
        <v>14</v>
      </c>
      <c r="C483" s="87" t="s">
        <v>887</v>
      </c>
      <c r="D483" s="87" t="s">
        <v>981</v>
      </c>
      <c r="E483" s="87" t="s">
        <v>982</v>
      </c>
      <c r="F483" s="87">
        <v>33.4391850847</v>
      </c>
      <c r="G483" s="87">
        <v>44.272730170599999</v>
      </c>
      <c r="H483" s="86">
        <v>4</v>
      </c>
      <c r="I483" s="86">
        <v>24</v>
      </c>
      <c r="J483" s="87">
        <v>2</v>
      </c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>
        <v>2</v>
      </c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>
        <v>4</v>
      </c>
      <c r="AI483" s="87"/>
      <c r="AJ483" s="87"/>
      <c r="AK483" s="87"/>
      <c r="AL483" s="87"/>
      <c r="AM483" s="87"/>
      <c r="AN483" s="87"/>
      <c r="AO483" s="87"/>
      <c r="AP483" s="87">
        <v>4</v>
      </c>
      <c r="AQ483" s="87"/>
      <c r="AR483" s="87"/>
      <c r="AS483" s="87"/>
      <c r="AT483" s="87"/>
      <c r="AU483" s="87"/>
      <c r="AV483" s="87"/>
      <c r="AW483" s="88" t="str">
        <f>HYPERLINK("http://www.openstreetmap.org/?mlat=33.4392&amp;mlon=44.2727&amp;zoom=12#map=12/33.4392/44.2727","Maplink1")</f>
        <v>Maplink1</v>
      </c>
      <c r="AX483" s="88" t="str">
        <f>HYPERLINK("https://www.google.iq/maps/search/+33.4392,44.2727/@33.4392,44.2727,14z?hl=en","Maplink2")</f>
        <v>Maplink2</v>
      </c>
      <c r="AY483" s="88" t="str">
        <f>HYPERLINK("http://www.bing.com/maps/?lvl=14&amp;sty=h&amp;cp=33.4392~44.2727&amp;sp=point.33.4392_44.2727","Maplink3")</f>
        <v>Maplink3</v>
      </c>
      <c r="AZ483" s="76"/>
    </row>
    <row r="484" spans="1:52" x14ac:dyDescent="0.25">
      <c r="A484" s="86">
        <v>28402</v>
      </c>
      <c r="B484" s="87" t="s">
        <v>14</v>
      </c>
      <c r="C484" s="87" t="s">
        <v>887</v>
      </c>
      <c r="D484" s="87" t="s">
        <v>983</v>
      </c>
      <c r="E484" s="87" t="s">
        <v>984</v>
      </c>
      <c r="F484" s="87">
        <v>33.435339074600002</v>
      </c>
      <c r="G484" s="87">
        <v>44.281269545400001</v>
      </c>
      <c r="H484" s="86">
        <v>3</v>
      </c>
      <c r="I484" s="86">
        <v>18</v>
      </c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>
        <v>3</v>
      </c>
      <c r="W484" s="87"/>
      <c r="X484" s="87"/>
      <c r="Y484" s="87"/>
      <c r="Z484" s="87"/>
      <c r="AA484" s="87"/>
      <c r="AB484" s="87"/>
      <c r="AC484" s="87">
        <v>3</v>
      </c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>
        <v>3</v>
      </c>
      <c r="AQ484" s="87"/>
      <c r="AR484" s="87"/>
      <c r="AS484" s="87"/>
      <c r="AT484" s="87"/>
      <c r="AU484" s="87"/>
      <c r="AV484" s="87"/>
      <c r="AW484" s="88" t="str">
        <f>HYPERLINK("http://www.openstreetmap.org/?mlat=33.4353&amp;mlon=44.2813&amp;zoom=12#map=12/33.4353/44.2813","Maplink1")</f>
        <v>Maplink1</v>
      </c>
      <c r="AX484" s="88" t="str">
        <f>HYPERLINK("https://www.google.iq/maps/search/+33.4353,44.2813/@33.4353,44.2813,14z?hl=en","Maplink2")</f>
        <v>Maplink2</v>
      </c>
      <c r="AY484" s="88" t="str">
        <f>HYPERLINK("http://www.bing.com/maps/?lvl=14&amp;sty=h&amp;cp=33.4353~44.2813&amp;sp=point.33.4353_44.2813","Maplink3")</f>
        <v>Maplink3</v>
      </c>
      <c r="AZ484" s="76"/>
    </row>
    <row r="485" spans="1:52" x14ac:dyDescent="0.25">
      <c r="A485" s="86">
        <v>28400</v>
      </c>
      <c r="B485" s="87" t="s">
        <v>14</v>
      </c>
      <c r="C485" s="87" t="s">
        <v>887</v>
      </c>
      <c r="D485" s="87" t="s">
        <v>985</v>
      </c>
      <c r="E485" s="87" t="s">
        <v>986</v>
      </c>
      <c r="F485" s="87">
        <v>33.452444365399998</v>
      </c>
      <c r="G485" s="87">
        <v>44.265508621800002</v>
      </c>
      <c r="H485" s="86">
        <v>7</v>
      </c>
      <c r="I485" s="86">
        <v>42</v>
      </c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>
        <v>3</v>
      </c>
      <c r="W485" s="87"/>
      <c r="X485" s="87">
        <v>4</v>
      </c>
      <c r="Y485" s="87"/>
      <c r="Z485" s="87"/>
      <c r="AA485" s="87"/>
      <c r="AB485" s="87"/>
      <c r="AC485" s="87">
        <v>3</v>
      </c>
      <c r="AD485" s="87"/>
      <c r="AE485" s="87"/>
      <c r="AF485" s="87"/>
      <c r="AG485" s="87"/>
      <c r="AH485" s="87">
        <v>4</v>
      </c>
      <c r="AI485" s="87"/>
      <c r="AJ485" s="87"/>
      <c r="AK485" s="87"/>
      <c r="AL485" s="87"/>
      <c r="AM485" s="87"/>
      <c r="AN485" s="87"/>
      <c r="AO485" s="87"/>
      <c r="AP485" s="87">
        <v>4</v>
      </c>
      <c r="AQ485" s="87"/>
      <c r="AR485" s="87"/>
      <c r="AS485" s="87"/>
      <c r="AT485" s="87">
        <v>3</v>
      </c>
      <c r="AU485" s="87"/>
      <c r="AV485" s="87"/>
      <c r="AW485" s="88" t="str">
        <f>HYPERLINK("http://www.openstreetmap.org/?mlat=33.4524&amp;mlon=44.2655&amp;zoom=12#map=12/33.4524/44.2655","Maplink1")</f>
        <v>Maplink1</v>
      </c>
      <c r="AX485" s="88" t="str">
        <f>HYPERLINK("https://www.google.iq/maps/search/+33.4524,44.2655/@33.4524,44.2655,14z?hl=en","Maplink2")</f>
        <v>Maplink2</v>
      </c>
      <c r="AY485" s="88" t="str">
        <f>HYPERLINK("http://www.bing.com/maps/?lvl=14&amp;sty=h&amp;cp=33.4524~44.2655&amp;sp=point.33.4524_44.2655","Maplink3")</f>
        <v>Maplink3</v>
      </c>
      <c r="AZ485" s="76"/>
    </row>
    <row r="486" spans="1:52" x14ac:dyDescent="0.25">
      <c r="A486" s="86">
        <v>28401</v>
      </c>
      <c r="B486" s="87" t="s">
        <v>14</v>
      </c>
      <c r="C486" s="87" t="s">
        <v>887</v>
      </c>
      <c r="D486" s="87" t="s">
        <v>987</v>
      </c>
      <c r="E486" s="87" t="s">
        <v>988</v>
      </c>
      <c r="F486" s="87">
        <v>33.421497074299999</v>
      </c>
      <c r="G486" s="87">
        <v>44.316426590600003</v>
      </c>
      <c r="H486" s="86">
        <v>5</v>
      </c>
      <c r="I486" s="86">
        <v>30</v>
      </c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>
        <v>2</v>
      </c>
      <c r="W486" s="87"/>
      <c r="X486" s="87">
        <v>3</v>
      </c>
      <c r="Y486" s="87"/>
      <c r="Z486" s="87"/>
      <c r="AA486" s="87"/>
      <c r="AB486" s="87"/>
      <c r="AC486" s="87">
        <v>2</v>
      </c>
      <c r="AD486" s="87"/>
      <c r="AE486" s="87"/>
      <c r="AF486" s="87"/>
      <c r="AG486" s="87"/>
      <c r="AH486" s="87">
        <v>3</v>
      </c>
      <c r="AI486" s="87"/>
      <c r="AJ486" s="87"/>
      <c r="AK486" s="87"/>
      <c r="AL486" s="87"/>
      <c r="AM486" s="87"/>
      <c r="AN486" s="87"/>
      <c r="AO486" s="87">
        <v>3</v>
      </c>
      <c r="AP486" s="87">
        <v>2</v>
      </c>
      <c r="AQ486" s="87"/>
      <c r="AR486" s="87"/>
      <c r="AS486" s="87"/>
      <c r="AT486" s="87"/>
      <c r="AU486" s="87"/>
      <c r="AV486" s="87"/>
      <c r="AW486" s="88" t="str">
        <f>HYPERLINK("http://www.openstreetmap.org/?mlat=33.4215&amp;mlon=44.3164&amp;zoom=12#map=12/33.4215/44.3164","Maplink1")</f>
        <v>Maplink1</v>
      </c>
      <c r="AX486" s="88" t="str">
        <f>HYPERLINK("https://www.google.iq/maps/search/+33.4215,44.3164/@33.4215,44.3164,14z?hl=en","Maplink2")</f>
        <v>Maplink2</v>
      </c>
      <c r="AY486" s="88" t="str">
        <f>HYPERLINK("http://www.bing.com/maps/?lvl=14&amp;sty=h&amp;cp=33.4215~44.3164&amp;sp=point.33.4215_44.3164","Maplink3")</f>
        <v>Maplink3</v>
      </c>
      <c r="AZ486" s="76"/>
    </row>
    <row r="487" spans="1:52" x14ac:dyDescent="0.25">
      <c r="A487" s="86">
        <v>25183</v>
      </c>
      <c r="B487" s="87" t="s">
        <v>14</v>
      </c>
      <c r="C487" s="87" t="s">
        <v>887</v>
      </c>
      <c r="D487" s="87" t="s">
        <v>989</v>
      </c>
      <c r="E487" s="87" t="s">
        <v>990</v>
      </c>
      <c r="F487" s="87">
        <v>33.499707193900001</v>
      </c>
      <c r="G487" s="87">
        <v>44.183601894699997</v>
      </c>
      <c r="H487" s="86">
        <v>10</v>
      </c>
      <c r="I487" s="86">
        <v>60</v>
      </c>
      <c r="J487" s="87">
        <v>10</v>
      </c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>
        <v>4</v>
      </c>
      <c r="AD487" s="87"/>
      <c r="AE487" s="87"/>
      <c r="AF487" s="87"/>
      <c r="AG487" s="87"/>
      <c r="AH487" s="87">
        <v>6</v>
      </c>
      <c r="AI487" s="87"/>
      <c r="AJ487" s="87"/>
      <c r="AK487" s="87"/>
      <c r="AL487" s="87"/>
      <c r="AM487" s="87"/>
      <c r="AN487" s="87"/>
      <c r="AO487" s="87"/>
      <c r="AP487" s="87">
        <v>4</v>
      </c>
      <c r="AQ487" s="87"/>
      <c r="AR487" s="87">
        <v>6</v>
      </c>
      <c r="AS487" s="87"/>
      <c r="AT487" s="87"/>
      <c r="AU487" s="87"/>
      <c r="AV487" s="87"/>
      <c r="AW487" s="88" t="str">
        <f>HYPERLINK("http://www.openstreetmap.org/?mlat=33.4997&amp;mlon=44.1836&amp;zoom=12#map=12/33.4997/44.1836","Maplink1")</f>
        <v>Maplink1</v>
      </c>
      <c r="AX487" s="88" t="str">
        <f>HYPERLINK("https://www.google.iq/maps/search/+33.4997,44.1836/@33.4997,44.1836,14z?hl=en","Maplink2")</f>
        <v>Maplink2</v>
      </c>
      <c r="AY487" s="88" t="str">
        <f>HYPERLINK("http://www.bing.com/maps/?lvl=14&amp;sty=h&amp;cp=33.4997~44.1836&amp;sp=point.33.4997_44.1836","Maplink3")</f>
        <v>Maplink3</v>
      </c>
      <c r="AZ487" s="76"/>
    </row>
    <row r="488" spans="1:52" x14ac:dyDescent="0.25">
      <c r="A488" s="86">
        <v>26043</v>
      </c>
      <c r="B488" s="87" t="s">
        <v>14</v>
      </c>
      <c r="C488" s="87" t="s">
        <v>887</v>
      </c>
      <c r="D488" s="87" t="s">
        <v>991</v>
      </c>
      <c r="E488" s="87" t="s">
        <v>992</v>
      </c>
      <c r="F488" s="87">
        <v>33.431256100900001</v>
      </c>
      <c r="G488" s="87">
        <v>44.2337822633</v>
      </c>
      <c r="H488" s="86">
        <v>8</v>
      </c>
      <c r="I488" s="86">
        <v>48</v>
      </c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>
        <v>8</v>
      </c>
      <c r="W488" s="87"/>
      <c r="X488" s="87"/>
      <c r="Y488" s="87"/>
      <c r="Z488" s="87"/>
      <c r="AA488" s="87"/>
      <c r="AB488" s="87"/>
      <c r="AC488" s="87">
        <v>3</v>
      </c>
      <c r="AD488" s="87"/>
      <c r="AE488" s="87"/>
      <c r="AF488" s="87"/>
      <c r="AG488" s="87"/>
      <c r="AH488" s="87">
        <v>5</v>
      </c>
      <c r="AI488" s="87"/>
      <c r="AJ488" s="87"/>
      <c r="AK488" s="87"/>
      <c r="AL488" s="87"/>
      <c r="AM488" s="87"/>
      <c r="AN488" s="87"/>
      <c r="AO488" s="87"/>
      <c r="AP488" s="87"/>
      <c r="AQ488" s="87"/>
      <c r="AR488" s="87">
        <v>5</v>
      </c>
      <c r="AS488" s="87">
        <v>3</v>
      </c>
      <c r="AT488" s="87"/>
      <c r="AU488" s="87"/>
      <c r="AV488" s="87"/>
      <c r="AW488" s="88" t="str">
        <f>HYPERLINK("http://www.openstreetmap.org/?mlat=33.4313&amp;mlon=44.2338&amp;zoom=12#map=12/33.4313/44.2338","Maplink1")</f>
        <v>Maplink1</v>
      </c>
      <c r="AX488" s="88" t="str">
        <f>HYPERLINK("https://www.google.iq/maps/search/+33.4313,44.2338/@33.4313,44.2338,14z?hl=en","Maplink2")</f>
        <v>Maplink2</v>
      </c>
      <c r="AY488" s="88" t="str">
        <f>HYPERLINK("http://www.bing.com/maps/?lvl=14&amp;sty=h&amp;cp=33.4313~44.2338&amp;sp=point.33.4313_44.2338","Maplink3")</f>
        <v>Maplink3</v>
      </c>
      <c r="AZ488" s="76"/>
    </row>
    <row r="489" spans="1:52" x14ac:dyDescent="0.25">
      <c r="A489" s="86">
        <v>25167</v>
      </c>
      <c r="B489" s="87" t="s">
        <v>14</v>
      </c>
      <c r="C489" s="87" t="s">
        <v>887</v>
      </c>
      <c r="D489" s="87" t="s">
        <v>993</v>
      </c>
      <c r="E489" s="87" t="s">
        <v>994</v>
      </c>
      <c r="F489" s="87">
        <v>33.459280681300001</v>
      </c>
      <c r="G489" s="87">
        <v>44.168844292700001</v>
      </c>
      <c r="H489" s="86">
        <v>4</v>
      </c>
      <c r="I489" s="86">
        <v>24</v>
      </c>
      <c r="J489" s="87">
        <v>4</v>
      </c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>
        <v>2</v>
      </c>
      <c r="AI489" s="87">
        <v>2</v>
      </c>
      <c r="AJ489" s="87"/>
      <c r="AK489" s="87"/>
      <c r="AL489" s="87"/>
      <c r="AM489" s="87"/>
      <c r="AN489" s="87">
        <v>3</v>
      </c>
      <c r="AO489" s="87"/>
      <c r="AP489" s="87"/>
      <c r="AQ489" s="87"/>
      <c r="AR489" s="87">
        <v>1</v>
      </c>
      <c r="AS489" s="87"/>
      <c r="AT489" s="87"/>
      <c r="AU489" s="87"/>
      <c r="AV489" s="87"/>
      <c r="AW489" s="88" t="str">
        <f>HYPERLINK("http://www.openstreetmap.org/?mlat=33.4593&amp;mlon=44.1688&amp;zoom=12#map=12/33.4593/44.1688","Maplink1")</f>
        <v>Maplink1</v>
      </c>
      <c r="AX489" s="88" t="str">
        <f>HYPERLINK("https://www.google.iq/maps/search/+33.4593,44.1688/@33.4593,44.1688,14z?hl=en","Maplink2")</f>
        <v>Maplink2</v>
      </c>
      <c r="AY489" s="88" t="str">
        <f>HYPERLINK("http://www.bing.com/maps/?lvl=14&amp;sty=h&amp;cp=33.4593~44.1688&amp;sp=point.33.4593_44.1688","Maplink3")</f>
        <v>Maplink3</v>
      </c>
      <c r="AZ489" s="76"/>
    </row>
    <row r="490" spans="1:52" x14ac:dyDescent="0.25">
      <c r="A490" s="86">
        <v>22541</v>
      </c>
      <c r="B490" s="87" t="s">
        <v>14</v>
      </c>
      <c r="C490" s="87" t="s">
        <v>887</v>
      </c>
      <c r="D490" s="87" t="s">
        <v>995</v>
      </c>
      <c r="E490" s="87" t="s">
        <v>996</v>
      </c>
      <c r="F490" s="87">
        <v>33.4607770605</v>
      </c>
      <c r="G490" s="87">
        <v>44.170443800199997</v>
      </c>
      <c r="H490" s="86">
        <v>10</v>
      </c>
      <c r="I490" s="86">
        <v>60</v>
      </c>
      <c r="J490" s="87">
        <v>10</v>
      </c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>
        <v>5</v>
      </c>
      <c r="AD490" s="87"/>
      <c r="AE490" s="87"/>
      <c r="AF490" s="87"/>
      <c r="AG490" s="87"/>
      <c r="AH490" s="87">
        <v>3</v>
      </c>
      <c r="AI490" s="87">
        <v>2</v>
      </c>
      <c r="AJ490" s="87"/>
      <c r="AK490" s="87"/>
      <c r="AL490" s="87"/>
      <c r="AM490" s="87"/>
      <c r="AN490" s="87"/>
      <c r="AO490" s="87"/>
      <c r="AP490" s="87">
        <v>7</v>
      </c>
      <c r="AQ490" s="87">
        <v>3</v>
      </c>
      <c r="AR490" s="87"/>
      <c r="AS490" s="87"/>
      <c r="AT490" s="87"/>
      <c r="AU490" s="87"/>
      <c r="AV490" s="87"/>
      <c r="AW490" s="88" t="str">
        <f>HYPERLINK("http://www.openstreetmap.org/?mlat=33.4608&amp;mlon=44.1704&amp;zoom=12#map=12/33.4608/44.1704","Maplink1")</f>
        <v>Maplink1</v>
      </c>
      <c r="AX490" s="88" t="str">
        <f>HYPERLINK("https://www.google.iq/maps/search/+33.4608,44.1704/@33.4608,44.1704,14z?hl=en","Maplink2")</f>
        <v>Maplink2</v>
      </c>
      <c r="AY490" s="88" t="str">
        <f>HYPERLINK("http://www.bing.com/maps/?lvl=14&amp;sty=h&amp;cp=33.4608~44.1704&amp;sp=point.33.4608_44.1704","Maplink3")</f>
        <v>Maplink3</v>
      </c>
      <c r="AZ490" s="76"/>
    </row>
    <row r="491" spans="1:52" x14ac:dyDescent="0.25">
      <c r="A491" s="86">
        <v>22611</v>
      </c>
      <c r="B491" s="87" t="s">
        <v>14</v>
      </c>
      <c r="C491" s="87" t="s">
        <v>887</v>
      </c>
      <c r="D491" s="87" t="s">
        <v>997</v>
      </c>
      <c r="E491" s="87" t="s">
        <v>998</v>
      </c>
      <c r="F491" s="87">
        <v>33.465057499700002</v>
      </c>
      <c r="G491" s="87">
        <v>44.168169714100003</v>
      </c>
      <c r="H491" s="86">
        <v>12</v>
      </c>
      <c r="I491" s="86">
        <v>72</v>
      </c>
      <c r="J491" s="87">
        <v>12</v>
      </c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>
        <v>6</v>
      </c>
      <c r="AD491" s="87"/>
      <c r="AE491" s="87"/>
      <c r="AF491" s="87"/>
      <c r="AG491" s="87"/>
      <c r="AH491" s="87">
        <v>5</v>
      </c>
      <c r="AI491" s="87">
        <v>1</v>
      </c>
      <c r="AJ491" s="87"/>
      <c r="AK491" s="87"/>
      <c r="AL491" s="87"/>
      <c r="AM491" s="87"/>
      <c r="AN491" s="87"/>
      <c r="AO491" s="87">
        <v>5</v>
      </c>
      <c r="AP491" s="87"/>
      <c r="AQ491" s="87"/>
      <c r="AR491" s="87">
        <v>7</v>
      </c>
      <c r="AS491" s="87"/>
      <c r="AT491" s="87"/>
      <c r="AU491" s="87"/>
      <c r="AV491" s="87"/>
      <c r="AW491" s="88" t="str">
        <f>HYPERLINK("http://www.openstreetmap.org/?mlat=33.4651&amp;mlon=44.1682&amp;zoom=12#map=12/33.4651/44.1682","Maplink1")</f>
        <v>Maplink1</v>
      </c>
      <c r="AX491" s="88" t="str">
        <f>HYPERLINK("https://www.google.iq/maps/search/+33.4651,44.1682/@33.4651,44.1682,14z?hl=en","Maplink2")</f>
        <v>Maplink2</v>
      </c>
      <c r="AY491" s="88" t="str">
        <f>HYPERLINK("http://www.bing.com/maps/?lvl=14&amp;sty=h&amp;cp=33.4651~44.1682&amp;sp=point.33.4651_44.1682","Maplink3")</f>
        <v>Maplink3</v>
      </c>
      <c r="AZ491" s="76"/>
    </row>
    <row r="492" spans="1:52" x14ac:dyDescent="0.25">
      <c r="A492" s="86">
        <v>25168</v>
      </c>
      <c r="B492" s="87" t="s">
        <v>14</v>
      </c>
      <c r="C492" s="87" t="s">
        <v>887</v>
      </c>
      <c r="D492" s="87" t="s">
        <v>999</v>
      </c>
      <c r="E492" s="87" t="s">
        <v>1000</v>
      </c>
      <c r="F492" s="87">
        <v>33.470139781599997</v>
      </c>
      <c r="G492" s="87">
        <v>44.166117722599999</v>
      </c>
      <c r="H492" s="86">
        <v>6</v>
      </c>
      <c r="I492" s="86">
        <v>36</v>
      </c>
      <c r="J492" s="87">
        <v>2</v>
      </c>
      <c r="K492" s="87"/>
      <c r="L492" s="87"/>
      <c r="M492" s="87"/>
      <c r="N492" s="87"/>
      <c r="O492" s="87"/>
      <c r="P492" s="87"/>
      <c r="Q492" s="87"/>
      <c r="R492" s="87">
        <v>3</v>
      </c>
      <c r="S492" s="87"/>
      <c r="T492" s="87"/>
      <c r="U492" s="87"/>
      <c r="V492" s="87"/>
      <c r="W492" s="87"/>
      <c r="X492" s="87">
        <v>1</v>
      </c>
      <c r="Y492" s="87"/>
      <c r="Z492" s="87"/>
      <c r="AA492" s="87"/>
      <c r="AB492" s="87"/>
      <c r="AC492" s="87">
        <v>3</v>
      </c>
      <c r="AD492" s="87"/>
      <c r="AE492" s="87"/>
      <c r="AF492" s="87"/>
      <c r="AG492" s="87"/>
      <c r="AH492" s="87">
        <v>3</v>
      </c>
      <c r="AI492" s="87"/>
      <c r="AJ492" s="87"/>
      <c r="AK492" s="87"/>
      <c r="AL492" s="87"/>
      <c r="AM492" s="87"/>
      <c r="AN492" s="87"/>
      <c r="AO492" s="87"/>
      <c r="AP492" s="87"/>
      <c r="AQ492" s="87"/>
      <c r="AR492" s="87">
        <v>2</v>
      </c>
      <c r="AS492" s="87"/>
      <c r="AT492" s="87"/>
      <c r="AU492" s="87">
        <v>4</v>
      </c>
      <c r="AV492" s="87"/>
      <c r="AW492" s="88" t="str">
        <f>HYPERLINK("http://www.openstreetmap.org/?mlat=33.4701&amp;mlon=44.1661&amp;zoom=12#map=12/33.4701/44.1661","Maplink1")</f>
        <v>Maplink1</v>
      </c>
      <c r="AX492" s="88" t="str">
        <f>HYPERLINK("https://www.google.iq/maps/search/+33.4701,44.1661/@33.4701,44.1661,14z?hl=en","Maplink2")</f>
        <v>Maplink2</v>
      </c>
      <c r="AY492" s="88" t="str">
        <f>HYPERLINK("http://www.bing.com/maps/?lvl=14&amp;sty=h&amp;cp=33.4701~44.1661&amp;sp=point.33.4701_44.1661","Maplink3")</f>
        <v>Maplink3</v>
      </c>
      <c r="AZ492" s="76"/>
    </row>
    <row r="493" spans="1:52" x14ac:dyDescent="0.25">
      <c r="A493" s="86">
        <v>25169</v>
      </c>
      <c r="B493" s="87" t="s">
        <v>14</v>
      </c>
      <c r="C493" s="87" t="s">
        <v>887</v>
      </c>
      <c r="D493" s="87" t="s">
        <v>1001</v>
      </c>
      <c r="E493" s="87" t="s">
        <v>1002</v>
      </c>
      <c r="F493" s="87">
        <v>33.4573875317</v>
      </c>
      <c r="G493" s="87">
        <v>44.158532269399998</v>
      </c>
      <c r="H493" s="86">
        <v>5</v>
      </c>
      <c r="I493" s="86">
        <v>30</v>
      </c>
      <c r="J493" s="87">
        <v>5</v>
      </c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>
        <v>3</v>
      </c>
      <c r="AD493" s="87"/>
      <c r="AE493" s="87"/>
      <c r="AF493" s="87"/>
      <c r="AG493" s="87"/>
      <c r="AH493" s="87"/>
      <c r="AI493" s="87">
        <v>2</v>
      </c>
      <c r="AJ493" s="87"/>
      <c r="AK493" s="87"/>
      <c r="AL493" s="87"/>
      <c r="AM493" s="87"/>
      <c r="AN493" s="87"/>
      <c r="AO493" s="87"/>
      <c r="AP493" s="87"/>
      <c r="AQ493" s="87"/>
      <c r="AR493" s="87">
        <v>5</v>
      </c>
      <c r="AS493" s="87"/>
      <c r="AT493" s="87"/>
      <c r="AU493" s="87"/>
      <c r="AV493" s="87"/>
      <c r="AW493" s="88" t="str">
        <f>HYPERLINK("http://www.openstreetmap.org/?mlat=33.4574&amp;mlon=44.1585&amp;zoom=12#map=12/33.4574/44.1585","Maplink1")</f>
        <v>Maplink1</v>
      </c>
      <c r="AX493" s="88" t="str">
        <f>HYPERLINK("https://www.google.iq/maps/search/+33.4574,44.1585/@33.4574,44.1585,14z?hl=en","Maplink2")</f>
        <v>Maplink2</v>
      </c>
      <c r="AY493" s="88" t="str">
        <f>HYPERLINK("http://www.bing.com/maps/?lvl=14&amp;sty=h&amp;cp=33.4574~44.1585&amp;sp=point.33.4574_44.1585","Maplink3")</f>
        <v>Maplink3</v>
      </c>
      <c r="AZ493" s="76"/>
    </row>
    <row r="494" spans="1:52" x14ac:dyDescent="0.25">
      <c r="A494" s="86">
        <v>25326</v>
      </c>
      <c r="B494" s="87" t="s">
        <v>14</v>
      </c>
      <c r="C494" s="87" t="s">
        <v>887</v>
      </c>
      <c r="D494" s="87" t="s">
        <v>1003</v>
      </c>
      <c r="E494" s="87" t="s">
        <v>1004</v>
      </c>
      <c r="F494" s="87">
        <v>33.462371363499997</v>
      </c>
      <c r="G494" s="87">
        <v>44.1437278127</v>
      </c>
      <c r="H494" s="86">
        <v>5</v>
      </c>
      <c r="I494" s="86">
        <v>30</v>
      </c>
      <c r="J494" s="87">
        <v>5</v>
      </c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>
        <v>4</v>
      </c>
      <c r="AD494" s="87"/>
      <c r="AE494" s="87"/>
      <c r="AF494" s="87"/>
      <c r="AG494" s="87"/>
      <c r="AH494" s="87">
        <v>1</v>
      </c>
      <c r="AI494" s="87"/>
      <c r="AJ494" s="87"/>
      <c r="AK494" s="87"/>
      <c r="AL494" s="87"/>
      <c r="AM494" s="87"/>
      <c r="AN494" s="87"/>
      <c r="AO494" s="87"/>
      <c r="AP494" s="87"/>
      <c r="AQ494" s="87"/>
      <c r="AR494" s="87">
        <v>5</v>
      </c>
      <c r="AS494" s="87"/>
      <c r="AT494" s="87"/>
      <c r="AU494" s="87"/>
      <c r="AV494" s="87"/>
      <c r="AW494" s="88" t="str">
        <f>HYPERLINK("http://www.openstreetmap.org/?mlat=33.4624&amp;mlon=44.1437&amp;zoom=12#map=12/33.4624/44.1437","Maplink1")</f>
        <v>Maplink1</v>
      </c>
      <c r="AX494" s="88" t="str">
        <f>HYPERLINK("https://www.google.iq/maps/search/+33.4624,44.1437/@33.4624,44.1437,14z?hl=en","Maplink2")</f>
        <v>Maplink2</v>
      </c>
      <c r="AY494" s="88" t="str">
        <f>HYPERLINK("http://www.bing.com/maps/?lvl=14&amp;sty=h&amp;cp=33.4624~44.1437&amp;sp=point.33.4624_44.1437","Maplink3")</f>
        <v>Maplink3</v>
      </c>
      <c r="AZ494" s="76"/>
    </row>
    <row r="495" spans="1:52" x14ac:dyDescent="0.25">
      <c r="A495" s="86">
        <v>25164</v>
      </c>
      <c r="B495" s="87" t="s">
        <v>14</v>
      </c>
      <c r="C495" s="87" t="s">
        <v>887</v>
      </c>
      <c r="D495" s="87" t="s">
        <v>1005</v>
      </c>
      <c r="E495" s="87" t="s">
        <v>1006</v>
      </c>
      <c r="F495" s="87">
        <v>33.452562262199997</v>
      </c>
      <c r="G495" s="87">
        <v>44.156767357299998</v>
      </c>
      <c r="H495" s="86">
        <v>9</v>
      </c>
      <c r="I495" s="86">
        <v>54</v>
      </c>
      <c r="J495" s="87">
        <v>6</v>
      </c>
      <c r="K495" s="87"/>
      <c r="L495" s="87"/>
      <c r="M495" s="87"/>
      <c r="N495" s="87"/>
      <c r="O495" s="87">
        <v>3</v>
      </c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>
        <v>9</v>
      </c>
      <c r="AI495" s="87"/>
      <c r="AJ495" s="87"/>
      <c r="AK495" s="87"/>
      <c r="AL495" s="87"/>
      <c r="AM495" s="87"/>
      <c r="AN495" s="87"/>
      <c r="AO495" s="87"/>
      <c r="AP495" s="87">
        <v>4</v>
      </c>
      <c r="AQ495" s="87"/>
      <c r="AR495" s="87">
        <v>5</v>
      </c>
      <c r="AS495" s="87"/>
      <c r="AT495" s="87"/>
      <c r="AU495" s="87"/>
      <c r="AV495" s="87"/>
      <c r="AW495" s="88" t="str">
        <f>HYPERLINK("http://www.openstreetmap.org/?mlat=33.4526&amp;mlon=44.1568&amp;zoom=12#map=12/33.4526/44.1568","Maplink1")</f>
        <v>Maplink1</v>
      </c>
      <c r="AX495" s="88" t="str">
        <f>HYPERLINK("https://www.google.iq/maps/search/+33.4526,44.1568/@33.4526,44.1568,14z?hl=en","Maplink2")</f>
        <v>Maplink2</v>
      </c>
      <c r="AY495" s="88" t="str">
        <f>HYPERLINK("http://www.bing.com/maps/?lvl=14&amp;sty=h&amp;cp=33.4526~44.1568&amp;sp=point.33.4526_44.1568","Maplink3")</f>
        <v>Maplink3</v>
      </c>
      <c r="AZ495" s="76"/>
    </row>
    <row r="496" spans="1:52" x14ac:dyDescent="0.25">
      <c r="A496" s="86">
        <v>25165</v>
      </c>
      <c r="B496" s="87" t="s">
        <v>14</v>
      </c>
      <c r="C496" s="87" t="s">
        <v>887</v>
      </c>
      <c r="D496" s="87" t="s">
        <v>1007</v>
      </c>
      <c r="E496" s="87" t="s">
        <v>1008</v>
      </c>
      <c r="F496" s="87">
        <v>33.457148712399999</v>
      </c>
      <c r="G496" s="87">
        <v>44.156698136599999</v>
      </c>
      <c r="H496" s="86">
        <v>6</v>
      </c>
      <c r="I496" s="86">
        <v>36</v>
      </c>
      <c r="J496" s="87">
        <v>6</v>
      </c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>
        <v>6</v>
      </c>
      <c r="AI496" s="87"/>
      <c r="AJ496" s="87"/>
      <c r="AK496" s="87"/>
      <c r="AL496" s="87"/>
      <c r="AM496" s="87"/>
      <c r="AN496" s="87"/>
      <c r="AO496" s="87"/>
      <c r="AP496" s="87"/>
      <c r="AQ496" s="87">
        <v>2</v>
      </c>
      <c r="AR496" s="87">
        <v>4</v>
      </c>
      <c r="AS496" s="87"/>
      <c r="AT496" s="87"/>
      <c r="AU496" s="87"/>
      <c r="AV496" s="87"/>
      <c r="AW496" s="88" t="str">
        <f>HYPERLINK("http://www.openstreetmap.org/?mlat=33.4571&amp;mlon=44.1567&amp;zoom=12#map=12/33.4571/44.1567","Maplink1")</f>
        <v>Maplink1</v>
      </c>
      <c r="AX496" s="88" t="str">
        <f>HYPERLINK("https://www.google.iq/maps/search/+33.4571,44.1567/@33.4571,44.1567,14z?hl=en","Maplink2")</f>
        <v>Maplink2</v>
      </c>
      <c r="AY496" s="88" t="str">
        <f>HYPERLINK("http://www.bing.com/maps/?lvl=14&amp;sty=h&amp;cp=33.4571~44.1567&amp;sp=point.33.4571_44.1567","Maplink3")</f>
        <v>Maplink3</v>
      </c>
      <c r="AZ496" s="76"/>
    </row>
    <row r="497" spans="1:52" x14ac:dyDescent="0.25">
      <c r="A497" s="86">
        <v>29501</v>
      </c>
      <c r="B497" s="87" t="s">
        <v>14</v>
      </c>
      <c r="C497" s="87" t="s">
        <v>887</v>
      </c>
      <c r="D497" s="87" t="s">
        <v>1009</v>
      </c>
      <c r="E497" s="87" t="s">
        <v>1010</v>
      </c>
      <c r="F497" s="87">
        <v>33.428392242500003</v>
      </c>
      <c r="G497" s="87">
        <v>44.164534704600001</v>
      </c>
      <c r="H497" s="86">
        <v>9</v>
      </c>
      <c r="I497" s="86">
        <v>54</v>
      </c>
      <c r="J497" s="87">
        <v>9</v>
      </c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>
        <v>3</v>
      </c>
      <c r="AD497" s="87"/>
      <c r="AE497" s="87"/>
      <c r="AF497" s="87"/>
      <c r="AG497" s="87"/>
      <c r="AH497" s="87">
        <v>6</v>
      </c>
      <c r="AI497" s="87"/>
      <c r="AJ497" s="87"/>
      <c r="AK497" s="87"/>
      <c r="AL497" s="87"/>
      <c r="AM497" s="87"/>
      <c r="AN497" s="87"/>
      <c r="AO497" s="87"/>
      <c r="AP497" s="87"/>
      <c r="AQ497" s="87"/>
      <c r="AR497" s="87">
        <v>9</v>
      </c>
      <c r="AS497" s="87"/>
      <c r="AT497" s="87"/>
      <c r="AU497" s="87"/>
      <c r="AV497" s="87"/>
      <c r="AW497" s="88" t="str">
        <f>HYPERLINK("http://www.openstreetmap.org/?mlat=33.4284&amp;mlon=44.1645&amp;zoom=12#map=12/33.4284/44.1645","Maplink1")</f>
        <v>Maplink1</v>
      </c>
      <c r="AX497" s="88" t="str">
        <f>HYPERLINK("https://www.google.iq/maps/search/+33.4284,44.1645/@33.4284,44.1645,14z?hl=en","Maplink2")</f>
        <v>Maplink2</v>
      </c>
      <c r="AY497" s="88" t="str">
        <f>HYPERLINK("http://www.bing.com/maps/?lvl=14&amp;sty=h&amp;cp=33.4284~44.1645&amp;sp=point.33.4284_44.1645","Maplink3")</f>
        <v>Maplink3</v>
      </c>
      <c r="AZ497" s="76"/>
    </row>
    <row r="498" spans="1:52" x14ac:dyDescent="0.25">
      <c r="A498" s="86">
        <v>29500</v>
      </c>
      <c r="B498" s="87" t="s">
        <v>14</v>
      </c>
      <c r="C498" s="87" t="s">
        <v>887</v>
      </c>
      <c r="D498" s="87" t="s">
        <v>1011</v>
      </c>
      <c r="E498" s="87" t="s">
        <v>1012</v>
      </c>
      <c r="F498" s="87">
        <v>33.434529216999998</v>
      </c>
      <c r="G498" s="87">
        <v>44.188660870100001</v>
      </c>
      <c r="H498" s="86">
        <v>7</v>
      </c>
      <c r="I498" s="86">
        <v>42</v>
      </c>
      <c r="J498" s="87">
        <v>7</v>
      </c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>
        <v>4</v>
      </c>
      <c r="AD498" s="87"/>
      <c r="AE498" s="87"/>
      <c r="AF498" s="87"/>
      <c r="AG498" s="87"/>
      <c r="AH498" s="87">
        <v>3</v>
      </c>
      <c r="AI498" s="87"/>
      <c r="AJ498" s="87"/>
      <c r="AK498" s="87"/>
      <c r="AL498" s="87"/>
      <c r="AM498" s="87"/>
      <c r="AN498" s="87"/>
      <c r="AO498" s="87"/>
      <c r="AP498" s="87"/>
      <c r="AQ498" s="87"/>
      <c r="AR498" s="87">
        <v>7</v>
      </c>
      <c r="AS498" s="87"/>
      <c r="AT498" s="87"/>
      <c r="AU498" s="87"/>
      <c r="AV498" s="87"/>
      <c r="AW498" s="88" t="str">
        <f>HYPERLINK("http://www.openstreetmap.org/?mlat=33.4345&amp;mlon=44.1887&amp;zoom=12#map=12/33.4345/44.1887","Maplink1")</f>
        <v>Maplink1</v>
      </c>
      <c r="AX498" s="88" t="str">
        <f>HYPERLINK("https://www.google.iq/maps/search/+33.4345,44.1887/@33.4345,44.1887,14z?hl=en","Maplink2")</f>
        <v>Maplink2</v>
      </c>
      <c r="AY498" s="88" t="str">
        <f>HYPERLINK("http://www.bing.com/maps/?lvl=14&amp;sty=h&amp;cp=33.4345~44.1887&amp;sp=point.33.4345_44.1887","Maplink3")</f>
        <v>Maplink3</v>
      </c>
      <c r="AZ498" s="76"/>
    </row>
    <row r="499" spans="1:52" x14ac:dyDescent="0.25">
      <c r="A499" s="86">
        <v>27378</v>
      </c>
      <c r="B499" s="87" t="s">
        <v>14</v>
      </c>
      <c r="C499" s="87" t="s">
        <v>887</v>
      </c>
      <c r="D499" s="87" t="s">
        <v>1013</v>
      </c>
      <c r="E499" s="87" t="s">
        <v>1014</v>
      </c>
      <c r="F499" s="87">
        <v>33.571394844300002</v>
      </c>
      <c r="G499" s="87">
        <v>44.173647150599997</v>
      </c>
      <c r="H499" s="86">
        <v>8</v>
      </c>
      <c r="I499" s="86">
        <v>48</v>
      </c>
      <c r="J499" s="87">
        <v>8</v>
      </c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>
        <v>6</v>
      </c>
      <c r="AD499" s="87"/>
      <c r="AE499" s="87"/>
      <c r="AF499" s="87"/>
      <c r="AG499" s="87"/>
      <c r="AH499" s="87">
        <v>2</v>
      </c>
      <c r="AI499" s="87"/>
      <c r="AJ499" s="87"/>
      <c r="AK499" s="87"/>
      <c r="AL499" s="87"/>
      <c r="AM499" s="87"/>
      <c r="AN499" s="87"/>
      <c r="AO499" s="87"/>
      <c r="AP499" s="87"/>
      <c r="AQ499" s="87">
        <v>4</v>
      </c>
      <c r="AR499" s="87">
        <v>4</v>
      </c>
      <c r="AS499" s="87"/>
      <c r="AT499" s="87"/>
      <c r="AU499" s="87"/>
      <c r="AV499" s="87"/>
      <c r="AW499" s="88" t="str">
        <f>HYPERLINK("http://www.openstreetmap.org/?mlat=33.5714&amp;mlon=44.1736&amp;zoom=12#map=12/33.5714/44.1736","Maplink1")</f>
        <v>Maplink1</v>
      </c>
      <c r="AX499" s="88" t="str">
        <f>HYPERLINK("https://www.google.iq/maps/search/+33.5714,44.1736/@33.5714,44.1736,14z?hl=en","Maplink2")</f>
        <v>Maplink2</v>
      </c>
      <c r="AY499" s="88" t="str">
        <f>HYPERLINK("http://www.bing.com/maps/?lvl=14&amp;sty=h&amp;cp=33.5714~44.1736&amp;sp=point.33.5714_44.1736","Maplink3")</f>
        <v>Maplink3</v>
      </c>
      <c r="AZ499" s="76"/>
    </row>
    <row r="500" spans="1:52" x14ac:dyDescent="0.25">
      <c r="A500" s="86">
        <v>25186</v>
      </c>
      <c r="B500" s="87" t="s">
        <v>14</v>
      </c>
      <c r="C500" s="87" t="s">
        <v>887</v>
      </c>
      <c r="D500" s="87" t="s">
        <v>1015</v>
      </c>
      <c r="E500" s="87" t="s">
        <v>1016</v>
      </c>
      <c r="F500" s="87">
        <v>33.454613293800001</v>
      </c>
      <c r="G500" s="87">
        <v>44.285113338400002</v>
      </c>
      <c r="H500" s="86">
        <v>7</v>
      </c>
      <c r="I500" s="86">
        <v>42</v>
      </c>
      <c r="J500" s="87">
        <v>5</v>
      </c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>
        <v>2</v>
      </c>
      <c r="Y500" s="87"/>
      <c r="Z500" s="87"/>
      <c r="AA500" s="87"/>
      <c r="AB500" s="87"/>
      <c r="AC500" s="87">
        <v>5</v>
      </c>
      <c r="AD500" s="87"/>
      <c r="AE500" s="87"/>
      <c r="AF500" s="87"/>
      <c r="AG500" s="87"/>
      <c r="AH500" s="87">
        <v>2</v>
      </c>
      <c r="AI500" s="87"/>
      <c r="AJ500" s="87"/>
      <c r="AK500" s="87"/>
      <c r="AL500" s="87"/>
      <c r="AM500" s="87"/>
      <c r="AN500" s="87">
        <v>2</v>
      </c>
      <c r="AO500" s="87"/>
      <c r="AP500" s="87"/>
      <c r="AQ500" s="87">
        <v>5</v>
      </c>
      <c r="AR500" s="87"/>
      <c r="AS500" s="87"/>
      <c r="AT500" s="87"/>
      <c r="AU500" s="87"/>
      <c r="AV500" s="87"/>
      <c r="AW500" s="88" t="str">
        <f>HYPERLINK("http://www.openstreetmap.org/?mlat=33.4546&amp;mlon=44.2851&amp;zoom=12#map=12/33.4546/44.2851","Maplink1")</f>
        <v>Maplink1</v>
      </c>
      <c r="AX500" s="88" t="str">
        <f>HYPERLINK("https://www.google.iq/maps/search/+33.4546,44.2851/@33.4546,44.2851,14z?hl=en","Maplink2")</f>
        <v>Maplink2</v>
      </c>
      <c r="AY500" s="88" t="str">
        <f>HYPERLINK("http://www.bing.com/maps/?lvl=14&amp;sty=h&amp;cp=33.4546~44.2851&amp;sp=point.33.4546_44.2851","Maplink3")</f>
        <v>Maplink3</v>
      </c>
      <c r="AZ500" s="76"/>
    </row>
    <row r="501" spans="1:52" x14ac:dyDescent="0.25">
      <c r="A501" s="86">
        <v>27311</v>
      </c>
      <c r="B501" s="87" t="s">
        <v>14</v>
      </c>
      <c r="C501" s="87" t="s">
        <v>887</v>
      </c>
      <c r="D501" s="87" t="s">
        <v>1017</v>
      </c>
      <c r="E501" s="87" t="s">
        <v>1018</v>
      </c>
      <c r="F501" s="87">
        <v>33.361353061000003</v>
      </c>
      <c r="G501" s="87">
        <v>44.281195008399997</v>
      </c>
      <c r="H501" s="86">
        <v>4</v>
      </c>
      <c r="I501" s="86">
        <v>24</v>
      </c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>
        <v>4</v>
      </c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>
        <v>4</v>
      </c>
      <c r="AI501" s="87"/>
      <c r="AJ501" s="87"/>
      <c r="AK501" s="87"/>
      <c r="AL501" s="87"/>
      <c r="AM501" s="87"/>
      <c r="AN501" s="87"/>
      <c r="AO501" s="87"/>
      <c r="AP501" s="87">
        <v>4</v>
      </c>
      <c r="AQ501" s="87"/>
      <c r="AR501" s="87"/>
      <c r="AS501" s="87"/>
      <c r="AT501" s="87"/>
      <c r="AU501" s="87"/>
      <c r="AV501" s="87"/>
      <c r="AW501" s="88" t="str">
        <f>HYPERLINK("http://www.openstreetmap.org/?mlat=33.3614&amp;mlon=44.2812&amp;zoom=12#map=12/33.3614/44.2812","Maplink1")</f>
        <v>Maplink1</v>
      </c>
      <c r="AX501" s="88" t="str">
        <f>HYPERLINK("https://www.google.iq/maps/search/+33.3614,44.2812/@33.3614,44.2812,14z?hl=en","Maplink2")</f>
        <v>Maplink2</v>
      </c>
      <c r="AY501" s="88" t="str">
        <f>HYPERLINK("http://www.bing.com/maps/?lvl=14&amp;sty=h&amp;cp=33.3614~44.2812&amp;sp=point.33.3614_44.2812","Maplink3")</f>
        <v>Maplink3</v>
      </c>
      <c r="AZ501" s="76"/>
    </row>
    <row r="502" spans="1:52" x14ac:dyDescent="0.25">
      <c r="A502" s="86">
        <v>27312</v>
      </c>
      <c r="B502" s="87" t="s">
        <v>14</v>
      </c>
      <c r="C502" s="87" t="s">
        <v>887</v>
      </c>
      <c r="D502" s="87" t="s">
        <v>1019</v>
      </c>
      <c r="E502" s="87" t="s">
        <v>1020</v>
      </c>
      <c r="F502" s="87">
        <v>33.360768633299998</v>
      </c>
      <c r="G502" s="87">
        <v>44.297004145099997</v>
      </c>
      <c r="H502" s="86">
        <v>6</v>
      </c>
      <c r="I502" s="86">
        <v>36</v>
      </c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>
        <v>6</v>
      </c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>
        <v>6</v>
      </c>
      <c r="AI502" s="87"/>
      <c r="AJ502" s="87"/>
      <c r="AK502" s="87"/>
      <c r="AL502" s="87"/>
      <c r="AM502" s="87"/>
      <c r="AN502" s="87"/>
      <c r="AO502" s="87"/>
      <c r="AP502" s="87">
        <v>6</v>
      </c>
      <c r="AQ502" s="87"/>
      <c r="AR502" s="87"/>
      <c r="AS502" s="87"/>
      <c r="AT502" s="87"/>
      <c r="AU502" s="87"/>
      <c r="AV502" s="87"/>
      <c r="AW502" s="88" t="str">
        <f>HYPERLINK("http://www.openstreetmap.org/?mlat=33.3608&amp;mlon=44.297&amp;zoom=12#map=12/33.3608/44.297","Maplink1")</f>
        <v>Maplink1</v>
      </c>
      <c r="AX502" s="88" t="str">
        <f>HYPERLINK("https://www.google.iq/maps/search/+33.3608,44.297/@33.3608,44.297,14z?hl=en","Maplink2")</f>
        <v>Maplink2</v>
      </c>
      <c r="AY502" s="88" t="str">
        <f>HYPERLINK("http://www.bing.com/maps/?lvl=14&amp;sty=h&amp;cp=33.3608~44.297&amp;sp=point.33.3608_44.297","Maplink3")</f>
        <v>Maplink3</v>
      </c>
      <c r="AZ502" s="76"/>
    </row>
    <row r="503" spans="1:52" x14ac:dyDescent="0.25">
      <c r="A503" s="86">
        <v>27314</v>
      </c>
      <c r="B503" s="87" t="s">
        <v>14</v>
      </c>
      <c r="C503" s="87" t="s">
        <v>887</v>
      </c>
      <c r="D503" s="87" t="s">
        <v>1021</v>
      </c>
      <c r="E503" s="87" t="s">
        <v>1022</v>
      </c>
      <c r="F503" s="87">
        <v>33.366286110899999</v>
      </c>
      <c r="G503" s="87">
        <v>44.289487164800001</v>
      </c>
      <c r="H503" s="86">
        <v>8</v>
      </c>
      <c r="I503" s="86">
        <v>48</v>
      </c>
      <c r="J503" s="87"/>
      <c r="K503" s="87"/>
      <c r="L503" s="87"/>
      <c r="M503" s="87"/>
      <c r="N503" s="87"/>
      <c r="O503" s="87"/>
      <c r="P503" s="87"/>
      <c r="Q503" s="87"/>
      <c r="R503" s="87">
        <v>3</v>
      </c>
      <c r="S503" s="87"/>
      <c r="T503" s="87"/>
      <c r="U503" s="87"/>
      <c r="V503" s="87">
        <v>5</v>
      </c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>
        <v>8</v>
      </c>
      <c r="AI503" s="87"/>
      <c r="AJ503" s="87"/>
      <c r="AK503" s="87"/>
      <c r="AL503" s="87"/>
      <c r="AM503" s="87"/>
      <c r="AN503" s="87"/>
      <c r="AO503" s="87"/>
      <c r="AP503" s="87">
        <v>5</v>
      </c>
      <c r="AQ503" s="87">
        <v>3</v>
      </c>
      <c r="AR503" s="87"/>
      <c r="AS503" s="87"/>
      <c r="AT503" s="87"/>
      <c r="AU503" s="87"/>
      <c r="AV503" s="87"/>
      <c r="AW503" s="88" t="str">
        <f>HYPERLINK("http://www.openstreetmap.org/?mlat=33.3663&amp;mlon=44.2895&amp;zoom=12#map=12/33.3663/44.2895","Maplink1")</f>
        <v>Maplink1</v>
      </c>
      <c r="AX503" s="88" t="str">
        <f>HYPERLINK("https://www.google.iq/maps/search/+33.3663,44.2895/@33.3663,44.2895,14z?hl=en","Maplink2")</f>
        <v>Maplink2</v>
      </c>
      <c r="AY503" s="88" t="str">
        <f>HYPERLINK("http://www.bing.com/maps/?lvl=14&amp;sty=h&amp;cp=33.3663~44.2895&amp;sp=point.33.3663_44.2895","Maplink3")</f>
        <v>Maplink3</v>
      </c>
      <c r="AZ503" s="76"/>
    </row>
    <row r="504" spans="1:52" x14ac:dyDescent="0.25">
      <c r="A504" s="86">
        <v>27315</v>
      </c>
      <c r="B504" s="87" t="s">
        <v>14</v>
      </c>
      <c r="C504" s="87" t="s">
        <v>887</v>
      </c>
      <c r="D504" s="87" t="s">
        <v>1023</v>
      </c>
      <c r="E504" s="87" t="s">
        <v>1024</v>
      </c>
      <c r="F504" s="87">
        <v>33.375858367799999</v>
      </c>
      <c r="G504" s="87">
        <v>44.288195658500001</v>
      </c>
      <c r="H504" s="86">
        <v>12</v>
      </c>
      <c r="I504" s="86">
        <v>72</v>
      </c>
      <c r="J504" s="87">
        <v>4</v>
      </c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>
        <v>4</v>
      </c>
      <c r="W504" s="87"/>
      <c r="X504" s="87">
        <v>4</v>
      </c>
      <c r="Y504" s="87"/>
      <c r="Z504" s="87"/>
      <c r="AA504" s="87"/>
      <c r="AB504" s="87"/>
      <c r="AC504" s="87"/>
      <c r="AD504" s="87"/>
      <c r="AE504" s="87"/>
      <c r="AF504" s="87"/>
      <c r="AG504" s="87"/>
      <c r="AH504" s="87">
        <v>12</v>
      </c>
      <c r="AI504" s="87"/>
      <c r="AJ504" s="87"/>
      <c r="AK504" s="87"/>
      <c r="AL504" s="87"/>
      <c r="AM504" s="87"/>
      <c r="AN504" s="87">
        <v>4</v>
      </c>
      <c r="AO504" s="87"/>
      <c r="AP504" s="87">
        <v>8</v>
      </c>
      <c r="AQ504" s="87"/>
      <c r="AR504" s="87"/>
      <c r="AS504" s="87"/>
      <c r="AT504" s="87"/>
      <c r="AU504" s="87"/>
      <c r="AV504" s="87"/>
      <c r="AW504" s="88" t="str">
        <f>HYPERLINK("http://www.openstreetmap.org/?mlat=33.3759&amp;mlon=44.2882&amp;zoom=12#map=12/33.3759/44.2882","Maplink1")</f>
        <v>Maplink1</v>
      </c>
      <c r="AX504" s="88" t="str">
        <f>HYPERLINK("https://www.google.iq/maps/search/+33.3759,44.2882/@33.3759,44.2882,14z?hl=en","Maplink2")</f>
        <v>Maplink2</v>
      </c>
      <c r="AY504" s="88" t="str">
        <f>HYPERLINK("http://www.bing.com/maps/?lvl=14&amp;sty=h&amp;cp=33.3759~44.2882&amp;sp=point.33.3759_44.2882","Maplink3")</f>
        <v>Maplink3</v>
      </c>
      <c r="AZ504" s="76"/>
    </row>
    <row r="505" spans="1:52" x14ac:dyDescent="0.25">
      <c r="A505" s="86">
        <v>27316</v>
      </c>
      <c r="B505" s="87" t="s">
        <v>14</v>
      </c>
      <c r="C505" s="87" t="s">
        <v>887</v>
      </c>
      <c r="D505" s="87" t="s">
        <v>1025</v>
      </c>
      <c r="E505" s="87" t="s">
        <v>1026</v>
      </c>
      <c r="F505" s="87">
        <v>33.372277716299998</v>
      </c>
      <c r="G505" s="87">
        <v>44.279060972099998</v>
      </c>
      <c r="H505" s="86">
        <v>10</v>
      </c>
      <c r="I505" s="86">
        <v>60</v>
      </c>
      <c r="J505" s="87">
        <v>3</v>
      </c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>
        <v>5</v>
      </c>
      <c r="W505" s="87"/>
      <c r="X505" s="87">
        <v>2</v>
      </c>
      <c r="Y505" s="87"/>
      <c r="Z505" s="87"/>
      <c r="AA505" s="87"/>
      <c r="AB505" s="87"/>
      <c r="AC505" s="87"/>
      <c r="AD505" s="87"/>
      <c r="AE505" s="87"/>
      <c r="AF505" s="87"/>
      <c r="AG505" s="87"/>
      <c r="AH505" s="87">
        <v>10</v>
      </c>
      <c r="AI505" s="87"/>
      <c r="AJ505" s="87"/>
      <c r="AK505" s="87"/>
      <c r="AL505" s="87"/>
      <c r="AM505" s="87"/>
      <c r="AN505" s="87"/>
      <c r="AO505" s="87"/>
      <c r="AP505" s="87">
        <v>5</v>
      </c>
      <c r="AQ505" s="87">
        <v>5</v>
      </c>
      <c r="AR505" s="87"/>
      <c r="AS505" s="87"/>
      <c r="AT505" s="87"/>
      <c r="AU505" s="87"/>
      <c r="AV505" s="87"/>
      <c r="AW505" s="88" t="str">
        <f>HYPERLINK("http://www.openstreetmap.org/?mlat=33.3723&amp;mlon=44.2791&amp;zoom=12#map=12/33.3723/44.2791","Maplink1")</f>
        <v>Maplink1</v>
      </c>
      <c r="AX505" s="88" t="str">
        <f>HYPERLINK("https://www.google.iq/maps/search/+33.3723,44.2791/@33.3723,44.2791,14z?hl=en","Maplink2")</f>
        <v>Maplink2</v>
      </c>
      <c r="AY505" s="88" t="str">
        <f>HYPERLINK("http://www.bing.com/maps/?lvl=14&amp;sty=h&amp;cp=33.3723~44.2791&amp;sp=point.33.3723_44.2791","Maplink3")</f>
        <v>Maplink3</v>
      </c>
      <c r="AZ505" s="76"/>
    </row>
    <row r="506" spans="1:52" x14ac:dyDescent="0.25">
      <c r="A506" s="86">
        <v>27317</v>
      </c>
      <c r="B506" s="87" t="s">
        <v>14</v>
      </c>
      <c r="C506" s="87" t="s">
        <v>887</v>
      </c>
      <c r="D506" s="87" t="s">
        <v>1027</v>
      </c>
      <c r="E506" s="87" t="s">
        <v>1028</v>
      </c>
      <c r="F506" s="87">
        <v>33.367125978600001</v>
      </c>
      <c r="G506" s="87">
        <v>44.271078251200002</v>
      </c>
      <c r="H506" s="86">
        <v>7</v>
      </c>
      <c r="I506" s="86">
        <v>42</v>
      </c>
      <c r="J506" s="87">
        <v>1</v>
      </c>
      <c r="K506" s="87"/>
      <c r="L506" s="87"/>
      <c r="M506" s="87"/>
      <c r="N506" s="87"/>
      <c r="O506" s="87"/>
      <c r="P506" s="87"/>
      <c r="Q506" s="87"/>
      <c r="R506" s="87">
        <v>2</v>
      </c>
      <c r="S506" s="87"/>
      <c r="T506" s="87"/>
      <c r="U506" s="87"/>
      <c r="V506" s="87">
        <v>4</v>
      </c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>
        <v>7</v>
      </c>
      <c r="AI506" s="87"/>
      <c r="AJ506" s="87"/>
      <c r="AK506" s="87"/>
      <c r="AL506" s="87"/>
      <c r="AM506" s="87"/>
      <c r="AN506" s="87">
        <v>1</v>
      </c>
      <c r="AO506" s="87"/>
      <c r="AP506" s="87">
        <v>4</v>
      </c>
      <c r="AQ506" s="87">
        <v>2</v>
      </c>
      <c r="AR506" s="87"/>
      <c r="AS506" s="87"/>
      <c r="AT506" s="87"/>
      <c r="AU506" s="87"/>
      <c r="AV506" s="87"/>
      <c r="AW506" s="88" t="str">
        <f>HYPERLINK("http://www.openstreetmap.org/?mlat=33.3671&amp;mlon=44.2711&amp;zoom=12#map=12/33.3671/44.2711","Maplink1")</f>
        <v>Maplink1</v>
      </c>
      <c r="AX506" s="88" t="str">
        <f>HYPERLINK("https://www.google.iq/maps/search/+33.3671,44.2711/@33.3671,44.2711,14z?hl=en","Maplink2")</f>
        <v>Maplink2</v>
      </c>
      <c r="AY506" s="88" t="str">
        <f>HYPERLINK("http://www.bing.com/maps/?lvl=14&amp;sty=h&amp;cp=33.3671~44.2711&amp;sp=point.33.3671_44.2711","Maplink3")</f>
        <v>Maplink3</v>
      </c>
      <c r="AZ506" s="76"/>
    </row>
    <row r="507" spans="1:52" x14ac:dyDescent="0.25">
      <c r="A507" s="86">
        <v>27318</v>
      </c>
      <c r="B507" s="87" t="s">
        <v>14</v>
      </c>
      <c r="C507" s="87" t="s">
        <v>887</v>
      </c>
      <c r="D507" s="87" t="s">
        <v>1029</v>
      </c>
      <c r="E507" s="87" t="s">
        <v>1030</v>
      </c>
      <c r="F507" s="87">
        <v>33.379033342500001</v>
      </c>
      <c r="G507" s="87">
        <v>44.285123055900002</v>
      </c>
      <c r="H507" s="86">
        <v>9</v>
      </c>
      <c r="I507" s="86">
        <v>54</v>
      </c>
      <c r="J507" s="87"/>
      <c r="K507" s="87"/>
      <c r="L507" s="87"/>
      <c r="M507" s="87"/>
      <c r="N507" s="87"/>
      <c r="O507" s="87">
        <v>2</v>
      </c>
      <c r="P507" s="87"/>
      <c r="Q507" s="87"/>
      <c r="R507" s="87"/>
      <c r="S507" s="87"/>
      <c r="T507" s="87"/>
      <c r="U507" s="87"/>
      <c r="V507" s="87">
        <v>4</v>
      </c>
      <c r="W507" s="87"/>
      <c r="X507" s="87">
        <v>3</v>
      </c>
      <c r="Y507" s="87"/>
      <c r="Z507" s="87"/>
      <c r="AA507" s="87"/>
      <c r="AB507" s="87"/>
      <c r="AC507" s="87"/>
      <c r="AD507" s="87"/>
      <c r="AE507" s="87"/>
      <c r="AF507" s="87"/>
      <c r="AG507" s="87"/>
      <c r="AH507" s="87">
        <v>9</v>
      </c>
      <c r="AI507" s="87"/>
      <c r="AJ507" s="87"/>
      <c r="AK507" s="87"/>
      <c r="AL507" s="87"/>
      <c r="AM507" s="87"/>
      <c r="AN507" s="87"/>
      <c r="AO507" s="87"/>
      <c r="AP507" s="87">
        <v>4</v>
      </c>
      <c r="AQ507" s="87">
        <v>5</v>
      </c>
      <c r="AR507" s="87"/>
      <c r="AS507" s="87"/>
      <c r="AT507" s="87"/>
      <c r="AU507" s="87"/>
      <c r="AV507" s="87"/>
      <c r="AW507" s="88" t="str">
        <f>HYPERLINK("http://www.openstreetmap.org/?mlat=33.379&amp;mlon=44.2851&amp;zoom=12#map=12/33.379/44.2851","Maplink1")</f>
        <v>Maplink1</v>
      </c>
      <c r="AX507" s="88" t="str">
        <f>HYPERLINK("https://www.google.iq/maps/search/+33.379,44.2851/@33.379,44.2851,14z?hl=en","Maplink2")</f>
        <v>Maplink2</v>
      </c>
      <c r="AY507" s="88" t="str">
        <f>HYPERLINK("http://www.bing.com/maps/?lvl=14&amp;sty=h&amp;cp=33.379~44.2851&amp;sp=point.33.379_44.2851","Maplink3")</f>
        <v>Maplink3</v>
      </c>
      <c r="AZ507" s="76"/>
    </row>
    <row r="508" spans="1:52" x14ac:dyDescent="0.25">
      <c r="A508" s="86">
        <v>27319</v>
      </c>
      <c r="B508" s="87" t="s">
        <v>14</v>
      </c>
      <c r="C508" s="87" t="s">
        <v>887</v>
      </c>
      <c r="D508" s="87" t="s">
        <v>1031</v>
      </c>
      <c r="E508" s="87" t="s">
        <v>1032</v>
      </c>
      <c r="F508" s="87">
        <v>33.363743210700001</v>
      </c>
      <c r="G508" s="87">
        <v>44.252254147499997</v>
      </c>
      <c r="H508" s="86">
        <v>16</v>
      </c>
      <c r="I508" s="86">
        <v>96</v>
      </c>
      <c r="J508" s="87">
        <v>5</v>
      </c>
      <c r="K508" s="87"/>
      <c r="L508" s="87"/>
      <c r="M508" s="87"/>
      <c r="N508" s="87"/>
      <c r="O508" s="87"/>
      <c r="P508" s="87"/>
      <c r="Q508" s="87"/>
      <c r="R508" s="87">
        <v>2</v>
      </c>
      <c r="S508" s="87"/>
      <c r="T508" s="87"/>
      <c r="U508" s="87"/>
      <c r="V508" s="87">
        <v>5</v>
      </c>
      <c r="W508" s="87"/>
      <c r="X508" s="87">
        <v>4</v>
      </c>
      <c r="Y508" s="87"/>
      <c r="Z508" s="87"/>
      <c r="AA508" s="87"/>
      <c r="AB508" s="87"/>
      <c r="AC508" s="87">
        <v>4</v>
      </c>
      <c r="AD508" s="87"/>
      <c r="AE508" s="87"/>
      <c r="AF508" s="87"/>
      <c r="AG508" s="87"/>
      <c r="AH508" s="87">
        <v>12</v>
      </c>
      <c r="AI508" s="87"/>
      <c r="AJ508" s="87"/>
      <c r="AK508" s="87"/>
      <c r="AL508" s="87"/>
      <c r="AM508" s="87"/>
      <c r="AN508" s="87">
        <v>6</v>
      </c>
      <c r="AO508" s="87"/>
      <c r="AP508" s="87">
        <v>5</v>
      </c>
      <c r="AQ508" s="87">
        <v>5</v>
      </c>
      <c r="AR508" s="87"/>
      <c r="AS508" s="87"/>
      <c r="AT508" s="87"/>
      <c r="AU508" s="87"/>
      <c r="AV508" s="87"/>
      <c r="AW508" s="88" t="str">
        <f>HYPERLINK("http://www.openstreetmap.org/?mlat=33.3637&amp;mlon=44.2523&amp;zoom=12#map=12/33.3637/44.2523","Maplink1")</f>
        <v>Maplink1</v>
      </c>
      <c r="AX508" s="88" t="str">
        <f>HYPERLINK("https://www.google.iq/maps/search/+33.3637,44.2523/@33.3637,44.2523,14z?hl=en","Maplink2")</f>
        <v>Maplink2</v>
      </c>
      <c r="AY508" s="88" t="str">
        <f>HYPERLINK("http://www.bing.com/maps/?lvl=14&amp;sty=h&amp;cp=33.3637~44.2523&amp;sp=point.33.3637_44.2523","Maplink3")</f>
        <v>Maplink3</v>
      </c>
      <c r="AZ508" s="76"/>
    </row>
    <row r="509" spans="1:52" x14ac:dyDescent="0.25">
      <c r="A509" s="86">
        <v>27320</v>
      </c>
      <c r="B509" s="87" t="s">
        <v>14</v>
      </c>
      <c r="C509" s="87" t="s">
        <v>887</v>
      </c>
      <c r="D509" s="87" t="s">
        <v>1033</v>
      </c>
      <c r="E509" s="87" t="s">
        <v>1034</v>
      </c>
      <c r="F509" s="87">
        <v>33.358245912800001</v>
      </c>
      <c r="G509" s="87">
        <v>44.294690211700001</v>
      </c>
      <c r="H509" s="86">
        <v>12</v>
      </c>
      <c r="I509" s="86">
        <v>72</v>
      </c>
      <c r="J509" s="87">
        <v>3</v>
      </c>
      <c r="K509" s="87"/>
      <c r="L509" s="87"/>
      <c r="M509" s="87"/>
      <c r="N509" s="87"/>
      <c r="O509" s="87"/>
      <c r="P509" s="87"/>
      <c r="Q509" s="87"/>
      <c r="R509" s="87">
        <v>2</v>
      </c>
      <c r="S509" s="87"/>
      <c r="T509" s="87"/>
      <c r="U509" s="87"/>
      <c r="V509" s="87">
        <v>4</v>
      </c>
      <c r="W509" s="87"/>
      <c r="X509" s="87">
        <v>3</v>
      </c>
      <c r="Y509" s="87"/>
      <c r="Z509" s="87"/>
      <c r="AA509" s="87"/>
      <c r="AB509" s="87"/>
      <c r="AC509" s="87"/>
      <c r="AD509" s="87"/>
      <c r="AE509" s="87"/>
      <c r="AF509" s="87"/>
      <c r="AG509" s="87"/>
      <c r="AH509" s="87">
        <v>12</v>
      </c>
      <c r="AI509" s="87"/>
      <c r="AJ509" s="87"/>
      <c r="AK509" s="87"/>
      <c r="AL509" s="87"/>
      <c r="AM509" s="87"/>
      <c r="AN509" s="87">
        <v>3</v>
      </c>
      <c r="AO509" s="87"/>
      <c r="AP509" s="87">
        <v>7</v>
      </c>
      <c r="AQ509" s="87">
        <v>2</v>
      </c>
      <c r="AR509" s="87"/>
      <c r="AS509" s="87"/>
      <c r="AT509" s="87"/>
      <c r="AU509" s="87"/>
      <c r="AV509" s="87"/>
      <c r="AW509" s="88" t="str">
        <f>HYPERLINK("http://www.openstreetmap.org/?mlat=33.3582&amp;mlon=44.2947&amp;zoom=12#map=12/33.3582/44.2947","Maplink1")</f>
        <v>Maplink1</v>
      </c>
      <c r="AX509" s="88" t="str">
        <f>HYPERLINK("https://www.google.iq/maps/search/+33.3582,44.2947/@33.3582,44.2947,14z?hl=en","Maplink2")</f>
        <v>Maplink2</v>
      </c>
      <c r="AY509" s="88" t="str">
        <f>HYPERLINK("http://www.bing.com/maps/?lvl=14&amp;sty=h&amp;cp=33.3582~44.2947&amp;sp=point.33.3582_44.2947","Maplink3")</f>
        <v>Maplink3</v>
      </c>
      <c r="AZ509" s="76"/>
    </row>
    <row r="510" spans="1:52" x14ac:dyDescent="0.25">
      <c r="A510" s="86">
        <v>25190</v>
      </c>
      <c r="B510" s="87" t="s">
        <v>14</v>
      </c>
      <c r="C510" s="87" t="s">
        <v>887</v>
      </c>
      <c r="D510" s="87" t="s">
        <v>1035</v>
      </c>
      <c r="E510" s="87" t="s">
        <v>1036</v>
      </c>
      <c r="F510" s="87">
        <v>33.582844104800003</v>
      </c>
      <c r="G510" s="87">
        <v>44.176485013700002</v>
      </c>
      <c r="H510" s="86">
        <v>5</v>
      </c>
      <c r="I510" s="86">
        <v>30</v>
      </c>
      <c r="J510" s="87">
        <v>5</v>
      </c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>
        <v>5</v>
      </c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>
        <v>5</v>
      </c>
      <c r="AO510" s="87"/>
      <c r="AP510" s="87"/>
      <c r="AQ510" s="87"/>
      <c r="AR510" s="87"/>
      <c r="AS510" s="87"/>
      <c r="AT510" s="87"/>
      <c r="AU510" s="87"/>
      <c r="AV510" s="87"/>
      <c r="AW510" s="88" t="str">
        <f>HYPERLINK("http://www.openstreetmap.org/?mlat=33.5828&amp;mlon=44.1765&amp;zoom=12#map=12/33.5828/44.1765","Maplink1")</f>
        <v>Maplink1</v>
      </c>
      <c r="AX510" s="88" t="str">
        <f>HYPERLINK("https://www.google.iq/maps/search/+33.5828,44.1765/@33.5828,44.1765,14z?hl=en","Maplink2")</f>
        <v>Maplink2</v>
      </c>
      <c r="AY510" s="88" t="str">
        <f>HYPERLINK("http://www.bing.com/maps/?lvl=14&amp;sty=h&amp;cp=33.5828~44.1765&amp;sp=point.33.5828_44.1765","Maplink3")</f>
        <v>Maplink3</v>
      </c>
      <c r="AZ510" s="76"/>
    </row>
    <row r="511" spans="1:52" x14ac:dyDescent="0.25">
      <c r="A511" s="86">
        <v>25175</v>
      </c>
      <c r="B511" s="87" t="s">
        <v>14</v>
      </c>
      <c r="C511" s="87" t="s">
        <v>887</v>
      </c>
      <c r="D511" s="87" t="s">
        <v>1037</v>
      </c>
      <c r="E511" s="87" t="s">
        <v>1038</v>
      </c>
      <c r="F511" s="87">
        <v>33.4645767879</v>
      </c>
      <c r="G511" s="87">
        <v>44.2198803207</v>
      </c>
      <c r="H511" s="86">
        <v>3</v>
      </c>
      <c r="I511" s="86">
        <v>18</v>
      </c>
      <c r="J511" s="87">
        <v>3</v>
      </c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>
        <v>3</v>
      </c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>
        <v>3</v>
      </c>
      <c r="AO511" s="87"/>
      <c r="AP511" s="87"/>
      <c r="AQ511" s="87"/>
      <c r="AR511" s="87"/>
      <c r="AS511" s="87"/>
      <c r="AT511" s="87"/>
      <c r="AU511" s="87"/>
      <c r="AV511" s="87"/>
      <c r="AW511" s="88" t="str">
        <f>HYPERLINK("http://www.openstreetmap.org/?mlat=33.4646&amp;mlon=44.2199&amp;zoom=12#map=12/33.4646/44.2199","Maplink1")</f>
        <v>Maplink1</v>
      </c>
      <c r="AX511" s="88" t="str">
        <f>HYPERLINK("https://www.google.iq/maps/search/+33.4646,44.2199/@33.4646,44.2199,14z?hl=en","Maplink2")</f>
        <v>Maplink2</v>
      </c>
      <c r="AY511" s="88" t="str">
        <f>HYPERLINK("http://www.bing.com/maps/?lvl=14&amp;sty=h&amp;cp=33.4646~44.2199&amp;sp=point.33.4646_44.2199","Maplink3")</f>
        <v>Maplink3</v>
      </c>
      <c r="AZ511" s="76"/>
    </row>
    <row r="512" spans="1:52" x14ac:dyDescent="0.25">
      <c r="A512" s="86">
        <v>25402</v>
      </c>
      <c r="B512" s="87" t="s">
        <v>14</v>
      </c>
      <c r="C512" s="87" t="s">
        <v>1039</v>
      </c>
      <c r="D512" s="87" t="s">
        <v>1040</v>
      </c>
      <c r="E512" s="87" t="s">
        <v>1041</v>
      </c>
      <c r="F512" s="87">
        <v>33.218002678300003</v>
      </c>
      <c r="G512" s="87">
        <v>44.381434368900003</v>
      </c>
      <c r="H512" s="86">
        <v>12</v>
      </c>
      <c r="I512" s="86">
        <v>72</v>
      </c>
      <c r="J512" s="87">
        <v>4</v>
      </c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>
        <v>8</v>
      </c>
      <c r="W512" s="87"/>
      <c r="X512" s="87"/>
      <c r="Y512" s="87"/>
      <c r="Z512" s="87"/>
      <c r="AA512" s="87"/>
      <c r="AB512" s="87"/>
      <c r="AC512" s="87">
        <v>7</v>
      </c>
      <c r="AD512" s="87"/>
      <c r="AE512" s="87"/>
      <c r="AF512" s="87"/>
      <c r="AG512" s="87"/>
      <c r="AH512" s="87">
        <v>5</v>
      </c>
      <c r="AI512" s="87"/>
      <c r="AJ512" s="87"/>
      <c r="AK512" s="87"/>
      <c r="AL512" s="87"/>
      <c r="AM512" s="87"/>
      <c r="AN512" s="87"/>
      <c r="AO512" s="87">
        <v>9</v>
      </c>
      <c r="AP512" s="87"/>
      <c r="AQ512" s="87">
        <v>3</v>
      </c>
      <c r="AR512" s="87"/>
      <c r="AS512" s="87"/>
      <c r="AT512" s="87"/>
      <c r="AU512" s="87"/>
      <c r="AV512" s="87"/>
      <c r="AW512" s="88" t="str">
        <f>HYPERLINK("http://www.openstreetmap.org/?mlat=33.218&amp;mlon=44.3814&amp;zoom=12#map=12/33.218/44.3814","Maplink1")</f>
        <v>Maplink1</v>
      </c>
      <c r="AX512" s="88" t="str">
        <f>HYPERLINK("https://www.google.iq/maps/search/+33.218,44.3814/@33.218,44.3814,14z?hl=en","Maplink2")</f>
        <v>Maplink2</v>
      </c>
      <c r="AY512" s="88" t="str">
        <f>HYPERLINK("http://www.bing.com/maps/?lvl=14&amp;sty=h&amp;cp=33.218~44.3814&amp;sp=point.33.218_44.3814","Maplink3")</f>
        <v>Maplink3</v>
      </c>
      <c r="AZ512" s="76"/>
    </row>
    <row r="513" spans="1:52" x14ac:dyDescent="0.25">
      <c r="A513" s="86">
        <v>25403</v>
      </c>
      <c r="B513" s="87" t="s">
        <v>14</v>
      </c>
      <c r="C513" s="87" t="s">
        <v>1039</v>
      </c>
      <c r="D513" s="87" t="s">
        <v>1042</v>
      </c>
      <c r="E513" s="87" t="s">
        <v>1043</v>
      </c>
      <c r="F513" s="87">
        <v>33.208289067000003</v>
      </c>
      <c r="G513" s="87">
        <v>44.3809967802</v>
      </c>
      <c r="H513" s="86">
        <v>12</v>
      </c>
      <c r="I513" s="86">
        <v>72</v>
      </c>
      <c r="J513" s="87">
        <v>4</v>
      </c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>
        <v>8</v>
      </c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>
        <v>12</v>
      </c>
      <c r="AI513" s="87"/>
      <c r="AJ513" s="87"/>
      <c r="AK513" s="87"/>
      <c r="AL513" s="87"/>
      <c r="AM513" s="87"/>
      <c r="AN513" s="87">
        <v>6</v>
      </c>
      <c r="AO513" s="87">
        <v>4</v>
      </c>
      <c r="AP513" s="87"/>
      <c r="AQ513" s="87">
        <v>2</v>
      </c>
      <c r="AR513" s="87"/>
      <c r="AS513" s="87"/>
      <c r="AT513" s="87"/>
      <c r="AU513" s="87"/>
      <c r="AV513" s="87"/>
      <c r="AW513" s="88" t="str">
        <f>HYPERLINK("http://www.openstreetmap.org/?mlat=33.2083&amp;mlon=44.381&amp;zoom=12#map=12/33.2083/44.381","Maplink1")</f>
        <v>Maplink1</v>
      </c>
      <c r="AX513" s="88" t="str">
        <f>HYPERLINK("https://www.google.iq/maps/search/+33.2083,44.381/@33.2083,44.381,14z?hl=en","Maplink2")</f>
        <v>Maplink2</v>
      </c>
      <c r="AY513" s="88" t="str">
        <f>HYPERLINK("http://www.bing.com/maps/?lvl=14&amp;sty=h&amp;cp=33.2083~44.381&amp;sp=point.33.2083_44.381","Maplink3")</f>
        <v>Maplink3</v>
      </c>
      <c r="AZ513" s="76"/>
    </row>
    <row r="514" spans="1:52" x14ac:dyDescent="0.25">
      <c r="A514" s="86">
        <v>25404</v>
      </c>
      <c r="B514" s="87" t="s">
        <v>14</v>
      </c>
      <c r="C514" s="87" t="s">
        <v>1039</v>
      </c>
      <c r="D514" s="87" t="s">
        <v>1044</v>
      </c>
      <c r="E514" s="87" t="s">
        <v>1045</v>
      </c>
      <c r="F514" s="87">
        <v>33.2181773947</v>
      </c>
      <c r="G514" s="87">
        <v>44.386527571400002</v>
      </c>
      <c r="H514" s="86">
        <v>10</v>
      </c>
      <c r="I514" s="86">
        <v>60</v>
      </c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>
        <v>7</v>
      </c>
      <c r="W514" s="87"/>
      <c r="X514" s="87">
        <v>3</v>
      </c>
      <c r="Y514" s="87"/>
      <c r="Z514" s="87"/>
      <c r="AA514" s="87"/>
      <c r="AB514" s="87"/>
      <c r="AC514" s="87">
        <v>2</v>
      </c>
      <c r="AD514" s="87"/>
      <c r="AE514" s="87"/>
      <c r="AF514" s="87"/>
      <c r="AG514" s="87"/>
      <c r="AH514" s="87">
        <v>8</v>
      </c>
      <c r="AI514" s="87"/>
      <c r="AJ514" s="87"/>
      <c r="AK514" s="87"/>
      <c r="AL514" s="87"/>
      <c r="AM514" s="87"/>
      <c r="AN514" s="87"/>
      <c r="AO514" s="87">
        <v>10</v>
      </c>
      <c r="AP514" s="87"/>
      <c r="AQ514" s="87"/>
      <c r="AR514" s="87"/>
      <c r="AS514" s="87"/>
      <c r="AT514" s="87"/>
      <c r="AU514" s="87"/>
      <c r="AV514" s="87"/>
      <c r="AW514" s="88" t="str">
        <f>HYPERLINK("http://www.openstreetmap.org/?mlat=33.2182&amp;mlon=44.3865&amp;zoom=12#map=12/33.2182/44.3865","Maplink1")</f>
        <v>Maplink1</v>
      </c>
      <c r="AX514" s="88" t="str">
        <f>HYPERLINK("https://www.google.iq/maps/search/+33.2182,44.3865/@33.2182,44.3865,14z?hl=en","Maplink2")</f>
        <v>Maplink2</v>
      </c>
      <c r="AY514" s="88" t="str">
        <f>HYPERLINK("http://www.bing.com/maps/?lvl=14&amp;sty=h&amp;cp=33.2182~44.3865&amp;sp=point.33.2182_44.3865","Maplink3")</f>
        <v>Maplink3</v>
      </c>
      <c r="AZ514" s="76"/>
    </row>
    <row r="515" spans="1:52" x14ac:dyDescent="0.25">
      <c r="A515" s="86">
        <v>25405</v>
      </c>
      <c r="B515" s="87" t="s">
        <v>14</v>
      </c>
      <c r="C515" s="87" t="s">
        <v>1039</v>
      </c>
      <c r="D515" s="87" t="s">
        <v>1046</v>
      </c>
      <c r="E515" s="87" t="s">
        <v>1047</v>
      </c>
      <c r="F515" s="87">
        <v>33.218264249800001</v>
      </c>
      <c r="G515" s="87">
        <v>44.393906705600003</v>
      </c>
      <c r="H515" s="86">
        <v>7</v>
      </c>
      <c r="I515" s="86">
        <v>42</v>
      </c>
      <c r="J515" s="87">
        <v>7</v>
      </c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>
        <v>7</v>
      </c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>
        <v>7</v>
      </c>
      <c r="AS515" s="87"/>
      <c r="AT515" s="87"/>
      <c r="AU515" s="87"/>
      <c r="AV515" s="87"/>
      <c r="AW515" s="88" t="str">
        <f>HYPERLINK("http://www.openstreetmap.org/?mlat=33.2183&amp;mlon=44.3939&amp;zoom=12#map=12/33.2183/44.3939","Maplink1")</f>
        <v>Maplink1</v>
      </c>
      <c r="AX515" s="88" t="str">
        <f>HYPERLINK("https://www.google.iq/maps/search/+33.2183,44.3939/@33.2183,44.3939,14z?hl=en","Maplink2")</f>
        <v>Maplink2</v>
      </c>
      <c r="AY515" s="88" t="str">
        <f>HYPERLINK("http://www.bing.com/maps/?lvl=14&amp;sty=h&amp;cp=33.2183~44.3939&amp;sp=point.33.2183_44.3939","Maplink3")</f>
        <v>Maplink3</v>
      </c>
      <c r="AZ515" s="76"/>
    </row>
    <row r="516" spans="1:52" x14ac:dyDescent="0.25">
      <c r="A516" s="86">
        <v>21451</v>
      </c>
      <c r="B516" s="87" t="s">
        <v>14</v>
      </c>
      <c r="C516" s="87" t="s">
        <v>1039</v>
      </c>
      <c r="D516" s="87" t="s">
        <v>1048</v>
      </c>
      <c r="E516" s="87" t="s">
        <v>1049</v>
      </c>
      <c r="F516" s="87">
        <v>33.295617501099997</v>
      </c>
      <c r="G516" s="87">
        <v>44.296306080599997</v>
      </c>
      <c r="H516" s="86">
        <v>58</v>
      </c>
      <c r="I516" s="86">
        <v>348</v>
      </c>
      <c r="J516" s="87">
        <v>47</v>
      </c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>
        <v>11</v>
      </c>
      <c r="W516" s="87"/>
      <c r="X516" s="87"/>
      <c r="Y516" s="87"/>
      <c r="Z516" s="87"/>
      <c r="AA516" s="87"/>
      <c r="AB516" s="87"/>
      <c r="AC516" s="87">
        <v>15</v>
      </c>
      <c r="AD516" s="87"/>
      <c r="AE516" s="87"/>
      <c r="AF516" s="87"/>
      <c r="AG516" s="87"/>
      <c r="AH516" s="87">
        <v>43</v>
      </c>
      <c r="AI516" s="87"/>
      <c r="AJ516" s="87"/>
      <c r="AK516" s="87"/>
      <c r="AL516" s="87"/>
      <c r="AM516" s="87"/>
      <c r="AN516" s="87"/>
      <c r="AO516" s="87">
        <v>11</v>
      </c>
      <c r="AP516" s="87"/>
      <c r="AQ516" s="87"/>
      <c r="AR516" s="87">
        <v>47</v>
      </c>
      <c r="AS516" s="87"/>
      <c r="AT516" s="87"/>
      <c r="AU516" s="87"/>
      <c r="AV516" s="87"/>
      <c r="AW516" s="88" t="str">
        <f>HYPERLINK("http://www.openstreetmap.org/?mlat=33.2956&amp;mlon=44.2963&amp;zoom=12#map=12/33.2956/44.2963","Maplink1")</f>
        <v>Maplink1</v>
      </c>
      <c r="AX516" s="88" t="str">
        <f>HYPERLINK("https://www.google.iq/maps/search/+33.2956,44.2963/@33.2956,44.2963,14z?hl=en","Maplink2")</f>
        <v>Maplink2</v>
      </c>
      <c r="AY516" s="88" t="str">
        <f>HYPERLINK("http://www.bing.com/maps/?lvl=14&amp;sty=h&amp;cp=33.2956~44.2963&amp;sp=point.33.2956_44.2963","Maplink3")</f>
        <v>Maplink3</v>
      </c>
      <c r="AZ516" s="76"/>
    </row>
    <row r="517" spans="1:52" x14ac:dyDescent="0.25">
      <c r="A517" s="86">
        <v>21450</v>
      </c>
      <c r="B517" s="87" t="s">
        <v>14</v>
      </c>
      <c r="C517" s="87" t="s">
        <v>1039</v>
      </c>
      <c r="D517" s="87" t="s">
        <v>1050</v>
      </c>
      <c r="E517" s="87" t="s">
        <v>1051</v>
      </c>
      <c r="F517" s="87">
        <v>33.291441284100003</v>
      </c>
      <c r="G517" s="87">
        <v>44.295133766299998</v>
      </c>
      <c r="H517" s="86">
        <v>35</v>
      </c>
      <c r="I517" s="86">
        <v>210</v>
      </c>
      <c r="J517" s="87">
        <v>24</v>
      </c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>
        <v>11</v>
      </c>
      <c r="W517" s="87"/>
      <c r="X517" s="87"/>
      <c r="Y517" s="87"/>
      <c r="Z517" s="87"/>
      <c r="AA517" s="87"/>
      <c r="AB517" s="87"/>
      <c r="AC517" s="87">
        <v>8</v>
      </c>
      <c r="AD517" s="87"/>
      <c r="AE517" s="87"/>
      <c r="AF517" s="87"/>
      <c r="AG517" s="87"/>
      <c r="AH517" s="87">
        <v>27</v>
      </c>
      <c r="AI517" s="87"/>
      <c r="AJ517" s="87"/>
      <c r="AK517" s="87"/>
      <c r="AL517" s="87"/>
      <c r="AM517" s="87"/>
      <c r="AN517" s="87"/>
      <c r="AO517" s="87">
        <v>8</v>
      </c>
      <c r="AP517" s="87"/>
      <c r="AQ517" s="87">
        <v>11</v>
      </c>
      <c r="AR517" s="87">
        <v>16</v>
      </c>
      <c r="AS517" s="87"/>
      <c r="AT517" s="87"/>
      <c r="AU517" s="87"/>
      <c r="AV517" s="87"/>
      <c r="AW517" s="88" t="str">
        <f>HYPERLINK("http://www.openstreetmap.org/?mlat=33.2914&amp;mlon=44.2951&amp;zoom=12#map=12/33.2914/44.2951","Maplink1")</f>
        <v>Maplink1</v>
      </c>
      <c r="AX517" s="88" t="str">
        <f>HYPERLINK("https://www.google.iq/maps/search/+33.2914,44.2951/@33.2914,44.2951,14z?hl=en","Maplink2")</f>
        <v>Maplink2</v>
      </c>
      <c r="AY517" s="88" t="str">
        <f>HYPERLINK("http://www.bing.com/maps/?lvl=14&amp;sty=h&amp;cp=33.2914~44.2951&amp;sp=point.33.2914_44.2951","Maplink3")</f>
        <v>Maplink3</v>
      </c>
      <c r="AZ517" s="76"/>
    </row>
    <row r="518" spans="1:52" x14ac:dyDescent="0.25">
      <c r="A518" s="86">
        <v>21452</v>
      </c>
      <c r="B518" s="87" t="s">
        <v>14</v>
      </c>
      <c r="C518" s="87" t="s">
        <v>1039</v>
      </c>
      <c r="D518" s="87" t="s">
        <v>1052</v>
      </c>
      <c r="E518" s="87" t="s">
        <v>1053</v>
      </c>
      <c r="F518" s="87">
        <v>33.298447940099997</v>
      </c>
      <c r="G518" s="87">
        <v>44.279902221599997</v>
      </c>
      <c r="H518" s="86">
        <v>86</v>
      </c>
      <c r="I518" s="86">
        <v>516</v>
      </c>
      <c r="J518" s="87">
        <v>75</v>
      </c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>
        <v>6</v>
      </c>
      <c r="W518" s="87"/>
      <c r="X518" s="87">
        <v>5</v>
      </c>
      <c r="Y518" s="87"/>
      <c r="Z518" s="87"/>
      <c r="AA518" s="87"/>
      <c r="AB518" s="87"/>
      <c r="AC518" s="87">
        <v>30</v>
      </c>
      <c r="AD518" s="87"/>
      <c r="AE518" s="87"/>
      <c r="AF518" s="87"/>
      <c r="AG518" s="87"/>
      <c r="AH518" s="87">
        <v>52</v>
      </c>
      <c r="AI518" s="87"/>
      <c r="AJ518" s="87"/>
      <c r="AK518" s="87"/>
      <c r="AL518" s="87">
        <v>4</v>
      </c>
      <c r="AM518" s="87"/>
      <c r="AN518" s="87">
        <v>34</v>
      </c>
      <c r="AO518" s="87">
        <v>34</v>
      </c>
      <c r="AP518" s="87"/>
      <c r="AQ518" s="87"/>
      <c r="AR518" s="87">
        <v>12</v>
      </c>
      <c r="AS518" s="87"/>
      <c r="AT518" s="87">
        <v>6</v>
      </c>
      <c r="AU518" s="87"/>
      <c r="AV518" s="87"/>
      <c r="AW518" s="88" t="str">
        <f>HYPERLINK("http://www.openstreetmap.org/?mlat=33.2984&amp;mlon=44.2799&amp;zoom=12#map=12/33.2984/44.2799","Maplink1")</f>
        <v>Maplink1</v>
      </c>
      <c r="AX518" s="88" t="str">
        <f>HYPERLINK("https://www.google.iq/maps/search/+33.2984,44.2799/@33.2984,44.2799,14z?hl=en","Maplink2")</f>
        <v>Maplink2</v>
      </c>
      <c r="AY518" s="88" t="str">
        <f>HYPERLINK("http://www.bing.com/maps/?lvl=14&amp;sty=h&amp;cp=33.2984~44.2799&amp;sp=point.33.2984_44.2799","Maplink3")</f>
        <v>Maplink3</v>
      </c>
      <c r="AZ518" s="76"/>
    </row>
    <row r="519" spans="1:52" x14ac:dyDescent="0.25">
      <c r="A519" s="86">
        <v>21449</v>
      </c>
      <c r="B519" s="87" t="s">
        <v>14</v>
      </c>
      <c r="C519" s="87" t="s">
        <v>1039</v>
      </c>
      <c r="D519" s="87" t="s">
        <v>1054</v>
      </c>
      <c r="E519" s="87" t="s">
        <v>1055</v>
      </c>
      <c r="F519" s="87">
        <v>33.294111887</v>
      </c>
      <c r="G519" s="87">
        <v>44.2864785899</v>
      </c>
      <c r="H519" s="86">
        <v>44</v>
      </c>
      <c r="I519" s="86">
        <v>264</v>
      </c>
      <c r="J519" s="87">
        <v>32</v>
      </c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>
        <v>12</v>
      </c>
      <c r="W519" s="87"/>
      <c r="X519" s="87"/>
      <c r="Y519" s="87"/>
      <c r="Z519" s="87"/>
      <c r="AA519" s="87"/>
      <c r="AB519" s="87"/>
      <c r="AC519" s="87">
        <v>20</v>
      </c>
      <c r="AD519" s="87"/>
      <c r="AE519" s="87"/>
      <c r="AF519" s="87"/>
      <c r="AG519" s="87"/>
      <c r="AH519" s="87">
        <v>24</v>
      </c>
      <c r="AI519" s="87"/>
      <c r="AJ519" s="87"/>
      <c r="AK519" s="87"/>
      <c r="AL519" s="87"/>
      <c r="AM519" s="87"/>
      <c r="AN519" s="87">
        <v>5</v>
      </c>
      <c r="AO519" s="87"/>
      <c r="AP519" s="87"/>
      <c r="AQ519" s="87"/>
      <c r="AR519" s="87">
        <v>27</v>
      </c>
      <c r="AS519" s="87">
        <v>12</v>
      </c>
      <c r="AT519" s="87"/>
      <c r="AU519" s="87"/>
      <c r="AV519" s="87"/>
      <c r="AW519" s="88" t="str">
        <f>HYPERLINK("http://www.openstreetmap.org/?mlat=33.2941&amp;mlon=44.2865&amp;zoom=12#map=12/33.2941/44.2865","Maplink1")</f>
        <v>Maplink1</v>
      </c>
      <c r="AX519" s="88" t="str">
        <f>HYPERLINK("https://www.google.iq/maps/search/+33.2941,44.2865/@33.2941,44.2865,14z?hl=en","Maplink2")</f>
        <v>Maplink2</v>
      </c>
      <c r="AY519" s="88" t="str">
        <f>HYPERLINK("http://www.bing.com/maps/?lvl=14&amp;sty=h&amp;cp=33.2941~44.2865&amp;sp=point.33.2941_44.2865","Maplink3")</f>
        <v>Maplink3</v>
      </c>
      <c r="AZ519" s="76"/>
    </row>
    <row r="520" spans="1:52" x14ac:dyDescent="0.25">
      <c r="A520" s="86">
        <v>21446</v>
      </c>
      <c r="B520" s="87" t="s">
        <v>14</v>
      </c>
      <c r="C520" s="87" t="s">
        <v>1039</v>
      </c>
      <c r="D520" s="87" t="s">
        <v>1056</v>
      </c>
      <c r="E520" s="87" t="s">
        <v>1057</v>
      </c>
      <c r="F520" s="87">
        <v>33.295588696599999</v>
      </c>
      <c r="G520" s="87">
        <v>44.3055589668</v>
      </c>
      <c r="H520" s="86">
        <v>30</v>
      </c>
      <c r="I520" s="86">
        <v>180</v>
      </c>
      <c r="J520" s="87">
        <v>12</v>
      </c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>
        <v>13</v>
      </c>
      <c r="W520" s="87"/>
      <c r="X520" s="87">
        <v>5</v>
      </c>
      <c r="Y520" s="87"/>
      <c r="Z520" s="87"/>
      <c r="AA520" s="87"/>
      <c r="AB520" s="87"/>
      <c r="AC520" s="87">
        <v>15</v>
      </c>
      <c r="AD520" s="87"/>
      <c r="AE520" s="87"/>
      <c r="AF520" s="87"/>
      <c r="AG520" s="87"/>
      <c r="AH520" s="87">
        <v>15</v>
      </c>
      <c r="AI520" s="87"/>
      <c r="AJ520" s="87"/>
      <c r="AK520" s="87"/>
      <c r="AL520" s="87"/>
      <c r="AM520" s="87"/>
      <c r="AN520" s="87">
        <v>4</v>
      </c>
      <c r="AO520" s="87"/>
      <c r="AP520" s="87"/>
      <c r="AQ520" s="87">
        <v>18</v>
      </c>
      <c r="AR520" s="87"/>
      <c r="AS520" s="87">
        <v>8</v>
      </c>
      <c r="AT520" s="87"/>
      <c r="AU520" s="87"/>
      <c r="AV520" s="87"/>
      <c r="AW520" s="88" t="str">
        <f>HYPERLINK("http://www.openstreetmap.org/?mlat=33.2956&amp;mlon=44.3056&amp;zoom=12#map=12/33.2956/44.3056","Maplink1")</f>
        <v>Maplink1</v>
      </c>
      <c r="AX520" s="88" t="str">
        <f>HYPERLINK("https://www.google.iq/maps/search/+33.2956,44.3056/@33.2956,44.3056,14z?hl=en","Maplink2")</f>
        <v>Maplink2</v>
      </c>
      <c r="AY520" s="88" t="str">
        <f>HYPERLINK("http://www.bing.com/maps/?lvl=14&amp;sty=h&amp;cp=33.2956~44.3056&amp;sp=point.33.2956_44.3056","Maplink3")</f>
        <v>Maplink3</v>
      </c>
      <c r="AZ520" s="76"/>
    </row>
    <row r="521" spans="1:52" x14ac:dyDescent="0.25">
      <c r="A521" s="86">
        <v>21448</v>
      </c>
      <c r="B521" s="87" t="s">
        <v>14</v>
      </c>
      <c r="C521" s="87" t="s">
        <v>1039</v>
      </c>
      <c r="D521" s="87" t="s">
        <v>1058</v>
      </c>
      <c r="E521" s="87" t="s">
        <v>1059</v>
      </c>
      <c r="F521" s="87">
        <v>33.3016733065</v>
      </c>
      <c r="G521" s="87">
        <v>44.293997267100004</v>
      </c>
      <c r="H521" s="86">
        <v>24</v>
      </c>
      <c r="I521" s="86">
        <v>144</v>
      </c>
      <c r="J521" s="87">
        <v>17</v>
      </c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>
        <v>7</v>
      </c>
      <c r="W521" s="87"/>
      <c r="X521" s="87"/>
      <c r="Y521" s="87"/>
      <c r="Z521" s="87"/>
      <c r="AA521" s="87"/>
      <c r="AB521" s="87"/>
      <c r="AC521" s="87">
        <v>10</v>
      </c>
      <c r="AD521" s="87"/>
      <c r="AE521" s="87"/>
      <c r="AF521" s="87"/>
      <c r="AG521" s="87"/>
      <c r="AH521" s="87">
        <v>14</v>
      </c>
      <c r="AI521" s="87"/>
      <c r="AJ521" s="87"/>
      <c r="AK521" s="87"/>
      <c r="AL521" s="87"/>
      <c r="AM521" s="87"/>
      <c r="AN521" s="87"/>
      <c r="AO521" s="87"/>
      <c r="AP521" s="87"/>
      <c r="AQ521" s="87">
        <v>17</v>
      </c>
      <c r="AR521" s="87">
        <v>7</v>
      </c>
      <c r="AS521" s="87"/>
      <c r="AT521" s="87"/>
      <c r="AU521" s="87"/>
      <c r="AV521" s="87"/>
      <c r="AW521" s="88" t="str">
        <f>HYPERLINK("http://www.openstreetmap.org/?mlat=33.3017&amp;mlon=44.294&amp;zoom=12#map=12/33.3017/44.294","Maplink1")</f>
        <v>Maplink1</v>
      </c>
      <c r="AX521" s="88" t="str">
        <f>HYPERLINK("https://www.google.iq/maps/search/+33.3017,44.294/@33.3017,44.294,14z?hl=en","Maplink2")</f>
        <v>Maplink2</v>
      </c>
      <c r="AY521" s="88" t="str">
        <f>HYPERLINK("http://www.bing.com/maps/?lvl=14&amp;sty=h&amp;cp=33.3017~44.294&amp;sp=point.33.3017_44.294","Maplink3")</f>
        <v>Maplink3</v>
      </c>
      <c r="AZ521" s="76"/>
    </row>
    <row r="522" spans="1:52" x14ac:dyDescent="0.25">
      <c r="A522" s="86">
        <v>23737</v>
      </c>
      <c r="B522" s="87" t="s">
        <v>14</v>
      </c>
      <c r="C522" s="87" t="s">
        <v>1039</v>
      </c>
      <c r="D522" s="87" t="s">
        <v>1060</v>
      </c>
      <c r="E522" s="87" t="s">
        <v>1061</v>
      </c>
      <c r="F522" s="87">
        <v>33.322579836899997</v>
      </c>
      <c r="G522" s="87">
        <v>44.335067774599999</v>
      </c>
      <c r="H522" s="86">
        <v>4</v>
      </c>
      <c r="I522" s="86">
        <v>24</v>
      </c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>
        <v>4</v>
      </c>
      <c r="W522" s="87"/>
      <c r="X522" s="87"/>
      <c r="Y522" s="87"/>
      <c r="Z522" s="87"/>
      <c r="AA522" s="87"/>
      <c r="AB522" s="87"/>
      <c r="AC522" s="87">
        <v>2</v>
      </c>
      <c r="AD522" s="87"/>
      <c r="AE522" s="87"/>
      <c r="AF522" s="87"/>
      <c r="AG522" s="87"/>
      <c r="AH522" s="87">
        <v>2</v>
      </c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>
        <v>4</v>
      </c>
      <c r="AU522" s="87"/>
      <c r="AV522" s="87"/>
      <c r="AW522" s="88" t="str">
        <f>HYPERLINK("http://www.openstreetmap.org/?mlat=33.3226&amp;mlon=44.3351&amp;zoom=12#map=12/33.3226/44.3351","Maplink1")</f>
        <v>Maplink1</v>
      </c>
      <c r="AX522" s="88" t="str">
        <f>HYPERLINK("https://www.google.iq/maps/search/+33.3226,44.3351/@33.3226,44.3351,14z?hl=en","Maplink2")</f>
        <v>Maplink2</v>
      </c>
      <c r="AY522" s="88" t="str">
        <f>HYPERLINK("http://www.bing.com/maps/?lvl=14&amp;sty=h&amp;cp=33.3226~44.3351&amp;sp=point.33.3226_44.3351","Maplink3")</f>
        <v>Maplink3</v>
      </c>
      <c r="AZ522" s="76"/>
    </row>
    <row r="523" spans="1:52" x14ac:dyDescent="0.25">
      <c r="A523" s="86">
        <v>26042</v>
      </c>
      <c r="B523" s="87" t="s">
        <v>14</v>
      </c>
      <c r="C523" s="87" t="s">
        <v>1039</v>
      </c>
      <c r="D523" s="87" t="s">
        <v>1062</v>
      </c>
      <c r="E523" s="87" t="s">
        <v>1063</v>
      </c>
      <c r="F523" s="87">
        <v>33.315905025799999</v>
      </c>
      <c r="G523" s="87">
        <v>44.3330578833</v>
      </c>
      <c r="H523" s="86">
        <v>6</v>
      </c>
      <c r="I523" s="86">
        <v>36</v>
      </c>
      <c r="J523" s="87">
        <v>6</v>
      </c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>
        <v>3</v>
      </c>
      <c r="AD523" s="87"/>
      <c r="AE523" s="87"/>
      <c r="AF523" s="87"/>
      <c r="AG523" s="87"/>
      <c r="AH523" s="87">
        <v>3</v>
      </c>
      <c r="AI523" s="87"/>
      <c r="AJ523" s="87"/>
      <c r="AK523" s="87"/>
      <c r="AL523" s="87"/>
      <c r="AM523" s="87"/>
      <c r="AN523" s="87"/>
      <c r="AO523" s="87"/>
      <c r="AP523" s="87">
        <v>4</v>
      </c>
      <c r="AQ523" s="87">
        <v>2</v>
      </c>
      <c r="AR523" s="87"/>
      <c r="AS523" s="87"/>
      <c r="AT523" s="87"/>
      <c r="AU523" s="87"/>
      <c r="AV523" s="87"/>
      <c r="AW523" s="88" t="str">
        <f>HYPERLINK("http://www.openstreetmap.org/?mlat=33.3159&amp;mlon=44.3331&amp;zoom=12#map=12/33.3159/44.3331","Maplink1")</f>
        <v>Maplink1</v>
      </c>
      <c r="AX523" s="88" t="str">
        <f>HYPERLINK("https://www.google.iq/maps/search/+33.3159,44.3331/@33.3159,44.3331,14z?hl=en","Maplink2")</f>
        <v>Maplink2</v>
      </c>
      <c r="AY523" s="88" t="str">
        <f>HYPERLINK("http://www.bing.com/maps/?lvl=14&amp;sty=h&amp;cp=33.3159~44.3331&amp;sp=point.33.3159_44.3331","Maplink3")</f>
        <v>Maplink3</v>
      </c>
      <c r="AZ523" s="76"/>
    </row>
    <row r="524" spans="1:52" x14ac:dyDescent="0.25">
      <c r="A524" s="86">
        <v>24060</v>
      </c>
      <c r="B524" s="87" t="s">
        <v>14</v>
      </c>
      <c r="C524" s="87" t="s">
        <v>1039</v>
      </c>
      <c r="D524" s="87" t="s">
        <v>1064</v>
      </c>
      <c r="E524" s="87" t="s">
        <v>1065</v>
      </c>
      <c r="F524" s="87">
        <v>33.3266568349</v>
      </c>
      <c r="G524" s="87">
        <v>44.335421402500003</v>
      </c>
      <c r="H524" s="86">
        <v>7</v>
      </c>
      <c r="I524" s="86">
        <v>42</v>
      </c>
      <c r="J524" s="87">
        <v>4</v>
      </c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>
        <v>3</v>
      </c>
      <c r="W524" s="87"/>
      <c r="X524" s="87"/>
      <c r="Y524" s="87"/>
      <c r="Z524" s="87"/>
      <c r="AA524" s="87"/>
      <c r="AB524" s="87"/>
      <c r="AC524" s="87">
        <v>2</v>
      </c>
      <c r="AD524" s="87"/>
      <c r="AE524" s="87"/>
      <c r="AF524" s="87"/>
      <c r="AG524" s="87"/>
      <c r="AH524" s="87">
        <v>5</v>
      </c>
      <c r="AI524" s="87"/>
      <c r="AJ524" s="87"/>
      <c r="AK524" s="87"/>
      <c r="AL524" s="87"/>
      <c r="AM524" s="87"/>
      <c r="AN524" s="87"/>
      <c r="AO524" s="87">
        <v>7</v>
      </c>
      <c r="AP524" s="87"/>
      <c r="AQ524" s="87"/>
      <c r="AR524" s="87"/>
      <c r="AS524" s="87"/>
      <c r="AT524" s="87"/>
      <c r="AU524" s="87"/>
      <c r="AV524" s="87"/>
      <c r="AW524" s="88" t="str">
        <f>HYPERLINK("http://www.openstreetmap.org/?mlat=33.3267&amp;mlon=44.3354&amp;zoom=12#map=12/33.3267/44.3354","Maplink1")</f>
        <v>Maplink1</v>
      </c>
      <c r="AX524" s="88" t="str">
        <f>HYPERLINK("https://www.google.iq/maps/search/+33.3267,44.3354/@33.3267,44.3354,14z?hl=en","Maplink2")</f>
        <v>Maplink2</v>
      </c>
      <c r="AY524" s="88" t="str">
        <f>HYPERLINK("http://www.bing.com/maps/?lvl=14&amp;sty=h&amp;cp=33.3267~44.3354&amp;sp=point.33.3267_44.3354","Maplink3")</f>
        <v>Maplink3</v>
      </c>
      <c r="AZ524" s="76"/>
    </row>
    <row r="525" spans="1:52" x14ac:dyDescent="0.25">
      <c r="A525" s="86">
        <v>7515</v>
      </c>
      <c r="B525" s="87" t="s">
        <v>14</v>
      </c>
      <c r="C525" s="87" t="s">
        <v>1039</v>
      </c>
      <c r="D525" s="87" t="s">
        <v>1066</v>
      </c>
      <c r="E525" s="87" t="s">
        <v>1067</v>
      </c>
      <c r="F525" s="87">
        <v>33.267769671300002</v>
      </c>
      <c r="G525" s="87">
        <v>44.342884726000001</v>
      </c>
      <c r="H525" s="86">
        <v>4</v>
      </c>
      <c r="I525" s="86">
        <v>24</v>
      </c>
      <c r="J525" s="87">
        <v>2</v>
      </c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>
        <v>2</v>
      </c>
      <c r="Y525" s="87"/>
      <c r="Z525" s="87"/>
      <c r="AA525" s="87"/>
      <c r="AB525" s="87"/>
      <c r="AC525" s="87"/>
      <c r="AD525" s="87"/>
      <c r="AE525" s="87"/>
      <c r="AF525" s="87"/>
      <c r="AG525" s="87"/>
      <c r="AH525" s="87">
        <v>4</v>
      </c>
      <c r="AI525" s="87"/>
      <c r="AJ525" s="87"/>
      <c r="AK525" s="87"/>
      <c r="AL525" s="87"/>
      <c r="AM525" s="87"/>
      <c r="AN525" s="87"/>
      <c r="AO525" s="87"/>
      <c r="AP525" s="87">
        <v>2</v>
      </c>
      <c r="AQ525" s="87"/>
      <c r="AR525" s="87">
        <v>2</v>
      </c>
      <c r="AS525" s="87"/>
      <c r="AT525" s="87"/>
      <c r="AU525" s="87"/>
      <c r="AV525" s="87"/>
      <c r="AW525" s="88" t="str">
        <f>HYPERLINK("http://www.openstreetmap.org/?mlat=33.2678&amp;mlon=44.3429&amp;zoom=12#map=12/33.2678/44.3429","Maplink1")</f>
        <v>Maplink1</v>
      </c>
      <c r="AX525" s="88" t="str">
        <f>HYPERLINK("https://www.google.iq/maps/search/+33.2678,44.3429/@33.2678,44.3429,14z?hl=en","Maplink2")</f>
        <v>Maplink2</v>
      </c>
      <c r="AY525" s="88" t="str">
        <f>HYPERLINK("http://www.bing.com/maps/?lvl=14&amp;sty=h&amp;cp=33.2678~44.3429&amp;sp=point.33.2678_44.3429","Maplink3")</f>
        <v>Maplink3</v>
      </c>
      <c r="AZ525" s="76"/>
    </row>
    <row r="526" spans="1:52" x14ac:dyDescent="0.25">
      <c r="A526" s="86">
        <v>25221</v>
      </c>
      <c r="B526" s="87" t="s">
        <v>14</v>
      </c>
      <c r="C526" s="87" t="s">
        <v>1039</v>
      </c>
      <c r="D526" s="87" t="s">
        <v>1068</v>
      </c>
      <c r="E526" s="87" t="s">
        <v>1069</v>
      </c>
      <c r="F526" s="87">
        <v>33.275924218999997</v>
      </c>
      <c r="G526" s="87">
        <v>44.276316133000002</v>
      </c>
      <c r="H526" s="86">
        <v>38</v>
      </c>
      <c r="I526" s="86">
        <v>228</v>
      </c>
      <c r="J526" s="87">
        <v>25</v>
      </c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>
        <v>13</v>
      </c>
      <c r="W526" s="87"/>
      <c r="X526" s="87"/>
      <c r="Y526" s="87"/>
      <c r="Z526" s="87"/>
      <c r="AA526" s="87"/>
      <c r="AB526" s="87"/>
      <c r="AC526" s="87">
        <v>10</v>
      </c>
      <c r="AD526" s="87"/>
      <c r="AE526" s="87"/>
      <c r="AF526" s="87"/>
      <c r="AG526" s="87"/>
      <c r="AH526" s="87">
        <v>8</v>
      </c>
      <c r="AI526" s="87"/>
      <c r="AJ526" s="87"/>
      <c r="AK526" s="87">
        <v>20</v>
      </c>
      <c r="AL526" s="87"/>
      <c r="AM526" s="87"/>
      <c r="AN526" s="87"/>
      <c r="AO526" s="87">
        <v>10</v>
      </c>
      <c r="AP526" s="87">
        <v>15</v>
      </c>
      <c r="AQ526" s="87"/>
      <c r="AR526" s="87">
        <v>13</v>
      </c>
      <c r="AS526" s="87"/>
      <c r="AT526" s="87"/>
      <c r="AU526" s="87"/>
      <c r="AV526" s="87"/>
      <c r="AW526" s="88" t="str">
        <f>HYPERLINK("http://www.openstreetmap.org/?mlat=33.2759&amp;mlon=44.2763&amp;zoom=12#map=12/33.2759/44.2763","Maplink1")</f>
        <v>Maplink1</v>
      </c>
      <c r="AX526" s="88" t="str">
        <f>HYPERLINK("https://www.google.iq/maps/search/+33.2759,44.2763/@33.2759,44.2763,14z?hl=en","Maplink2")</f>
        <v>Maplink2</v>
      </c>
      <c r="AY526" s="88" t="str">
        <f>HYPERLINK("http://www.bing.com/maps/?lvl=14&amp;sty=h&amp;cp=33.2759~44.2763&amp;sp=point.33.2759_44.2763","Maplink3")</f>
        <v>Maplink3</v>
      </c>
      <c r="AZ526" s="76"/>
    </row>
    <row r="527" spans="1:52" x14ac:dyDescent="0.25">
      <c r="A527" s="86">
        <v>27119</v>
      </c>
      <c r="B527" s="87" t="s">
        <v>14</v>
      </c>
      <c r="C527" s="87" t="s">
        <v>1039</v>
      </c>
      <c r="D527" s="87" t="s">
        <v>1070</v>
      </c>
      <c r="E527" s="87" t="s">
        <v>1071</v>
      </c>
      <c r="F527" s="87">
        <v>33.229043078799997</v>
      </c>
      <c r="G527" s="87">
        <v>44.296631087900003</v>
      </c>
      <c r="H527" s="86">
        <v>7</v>
      </c>
      <c r="I527" s="86">
        <v>42</v>
      </c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>
        <v>7</v>
      </c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>
        <v>7</v>
      </c>
      <c r="AI527" s="87"/>
      <c r="AJ527" s="87"/>
      <c r="AK527" s="87"/>
      <c r="AL527" s="87"/>
      <c r="AM527" s="87"/>
      <c r="AN527" s="87"/>
      <c r="AO527" s="87"/>
      <c r="AP527" s="87">
        <v>7</v>
      </c>
      <c r="AQ527" s="87"/>
      <c r="AR527" s="87"/>
      <c r="AS527" s="87"/>
      <c r="AT527" s="87"/>
      <c r="AU527" s="87"/>
      <c r="AV527" s="87"/>
      <c r="AW527" s="88" t="str">
        <f>HYPERLINK("http://www.openstreetmap.org/?mlat=33.229&amp;mlon=44.2966&amp;zoom=12#map=12/33.229/44.2966","Maplink1")</f>
        <v>Maplink1</v>
      </c>
      <c r="AX527" s="88" t="str">
        <f>HYPERLINK("https://www.google.iq/maps/search/+33.229,44.2966/@33.229,44.2966,14z?hl=en","Maplink2")</f>
        <v>Maplink2</v>
      </c>
      <c r="AY527" s="88" t="str">
        <f>HYPERLINK("http://www.bing.com/maps/?lvl=14&amp;sty=h&amp;cp=33.229~44.2966&amp;sp=point.33.229_44.2966","Maplink3")</f>
        <v>Maplink3</v>
      </c>
      <c r="AZ527" s="76"/>
    </row>
    <row r="528" spans="1:52" x14ac:dyDescent="0.25">
      <c r="A528" s="86">
        <v>25412</v>
      </c>
      <c r="B528" s="87" t="s">
        <v>14</v>
      </c>
      <c r="C528" s="87" t="s">
        <v>1039</v>
      </c>
      <c r="D528" s="87" t="s">
        <v>1072</v>
      </c>
      <c r="E528" s="87" t="s">
        <v>1073</v>
      </c>
      <c r="F528" s="87">
        <v>33.333064495199999</v>
      </c>
      <c r="G528" s="87">
        <v>44.289786253199999</v>
      </c>
      <c r="H528" s="86">
        <v>21</v>
      </c>
      <c r="I528" s="86">
        <v>126</v>
      </c>
      <c r="J528" s="87">
        <v>17</v>
      </c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>
        <v>4</v>
      </c>
      <c r="Y528" s="87"/>
      <c r="Z528" s="87"/>
      <c r="AA528" s="87"/>
      <c r="AB528" s="87"/>
      <c r="AC528" s="87">
        <v>7</v>
      </c>
      <c r="AD528" s="87"/>
      <c r="AE528" s="87"/>
      <c r="AF528" s="87"/>
      <c r="AG528" s="87"/>
      <c r="AH528" s="87">
        <v>14</v>
      </c>
      <c r="AI528" s="87"/>
      <c r="AJ528" s="87"/>
      <c r="AK528" s="87"/>
      <c r="AL528" s="87"/>
      <c r="AM528" s="87"/>
      <c r="AN528" s="87">
        <v>4</v>
      </c>
      <c r="AO528" s="87"/>
      <c r="AP528" s="87">
        <v>17</v>
      </c>
      <c r="AQ528" s="87"/>
      <c r="AR528" s="87"/>
      <c r="AS528" s="87"/>
      <c r="AT528" s="87"/>
      <c r="AU528" s="87"/>
      <c r="AV528" s="87"/>
      <c r="AW528" s="88" t="str">
        <f>HYPERLINK("http://www.openstreetmap.org/?mlat=33.3331&amp;mlon=44.2898&amp;zoom=12#map=12/33.3331/44.2898","Maplink1")</f>
        <v>Maplink1</v>
      </c>
      <c r="AX528" s="88" t="str">
        <f>HYPERLINK("https://www.google.iq/maps/search/+33.3331,44.2898/@33.3331,44.2898,14z?hl=en","Maplink2")</f>
        <v>Maplink2</v>
      </c>
      <c r="AY528" s="88" t="str">
        <f>HYPERLINK("http://www.bing.com/maps/?lvl=14&amp;sty=h&amp;cp=33.3331~44.2898&amp;sp=point.33.3331_44.2898","Maplink3")</f>
        <v>Maplink3</v>
      </c>
      <c r="AZ528" s="76"/>
    </row>
    <row r="529" spans="1:52" x14ac:dyDescent="0.25">
      <c r="A529" s="86">
        <v>25413</v>
      </c>
      <c r="B529" s="87" t="s">
        <v>14</v>
      </c>
      <c r="C529" s="87" t="s">
        <v>1039</v>
      </c>
      <c r="D529" s="87" t="s">
        <v>1074</v>
      </c>
      <c r="E529" s="87" t="s">
        <v>1075</v>
      </c>
      <c r="F529" s="87">
        <v>33.328271534400002</v>
      </c>
      <c r="G529" s="87">
        <v>44.281181086799997</v>
      </c>
      <c r="H529" s="86">
        <v>16</v>
      </c>
      <c r="I529" s="86">
        <v>96</v>
      </c>
      <c r="J529" s="87">
        <v>13</v>
      </c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>
        <v>3</v>
      </c>
      <c r="Y529" s="87"/>
      <c r="Z529" s="87"/>
      <c r="AA529" s="87"/>
      <c r="AB529" s="87"/>
      <c r="AC529" s="87">
        <v>5</v>
      </c>
      <c r="AD529" s="87"/>
      <c r="AE529" s="87"/>
      <c r="AF529" s="87"/>
      <c r="AG529" s="87"/>
      <c r="AH529" s="87">
        <v>11</v>
      </c>
      <c r="AI529" s="87"/>
      <c r="AJ529" s="87"/>
      <c r="AK529" s="87"/>
      <c r="AL529" s="87"/>
      <c r="AM529" s="87"/>
      <c r="AN529" s="87"/>
      <c r="AO529" s="87">
        <v>11</v>
      </c>
      <c r="AP529" s="87"/>
      <c r="AQ529" s="87">
        <v>5</v>
      </c>
      <c r="AR529" s="87"/>
      <c r="AS529" s="87"/>
      <c r="AT529" s="87"/>
      <c r="AU529" s="87"/>
      <c r="AV529" s="87"/>
      <c r="AW529" s="88" t="str">
        <f>HYPERLINK("http://www.openstreetmap.org/?mlat=33.3283&amp;mlon=44.2812&amp;zoom=12#map=12/33.3283/44.2812","Maplink1")</f>
        <v>Maplink1</v>
      </c>
      <c r="AX529" s="88" t="str">
        <f>HYPERLINK("https://www.google.iq/maps/search/+33.3283,44.2812/@33.3283,44.2812,14z?hl=en","Maplink2")</f>
        <v>Maplink2</v>
      </c>
      <c r="AY529" s="88" t="str">
        <f>HYPERLINK("http://www.bing.com/maps/?lvl=14&amp;sty=h&amp;cp=33.3283~44.2812&amp;sp=point.33.3283_44.2812","Maplink3")</f>
        <v>Maplink3</v>
      </c>
      <c r="AZ529" s="76"/>
    </row>
    <row r="530" spans="1:52" x14ac:dyDescent="0.25">
      <c r="A530" s="86">
        <v>25414</v>
      </c>
      <c r="B530" s="87" t="s">
        <v>14</v>
      </c>
      <c r="C530" s="87" t="s">
        <v>1039</v>
      </c>
      <c r="D530" s="87" t="s">
        <v>1076</v>
      </c>
      <c r="E530" s="87" t="s">
        <v>1077</v>
      </c>
      <c r="F530" s="87">
        <v>33.337845625900002</v>
      </c>
      <c r="G530" s="87">
        <v>44.275295331199999</v>
      </c>
      <c r="H530" s="86">
        <v>19</v>
      </c>
      <c r="I530" s="86">
        <v>114</v>
      </c>
      <c r="J530" s="87">
        <v>19</v>
      </c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>
        <v>10</v>
      </c>
      <c r="AD530" s="87"/>
      <c r="AE530" s="87"/>
      <c r="AF530" s="87"/>
      <c r="AG530" s="87"/>
      <c r="AH530" s="87">
        <v>9</v>
      </c>
      <c r="AI530" s="87"/>
      <c r="AJ530" s="87"/>
      <c r="AK530" s="87"/>
      <c r="AL530" s="87"/>
      <c r="AM530" s="87"/>
      <c r="AN530" s="87">
        <v>17</v>
      </c>
      <c r="AO530" s="87"/>
      <c r="AP530" s="87">
        <v>2</v>
      </c>
      <c r="AQ530" s="87"/>
      <c r="AR530" s="87"/>
      <c r="AS530" s="87"/>
      <c r="AT530" s="87"/>
      <c r="AU530" s="87"/>
      <c r="AV530" s="87"/>
      <c r="AW530" s="88" t="str">
        <f>HYPERLINK("http://www.openstreetmap.org/?mlat=33.3378&amp;mlon=44.2753&amp;zoom=12#map=12/33.3378/44.2753","Maplink1")</f>
        <v>Maplink1</v>
      </c>
      <c r="AX530" s="88" t="str">
        <f>HYPERLINK("https://www.google.iq/maps/search/+33.3378,44.2753/@33.3378,44.2753,14z?hl=en","Maplink2")</f>
        <v>Maplink2</v>
      </c>
      <c r="AY530" s="88" t="str">
        <f>HYPERLINK("http://www.bing.com/maps/?lvl=14&amp;sty=h&amp;cp=33.3378~44.2753&amp;sp=point.33.3378_44.2753","Maplink3")</f>
        <v>Maplink3</v>
      </c>
      <c r="AZ530" s="76"/>
    </row>
    <row r="531" spans="1:52" x14ac:dyDescent="0.25">
      <c r="A531" s="86">
        <v>25415</v>
      </c>
      <c r="B531" s="87" t="s">
        <v>14</v>
      </c>
      <c r="C531" s="87" t="s">
        <v>1039</v>
      </c>
      <c r="D531" s="87" t="s">
        <v>1078</v>
      </c>
      <c r="E531" s="87" t="s">
        <v>1079</v>
      </c>
      <c r="F531" s="87">
        <v>33.339781242299999</v>
      </c>
      <c r="G531" s="87">
        <v>44.270338209800002</v>
      </c>
      <c r="H531" s="86">
        <v>19</v>
      </c>
      <c r="I531" s="86">
        <v>114</v>
      </c>
      <c r="J531" s="87">
        <v>12</v>
      </c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>
        <v>4</v>
      </c>
      <c r="W531" s="87"/>
      <c r="X531" s="87">
        <v>3</v>
      </c>
      <c r="Y531" s="87"/>
      <c r="Z531" s="87"/>
      <c r="AA531" s="87"/>
      <c r="AB531" s="87"/>
      <c r="AC531" s="87">
        <v>9</v>
      </c>
      <c r="AD531" s="87"/>
      <c r="AE531" s="87"/>
      <c r="AF531" s="87"/>
      <c r="AG531" s="87"/>
      <c r="AH531" s="87">
        <v>10</v>
      </c>
      <c r="AI531" s="87"/>
      <c r="AJ531" s="87"/>
      <c r="AK531" s="87"/>
      <c r="AL531" s="87"/>
      <c r="AM531" s="87"/>
      <c r="AN531" s="87"/>
      <c r="AO531" s="87"/>
      <c r="AP531" s="87"/>
      <c r="AQ531" s="87">
        <v>11</v>
      </c>
      <c r="AR531" s="87"/>
      <c r="AS531" s="87">
        <v>4</v>
      </c>
      <c r="AT531" s="87">
        <v>4</v>
      </c>
      <c r="AU531" s="87"/>
      <c r="AV531" s="87"/>
      <c r="AW531" s="88" t="str">
        <f>HYPERLINK("http://www.openstreetmap.org/?mlat=33.3398&amp;mlon=44.2703&amp;zoom=12#map=12/33.3398/44.2703","Maplink1")</f>
        <v>Maplink1</v>
      </c>
      <c r="AX531" s="88" t="str">
        <f>HYPERLINK("https://www.google.iq/maps/search/+33.3398,44.2703/@33.3398,44.2703,14z?hl=en","Maplink2")</f>
        <v>Maplink2</v>
      </c>
      <c r="AY531" s="88" t="str">
        <f>HYPERLINK("http://www.bing.com/maps/?lvl=14&amp;sty=h&amp;cp=33.3398~44.2703&amp;sp=point.33.3398_44.2703","Maplink3")</f>
        <v>Maplink3</v>
      </c>
      <c r="AZ531" s="76"/>
    </row>
    <row r="532" spans="1:52" x14ac:dyDescent="0.25">
      <c r="A532" s="86">
        <v>25411</v>
      </c>
      <c r="B532" s="87" t="s">
        <v>14</v>
      </c>
      <c r="C532" s="87" t="s">
        <v>1039</v>
      </c>
      <c r="D532" s="87" t="s">
        <v>1080</v>
      </c>
      <c r="E532" s="87" t="s">
        <v>1081</v>
      </c>
      <c r="F532" s="87">
        <v>33.3418839765</v>
      </c>
      <c r="G532" s="87">
        <v>44.284032086899998</v>
      </c>
      <c r="H532" s="86">
        <v>10</v>
      </c>
      <c r="I532" s="86">
        <v>60</v>
      </c>
      <c r="J532" s="87">
        <v>6</v>
      </c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>
        <v>4</v>
      </c>
      <c r="Y532" s="87"/>
      <c r="Z532" s="87"/>
      <c r="AA532" s="87"/>
      <c r="AB532" s="87"/>
      <c r="AC532" s="87"/>
      <c r="AD532" s="87"/>
      <c r="AE532" s="87"/>
      <c r="AF532" s="87"/>
      <c r="AG532" s="87"/>
      <c r="AH532" s="87">
        <v>10</v>
      </c>
      <c r="AI532" s="87"/>
      <c r="AJ532" s="87"/>
      <c r="AK532" s="87"/>
      <c r="AL532" s="87"/>
      <c r="AM532" s="87"/>
      <c r="AN532" s="87"/>
      <c r="AO532" s="87"/>
      <c r="AP532" s="87"/>
      <c r="AQ532" s="87">
        <v>8</v>
      </c>
      <c r="AR532" s="87">
        <v>2</v>
      </c>
      <c r="AS532" s="87"/>
      <c r="AT532" s="87"/>
      <c r="AU532" s="87"/>
      <c r="AV532" s="87"/>
      <c r="AW532" s="88" t="str">
        <f>HYPERLINK("http://www.openstreetmap.org/?mlat=33.3419&amp;mlon=44.284&amp;zoom=12#map=12/33.3419/44.284","Maplink1")</f>
        <v>Maplink1</v>
      </c>
      <c r="AX532" s="88" t="str">
        <f>HYPERLINK("https://www.google.iq/maps/search/+33.3419,44.284/@33.3419,44.284,14z?hl=en","Maplink2")</f>
        <v>Maplink2</v>
      </c>
      <c r="AY532" s="88" t="str">
        <f>HYPERLINK("http://www.bing.com/maps/?lvl=14&amp;sty=h&amp;cp=33.3419~44.284&amp;sp=point.33.3419_44.284","Maplink3")</f>
        <v>Maplink3</v>
      </c>
      <c r="AZ532" s="76"/>
    </row>
    <row r="533" spans="1:52" x14ac:dyDescent="0.25">
      <c r="A533" s="86">
        <v>25410</v>
      </c>
      <c r="B533" s="87" t="s">
        <v>14</v>
      </c>
      <c r="C533" s="87" t="s">
        <v>1039</v>
      </c>
      <c r="D533" s="87" t="s">
        <v>1082</v>
      </c>
      <c r="E533" s="87" t="s">
        <v>1083</v>
      </c>
      <c r="F533" s="87">
        <v>33.3497179258</v>
      </c>
      <c r="G533" s="87">
        <v>44.269578482100002</v>
      </c>
      <c r="H533" s="86">
        <v>7</v>
      </c>
      <c r="I533" s="86">
        <v>42</v>
      </c>
      <c r="J533" s="87">
        <v>7</v>
      </c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>
        <v>7</v>
      </c>
      <c r="AI533" s="87"/>
      <c r="AJ533" s="87"/>
      <c r="AK533" s="87"/>
      <c r="AL533" s="87"/>
      <c r="AM533" s="87"/>
      <c r="AN533" s="87"/>
      <c r="AO533" s="87"/>
      <c r="AP533" s="87"/>
      <c r="AQ533" s="87"/>
      <c r="AR533" s="87">
        <v>7</v>
      </c>
      <c r="AS533" s="87"/>
      <c r="AT533" s="87"/>
      <c r="AU533" s="87"/>
      <c r="AV533" s="87"/>
      <c r="AW533" s="88" t="str">
        <f>HYPERLINK("http://www.openstreetmap.org/?mlat=33.3497&amp;mlon=44.2696&amp;zoom=12#map=12/33.3497/44.2696","Maplink1")</f>
        <v>Maplink1</v>
      </c>
      <c r="AX533" s="88" t="str">
        <f>HYPERLINK("https://www.google.iq/maps/search/+33.3497,44.2696/@33.3497,44.2696,14z?hl=en","Maplink2")</f>
        <v>Maplink2</v>
      </c>
      <c r="AY533" s="88" t="str">
        <f>HYPERLINK("http://www.bing.com/maps/?lvl=14&amp;sty=h&amp;cp=33.3497~44.2696&amp;sp=point.33.3497_44.2696","Maplink3")</f>
        <v>Maplink3</v>
      </c>
      <c r="AZ533" s="76"/>
    </row>
    <row r="534" spans="1:52" x14ac:dyDescent="0.25">
      <c r="A534" s="86">
        <v>25409</v>
      </c>
      <c r="B534" s="87" t="s">
        <v>14</v>
      </c>
      <c r="C534" s="87" t="s">
        <v>1039</v>
      </c>
      <c r="D534" s="87" t="s">
        <v>1084</v>
      </c>
      <c r="E534" s="87" t="s">
        <v>1085</v>
      </c>
      <c r="F534" s="87">
        <v>33.355780532099999</v>
      </c>
      <c r="G534" s="87">
        <v>44.272696561700002</v>
      </c>
      <c r="H534" s="86">
        <v>7</v>
      </c>
      <c r="I534" s="86">
        <v>42</v>
      </c>
      <c r="J534" s="87">
        <v>7</v>
      </c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>
        <v>7</v>
      </c>
      <c r="AI534" s="87"/>
      <c r="AJ534" s="87"/>
      <c r="AK534" s="87"/>
      <c r="AL534" s="87"/>
      <c r="AM534" s="87"/>
      <c r="AN534" s="87">
        <v>3</v>
      </c>
      <c r="AO534" s="87"/>
      <c r="AP534" s="87"/>
      <c r="AQ534" s="87"/>
      <c r="AR534" s="87">
        <v>4</v>
      </c>
      <c r="AS534" s="87"/>
      <c r="AT534" s="87"/>
      <c r="AU534" s="87"/>
      <c r="AV534" s="87"/>
      <c r="AW534" s="88" t="str">
        <f>HYPERLINK("http://www.openstreetmap.org/?mlat=33.3558&amp;mlon=44.2727&amp;zoom=12#map=12/33.3558/44.2727","Maplink1")</f>
        <v>Maplink1</v>
      </c>
      <c r="AX534" s="88" t="str">
        <f>HYPERLINK("https://www.google.iq/maps/search/+33.3558,44.2727/@33.3558,44.2727,14z?hl=en","Maplink2")</f>
        <v>Maplink2</v>
      </c>
      <c r="AY534" s="88" t="str">
        <f>HYPERLINK("http://www.bing.com/maps/?lvl=14&amp;sty=h&amp;cp=33.3558~44.2727&amp;sp=point.33.3558_44.2727","Maplink3")</f>
        <v>Maplink3</v>
      </c>
      <c r="AZ534" s="76"/>
    </row>
    <row r="535" spans="1:52" x14ac:dyDescent="0.25">
      <c r="A535" s="86">
        <v>23734</v>
      </c>
      <c r="B535" s="87" t="s">
        <v>14</v>
      </c>
      <c r="C535" s="87" t="s">
        <v>1039</v>
      </c>
      <c r="D535" s="87" t="s">
        <v>1086</v>
      </c>
      <c r="E535" s="87" t="s">
        <v>1087</v>
      </c>
      <c r="F535" s="87">
        <v>33.330752715700001</v>
      </c>
      <c r="G535" s="87">
        <v>44.277456510299999</v>
      </c>
      <c r="H535" s="86">
        <v>16</v>
      </c>
      <c r="I535" s="86">
        <v>96</v>
      </c>
      <c r="J535" s="87">
        <v>12</v>
      </c>
      <c r="K535" s="87"/>
      <c r="L535" s="87"/>
      <c r="M535" s="87"/>
      <c r="N535" s="87"/>
      <c r="O535" s="87">
        <v>4</v>
      </c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>
        <v>3</v>
      </c>
      <c r="AD535" s="87"/>
      <c r="AE535" s="87"/>
      <c r="AF535" s="87"/>
      <c r="AG535" s="87">
        <v>9</v>
      </c>
      <c r="AH535" s="87">
        <v>4</v>
      </c>
      <c r="AI535" s="87"/>
      <c r="AJ535" s="87"/>
      <c r="AK535" s="87"/>
      <c r="AL535" s="87"/>
      <c r="AM535" s="87"/>
      <c r="AN535" s="87"/>
      <c r="AO535" s="87">
        <v>12</v>
      </c>
      <c r="AP535" s="87">
        <v>4</v>
      </c>
      <c r="AQ535" s="87"/>
      <c r="AR535" s="87"/>
      <c r="AS535" s="87"/>
      <c r="AT535" s="87"/>
      <c r="AU535" s="87"/>
      <c r="AV535" s="87"/>
      <c r="AW535" s="88" t="str">
        <f>HYPERLINK("http://www.openstreetmap.org/?mlat=33.3308&amp;mlon=44.2775&amp;zoom=12#map=12/33.3308/44.2775","Maplink1")</f>
        <v>Maplink1</v>
      </c>
      <c r="AX535" s="88" t="str">
        <f>HYPERLINK("https://www.google.iq/maps/search/+33.3308,44.2775/@33.3308,44.2775,14z?hl=en","Maplink2")</f>
        <v>Maplink2</v>
      </c>
      <c r="AY535" s="88" t="str">
        <f>HYPERLINK("http://www.bing.com/maps/?lvl=14&amp;sty=h&amp;cp=33.3308~44.2775&amp;sp=point.33.3308_44.2775","Maplink3")</f>
        <v>Maplink3</v>
      </c>
      <c r="AZ535" s="76"/>
    </row>
    <row r="536" spans="1:52" x14ac:dyDescent="0.25">
      <c r="A536" s="86">
        <v>24065</v>
      </c>
      <c r="B536" s="87" t="s">
        <v>14</v>
      </c>
      <c r="C536" s="87" t="s">
        <v>1039</v>
      </c>
      <c r="D536" s="87" t="s">
        <v>1088</v>
      </c>
      <c r="E536" s="87" t="s">
        <v>1089</v>
      </c>
      <c r="F536" s="87">
        <v>33.331792035799999</v>
      </c>
      <c r="G536" s="87">
        <v>44.270157836300001</v>
      </c>
      <c r="H536" s="86">
        <v>19</v>
      </c>
      <c r="I536" s="86">
        <v>114</v>
      </c>
      <c r="J536" s="87">
        <v>8</v>
      </c>
      <c r="K536" s="87"/>
      <c r="L536" s="87"/>
      <c r="M536" s="87"/>
      <c r="N536" s="87"/>
      <c r="O536" s="87">
        <v>5</v>
      </c>
      <c r="P536" s="87"/>
      <c r="Q536" s="87"/>
      <c r="R536" s="87"/>
      <c r="S536" s="87"/>
      <c r="T536" s="87"/>
      <c r="U536" s="87"/>
      <c r="V536" s="87">
        <v>6</v>
      </c>
      <c r="W536" s="87"/>
      <c r="X536" s="87"/>
      <c r="Y536" s="87"/>
      <c r="Z536" s="87"/>
      <c r="AA536" s="87"/>
      <c r="AB536" s="87"/>
      <c r="AC536" s="87">
        <v>6</v>
      </c>
      <c r="AD536" s="87"/>
      <c r="AE536" s="87"/>
      <c r="AF536" s="87"/>
      <c r="AG536" s="87"/>
      <c r="AH536" s="87">
        <v>13</v>
      </c>
      <c r="AI536" s="87"/>
      <c r="AJ536" s="87"/>
      <c r="AK536" s="87"/>
      <c r="AL536" s="87"/>
      <c r="AM536" s="87"/>
      <c r="AN536" s="87">
        <v>5</v>
      </c>
      <c r="AO536" s="87">
        <v>8</v>
      </c>
      <c r="AP536" s="87"/>
      <c r="AQ536" s="87"/>
      <c r="AR536" s="87">
        <v>6</v>
      </c>
      <c r="AS536" s="87"/>
      <c r="AT536" s="87"/>
      <c r="AU536" s="87"/>
      <c r="AV536" s="87"/>
      <c r="AW536" s="88" t="str">
        <f>HYPERLINK("http://www.openstreetmap.org/?mlat=33.3318&amp;mlon=44.2702&amp;zoom=12#map=12/33.3318/44.2702","Maplink1")</f>
        <v>Maplink1</v>
      </c>
      <c r="AX536" s="88" t="str">
        <f>HYPERLINK("https://www.google.iq/maps/search/+33.3318,44.2702/@33.3318,44.2702,14z?hl=en","Maplink2")</f>
        <v>Maplink2</v>
      </c>
      <c r="AY536" s="88" t="str">
        <f>HYPERLINK("http://www.bing.com/maps/?lvl=14&amp;sty=h&amp;cp=33.3318~44.2702&amp;sp=point.33.3318_44.2702","Maplink3")</f>
        <v>Maplink3</v>
      </c>
      <c r="AZ536" s="76"/>
    </row>
    <row r="537" spans="1:52" x14ac:dyDescent="0.25">
      <c r="A537" s="86">
        <v>27187</v>
      </c>
      <c r="B537" s="87" t="s">
        <v>14</v>
      </c>
      <c r="C537" s="87" t="s">
        <v>1039</v>
      </c>
      <c r="D537" s="87" t="s">
        <v>1090</v>
      </c>
      <c r="E537" s="87" t="s">
        <v>1091</v>
      </c>
      <c r="F537" s="87">
        <v>33.2427596454</v>
      </c>
      <c r="G537" s="87">
        <v>44.344108703300002</v>
      </c>
      <c r="H537" s="86">
        <v>14</v>
      </c>
      <c r="I537" s="86">
        <v>84</v>
      </c>
      <c r="J537" s="87">
        <v>6</v>
      </c>
      <c r="K537" s="87"/>
      <c r="L537" s="87"/>
      <c r="M537" s="87"/>
      <c r="N537" s="87"/>
      <c r="O537" s="87">
        <v>4</v>
      </c>
      <c r="P537" s="87"/>
      <c r="Q537" s="87"/>
      <c r="R537" s="87"/>
      <c r="S537" s="87"/>
      <c r="T537" s="87"/>
      <c r="U537" s="87"/>
      <c r="V537" s="87">
        <v>4</v>
      </c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>
        <v>14</v>
      </c>
      <c r="AI537" s="87"/>
      <c r="AJ537" s="87"/>
      <c r="AK537" s="87"/>
      <c r="AL537" s="87"/>
      <c r="AM537" s="87"/>
      <c r="AN537" s="87"/>
      <c r="AO537" s="87">
        <v>6</v>
      </c>
      <c r="AP537" s="87"/>
      <c r="AQ537" s="87">
        <v>4</v>
      </c>
      <c r="AR537" s="87">
        <v>1</v>
      </c>
      <c r="AS537" s="87"/>
      <c r="AT537" s="87">
        <v>3</v>
      </c>
      <c r="AU537" s="87"/>
      <c r="AV537" s="87"/>
      <c r="AW537" s="88" t="str">
        <f>HYPERLINK("http://www.openstreetmap.org/?mlat=33.2428&amp;mlon=44.3441&amp;zoom=12#map=12/33.2428/44.3441","Maplink1")</f>
        <v>Maplink1</v>
      </c>
      <c r="AX537" s="88" t="str">
        <f>HYPERLINK("https://www.google.iq/maps/search/+33.2428,44.3441/@33.2428,44.3441,14z?hl=en","Maplink2")</f>
        <v>Maplink2</v>
      </c>
      <c r="AY537" s="88" t="str">
        <f>HYPERLINK("http://www.bing.com/maps/?lvl=14&amp;sty=h&amp;cp=33.2428~44.3441&amp;sp=point.33.2428_44.3441","Maplink3")</f>
        <v>Maplink3</v>
      </c>
      <c r="AZ537" s="76"/>
    </row>
    <row r="538" spans="1:52" x14ac:dyDescent="0.25">
      <c r="A538" s="86">
        <v>27188</v>
      </c>
      <c r="B538" s="87" t="s">
        <v>14</v>
      </c>
      <c r="C538" s="87" t="s">
        <v>1039</v>
      </c>
      <c r="D538" s="87" t="s">
        <v>1092</v>
      </c>
      <c r="E538" s="87" t="s">
        <v>1093</v>
      </c>
      <c r="F538" s="87">
        <v>33.237527719100001</v>
      </c>
      <c r="G538" s="87">
        <v>44.342962451600002</v>
      </c>
      <c r="H538" s="86">
        <v>11</v>
      </c>
      <c r="I538" s="86">
        <v>66</v>
      </c>
      <c r="J538" s="87">
        <v>6</v>
      </c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>
        <v>5</v>
      </c>
      <c r="W538" s="87"/>
      <c r="X538" s="87"/>
      <c r="Y538" s="87"/>
      <c r="Z538" s="87"/>
      <c r="AA538" s="87"/>
      <c r="AB538" s="87"/>
      <c r="AC538" s="87">
        <v>6</v>
      </c>
      <c r="AD538" s="87"/>
      <c r="AE538" s="87"/>
      <c r="AF538" s="87"/>
      <c r="AG538" s="87"/>
      <c r="AH538" s="87">
        <v>5</v>
      </c>
      <c r="AI538" s="87"/>
      <c r="AJ538" s="87"/>
      <c r="AK538" s="87"/>
      <c r="AL538" s="87"/>
      <c r="AM538" s="87"/>
      <c r="AN538" s="87"/>
      <c r="AO538" s="87">
        <v>6</v>
      </c>
      <c r="AP538" s="87"/>
      <c r="AQ538" s="87">
        <v>4</v>
      </c>
      <c r="AR538" s="87">
        <v>1</v>
      </c>
      <c r="AS538" s="87"/>
      <c r="AT538" s="87"/>
      <c r="AU538" s="87"/>
      <c r="AV538" s="87"/>
      <c r="AW538" s="88" t="str">
        <f>HYPERLINK("http://www.openstreetmap.org/?mlat=33.2375&amp;mlon=44.343&amp;zoom=12#map=12/33.2375/44.343","Maplink1")</f>
        <v>Maplink1</v>
      </c>
      <c r="AX538" s="88" t="str">
        <f>HYPERLINK("https://www.google.iq/maps/search/+33.2375,44.343/@33.2375,44.343,14z?hl=en","Maplink2")</f>
        <v>Maplink2</v>
      </c>
      <c r="AY538" s="88" t="str">
        <f>HYPERLINK("http://www.bing.com/maps/?lvl=14&amp;sty=h&amp;cp=33.2375~44.343&amp;sp=point.33.2375_44.343","Maplink3")</f>
        <v>Maplink3</v>
      </c>
      <c r="AZ538" s="76"/>
    </row>
    <row r="539" spans="1:52" x14ac:dyDescent="0.25">
      <c r="A539" s="86">
        <v>23982</v>
      </c>
      <c r="B539" s="87" t="s">
        <v>14</v>
      </c>
      <c r="C539" s="87" t="s">
        <v>1039</v>
      </c>
      <c r="D539" s="87" t="s">
        <v>1094</v>
      </c>
      <c r="E539" s="87" t="s">
        <v>1095</v>
      </c>
      <c r="F539" s="87">
        <v>33.252883791400002</v>
      </c>
      <c r="G539" s="87">
        <v>44.382054676599999</v>
      </c>
      <c r="H539" s="86">
        <v>185</v>
      </c>
      <c r="I539" s="86">
        <v>1110</v>
      </c>
      <c r="J539" s="87">
        <v>170</v>
      </c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>
        <v>7</v>
      </c>
      <c r="W539" s="87"/>
      <c r="X539" s="87">
        <v>8</v>
      </c>
      <c r="Y539" s="87"/>
      <c r="Z539" s="87"/>
      <c r="AA539" s="87"/>
      <c r="AB539" s="87"/>
      <c r="AC539" s="87">
        <v>85</v>
      </c>
      <c r="AD539" s="87"/>
      <c r="AE539" s="87"/>
      <c r="AF539" s="87"/>
      <c r="AG539" s="87"/>
      <c r="AH539" s="87">
        <v>100</v>
      </c>
      <c r="AI539" s="87"/>
      <c r="AJ539" s="87"/>
      <c r="AK539" s="87"/>
      <c r="AL539" s="87"/>
      <c r="AM539" s="87"/>
      <c r="AN539" s="87">
        <v>40</v>
      </c>
      <c r="AO539" s="87">
        <v>13</v>
      </c>
      <c r="AP539" s="87"/>
      <c r="AQ539" s="87">
        <v>117</v>
      </c>
      <c r="AR539" s="87">
        <v>10</v>
      </c>
      <c r="AS539" s="87">
        <v>5</v>
      </c>
      <c r="AT539" s="87"/>
      <c r="AU539" s="87"/>
      <c r="AV539" s="87"/>
      <c r="AW539" s="88" t="str">
        <f>HYPERLINK("http://www.openstreetmap.org/?mlat=33.2529&amp;mlon=44.3821&amp;zoom=12#map=12/33.2529/44.3821","Maplink1")</f>
        <v>Maplink1</v>
      </c>
      <c r="AX539" s="88" t="str">
        <f>HYPERLINK("https://www.google.iq/maps/search/+33.2529,44.3821/@33.2529,44.3821,14z?hl=en","Maplink2")</f>
        <v>Maplink2</v>
      </c>
      <c r="AY539" s="88" t="str">
        <f>HYPERLINK("http://www.bing.com/maps/?lvl=14&amp;sty=h&amp;cp=33.2529~44.3821&amp;sp=point.33.2529_44.3821","Maplink3")</f>
        <v>Maplink3</v>
      </c>
      <c r="AZ539" s="76"/>
    </row>
    <row r="540" spans="1:52" x14ac:dyDescent="0.25">
      <c r="A540" s="86">
        <v>23727</v>
      </c>
      <c r="B540" s="87" t="s">
        <v>14</v>
      </c>
      <c r="C540" s="87" t="s">
        <v>1039</v>
      </c>
      <c r="D540" s="87" t="s">
        <v>1096</v>
      </c>
      <c r="E540" s="87" t="s">
        <v>1097</v>
      </c>
      <c r="F540" s="87">
        <v>33.3101767944</v>
      </c>
      <c r="G540" s="87">
        <v>44.3251078431</v>
      </c>
      <c r="H540" s="86">
        <v>28</v>
      </c>
      <c r="I540" s="86">
        <v>168</v>
      </c>
      <c r="J540" s="87">
        <v>16</v>
      </c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>
        <v>9</v>
      </c>
      <c r="W540" s="87"/>
      <c r="X540" s="87">
        <v>3</v>
      </c>
      <c r="Y540" s="87"/>
      <c r="Z540" s="87"/>
      <c r="AA540" s="87"/>
      <c r="AB540" s="87"/>
      <c r="AC540" s="87">
        <v>10</v>
      </c>
      <c r="AD540" s="87"/>
      <c r="AE540" s="87"/>
      <c r="AF540" s="87"/>
      <c r="AG540" s="87"/>
      <c r="AH540" s="87">
        <v>18</v>
      </c>
      <c r="AI540" s="87"/>
      <c r="AJ540" s="87"/>
      <c r="AK540" s="87"/>
      <c r="AL540" s="87"/>
      <c r="AM540" s="87"/>
      <c r="AN540" s="87"/>
      <c r="AO540" s="87"/>
      <c r="AP540" s="87">
        <v>9</v>
      </c>
      <c r="AQ540" s="87"/>
      <c r="AR540" s="87">
        <v>3</v>
      </c>
      <c r="AS540" s="87"/>
      <c r="AT540" s="87">
        <v>16</v>
      </c>
      <c r="AU540" s="87"/>
      <c r="AV540" s="87"/>
      <c r="AW540" s="88" t="str">
        <f>HYPERLINK("http://www.openstreetmap.org/?mlat=33.3102&amp;mlon=44.3251&amp;zoom=12#map=12/33.3102/44.3251","Maplink1")</f>
        <v>Maplink1</v>
      </c>
      <c r="AX540" s="88" t="str">
        <f>HYPERLINK("https://www.google.iq/maps/search/+33.3102,44.3251/@33.3102,44.3251,14z?hl=en","Maplink2")</f>
        <v>Maplink2</v>
      </c>
      <c r="AY540" s="88" t="str">
        <f>HYPERLINK("http://www.bing.com/maps/?lvl=14&amp;sty=h&amp;cp=33.3102~44.3251&amp;sp=point.33.3102_44.3251","Maplink3")</f>
        <v>Maplink3</v>
      </c>
      <c r="AZ540" s="76"/>
    </row>
    <row r="541" spans="1:52" x14ac:dyDescent="0.25">
      <c r="A541" s="86">
        <v>23676</v>
      </c>
      <c r="B541" s="87" t="s">
        <v>14</v>
      </c>
      <c r="C541" s="87" t="s">
        <v>1039</v>
      </c>
      <c r="D541" s="87" t="s">
        <v>1098</v>
      </c>
      <c r="E541" s="87" t="s">
        <v>1099</v>
      </c>
      <c r="F541" s="87">
        <v>33.3208677804</v>
      </c>
      <c r="G541" s="87">
        <v>44.325113144299998</v>
      </c>
      <c r="H541" s="86">
        <v>13</v>
      </c>
      <c r="I541" s="86">
        <v>78</v>
      </c>
      <c r="J541" s="87">
        <v>5</v>
      </c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>
        <v>8</v>
      </c>
      <c r="W541" s="87"/>
      <c r="X541" s="87"/>
      <c r="Y541" s="87"/>
      <c r="Z541" s="87"/>
      <c r="AA541" s="87"/>
      <c r="AB541" s="87"/>
      <c r="AC541" s="87">
        <v>5</v>
      </c>
      <c r="AD541" s="87"/>
      <c r="AE541" s="87"/>
      <c r="AF541" s="87"/>
      <c r="AG541" s="87"/>
      <c r="AH541" s="87">
        <v>8</v>
      </c>
      <c r="AI541" s="87"/>
      <c r="AJ541" s="87"/>
      <c r="AK541" s="87"/>
      <c r="AL541" s="87"/>
      <c r="AM541" s="87"/>
      <c r="AN541" s="87"/>
      <c r="AO541" s="87"/>
      <c r="AP541" s="87"/>
      <c r="AQ541" s="87">
        <v>8</v>
      </c>
      <c r="AR541" s="87"/>
      <c r="AS541" s="87"/>
      <c r="AT541" s="87">
        <v>5</v>
      </c>
      <c r="AU541" s="87"/>
      <c r="AV541" s="87"/>
      <c r="AW541" s="88" t="str">
        <f>HYPERLINK("http://www.openstreetmap.org/?mlat=33.3209&amp;mlon=44.3251&amp;zoom=12#map=12/33.3209/44.3251","Maplink1")</f>
        <v>Maplink1</v>
      </c>
      <c r="AX541" s="88" t="str">
        <f>HYPERLINK("https://www.google.iq/maps/search/+33.3209,44.3251/@33.3209,44.3251,14z?hl=en","Maplink2")</f>
        <v>Maplink2</v>
      </c>
      <c r="AY541" s="88" t="str">
        <f>HYPERLINK("http://www.bing.com/maps/?lvl=14&amp;sty=h&amp;cp=33.3209~44.3251&amp;sp=point.33.3209_44.3251","Maplink3")</f>
        <v>Maplink3</v>
      </c>
      <c r="AZ541" s="76"/>
    </row>
    <row r="542" spans="1:52" x14ac:dyDescent="0.25">
      <c r="A542" s="86">
        <v>26040</v>
      </c>
      <c r="B542" s="87" t="s">
        <v>14</v>
      </c>
      <c r="C542" s="87" t="s">
        <v>1039</v>
      </c>
      <c r="D542" s="87" t="s">
        <v>1100</v>
      </c>
      <c r="E542" s="87" t="s">
        <v>1101</v>
      </c>
      <c r="F542" s="87">
        <v>33.313187389600003</v>
      </c>
      <c r="G542" s="87">
        <v>44.311928430199998</v>
      </c>
      <c r="H542" s="86">
        <v>46</v>
      </c>
      <c r="I542" s="86">
        <v>276</v>
      </c>
      <c r="J542" s="87">
        <v>38</v>
      </c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>
        <v>8</v>
      </c>
      <c r="W542" s="87"/>
      <c r="X542" s="87"/>
      <c r="Y542" s="87"/>
      <c r="Z542" s="87"/>
      <c r="AA542" s="87"/>
      <c r="AB542" s="87"/>
      <c r="AC542" s="87">
        <v>17</v>
      </c>
      <c r="AD542" s="87"/>
      <c r="AE542" s="87"/>
      <c r="AF542" s="87"/>
      <c r="AG542" s="87"/>
      <c r="AH542" s="87">
        <v>29</v>
      </c>
      <c r="AI542" s="87"/>
      <c r="AJ542" s="87"/>
      <c r="AK542" s="87"/>
      <c r="AL542" s="87"/>
      <c r="AM542" s="87"/>
      <c r="AN542" s="87"/>
      <c r="AO542" s="87"/>
      <c r="AP542" s="87"/>
      <c r="AQ542" s="87">
        <v>21</v>
      </c>
      <c r="AR542" s="87">
        <v>17</v>
      </c>
      <c r="AS542" s="87"/>
      <c r="AT542" s="87">
        <v>8</v>
      </c>
      <c r="AU542" s="87"/>
      <c r="AV542" s="87"/>
      <c r="AW542" s="88" t="str">
        <f>HYPERLINK("http://www.openstreetmap.org/?mlat=33.3132&amp;mlon=44.3119&amp;zoom=12#map=12/33.3132/44.3119","Maplink1")</f>
        <v>Maplink1</v>
      </c>
      <c r="AX542" s="88" t="str">
        <f>HYPERLINK("https://www.google.iq/maps/search/+33.3132,44.3119/@33.3132,44.3119,14z?hl=en","Maplink2")</f>
        <v>Maplink2</v>
      </c>
      <c r="AY542" s="88" t="str">
        <f>HYPERLINK("http://www.bing.com/maps/?lvl=14&amp;sty=h&amp;cp=33.3132~44.3119&amp;sp=point.33.3132_44.3119","Maplink3")</f>
        <v>Maplink3</v>
      </c>
      <c r="AZ542" s="76"/>
    </row>
    <row r="543" spans="1:52" x14ac:dyDescent="0.25">
      <c r="A543" s="86">
        <v>23730</v>
      </c>
      <c r="B543" s="87" t="s">
        <v>14</v>
      </c>
      <c r="C543" s="87" t="s">
        <v>1039</v>
      </c>
      <c r="D543" s="87" t="s">
        <v>1102</v>
      </c>
      <c r="E543" s="87" t="s">
        <v>1103</v>
      </c>
      <c r="F543" s="87">
        <v>33.318420916800001</v>
      </c>
      <c r="G543" s="87">
        <v>44.319543537599998</v>
      </c>
      <c r="H543" s="86">
        <v>41</v>
      </c>
      <c r="I543" s="86">
        <v>246</v>
      </c>
      <c r="J543" s="87">
        <v>26</v>
      </c>
      <c r="K543" s="87"/>
      <c r="L543" s="87"/>
      <c r="M543" s="87"/>
      <c r="N543" s="87"/>
      <c r="O543" s="87">
        <v>9</v>
      </c>
      <c r="P543" s="87"/>
      <c r="Q543" s="87"/>
      <c r="R543" s="87"/>
      <c r="S543" s="87"/>
      <c r="T543" s="87"/>
      <c r="U543" s="87"/>
      <c r="V543" s="87">
        <v>6</v>
      </c>
      <c r="W543" s="87"/>
      <c r="X543" s="87"/>
      <c r="Y543" s="87"/>
      <c r="Z543" s="87"/>
      <c r="AA543" s="87"/>
      <c r="AB543" s="87"/>
      <c r="AC543" s="87">
        <v>10</v>
      </c>
      <c r="AD543" s="87"/>
      <c r="AE543" s="87"/>
      <c r="AF543" s="87"/>
      <c r="AG543" s="87"/>
      <c r="AH543" s="87">
        <v>31</v>
      </c>
      <c r="AI543" s="87"/>
      <c r="AJ543" s="87"/>
      <c r="AK543" s="87"/>
      <c r="AL543" s="87"/>
      <c r="AM543" s="87"/>
      <c r="AN543" s="87">
        <v>15</v>
      </c>
      <c r="AO543" s="87">
        <v>9</v>
      </c>
      <c r="AP543" s="87">
        <v>6</v>
      </c>
      <c r="AQ543" s="87"/>
      <c r="AR543" s="87">
        <v>2</v>
      </c>
      <c r="AS543" s="87"/>
      <c r="AT543" s="87">
        <v>9</v>
      </c>
      <c r="AU543" s="87"/>
      <c r="AV543" s="87"/>
      <c r="AW543" s="88" t="str">
        <f>HYPERLINK("http://www.openstreetmap.org/?mlat=33.3184&amp;mlon=44.3195&amp;zoom=12#map=12/33.3184/44.3195","Maplink1")</f>
        <v>Maplink1</v>
      </c>
      <c r="AX543" s="88" t="str">
        <f>HYPERLINK("https://www.google.iq/maps/search/+33.3184,44.3195/@33.3184,44.3195,14z?hl=en","Maplink2")</f>
        <v>Maplink2</v>
      </c>
      <c r="AY543" s="88" t="str">
        <f>HYPERLINK("http://www.bing.com/maps/?lvl=14&amp;sty=h&amp;cp=33.3184~44.3195&amp;sp=point.33.3184_44.3195","Maplink3")</f>
        <v>Maplink3</v>
      </c>
      <c r="AZ543" s="76"/>
    </row>
    <row r="544" spans="1:52" x14ac:dyDescent="0.25">
      <c r="A544" s="86">
        <v>26041</v>
      </c>
      <c r="B544" s="87" t="s">
        <v>14</v>
      </c>
      <c r="C544" s="87" t="s">
        <v>1039</v>
      </c>
      <c r="D544" s="87" t="s">
        <v>1104</v>
      </c>
      <c r="E544" s="87" t="s">
        <v>1105</v>
      </c>
      <c r="F544" s="87">
        <v>33.326908387400003</v>
      </c>
      <c r="G544" s="87">
        <v>44.317886273699997</v>
      </c>
      <c r="H544" s="86">
        <v>36</v>
      </c>
      <c r="I544" s="86">
        <v>216</v>
      </c>
      <c r="J544" s="87">
        <v>31</v>
      </c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>
        <v>5</v>
      </c>
      <c r="W544" s="87"/>
      <c r="X544" s="87"/>
      <c r="Y544" s="87"/>
      <c r="Z544" s="87"/>
      <c r="AA544" s="87"/>
      <c r="AB544" s="87"/>
      <c r="AC544" s="87">
        <v>10</v>
      </c>
      <c r="AD544" s="87"/>
      <c r="AE544" s="87"/>
      <c r="AF544" s="87"/>
      <c r="AG544" s="87"/>
      <c r="AH544" s="87">
        <v>26</v>
      </c>
      <c r="AI544" s="87"/>
      <c r="AJ544" s="87"/>
      <c r="AK544" s="87"/>
      <c r="AL544" s="87"/>
      <c r="AM544" s="87"/>
      <c r="AN544" s="87">
        <v>17</v>
      </c>
      <c r="AO544" s="87"/>
      <c r="AP544" s="87"/>
      <c r="AQ544" s="87">
        <v>14</v>
      </c>
      <c r="AR544" s="87">
        <v>5</v>
      </c>
      <c r="AS544" s="87"/>
      <c r="AT544" s="87"/>
      <c r="AU544" s="87"/>
      <c r="AV544" s="87"/>
      <c r="AW544" s="88" t="str">
        <f>HYPERLINK("http://www.openstreetmap.org/?mlat=33.3269&amp;mlon=44.3179&amp;zoom=12#map=12/33.3269/44.3179","Maplink1")</f>
        <v>Maplink1</v>
      </c>
      <c r="AX544" s="88" t="str">
        <f>HYPERLINK("https://www.google.iq/maps/search/+33.3269,44.3179/@33.3269,44.3179,14z?hl=en","Maplink2")</f>
        <v>Maplink2</v>
      </c>
      <c r="AY544" s="88" t="str">
        <f>HYPERLINK("http://www.bing.com/maps/?lvl=14&amp;sty=h&amp;cp=33.3269~44.3179&amp;sp=point.33.3269_44.3179","Maplink3")</f>
        <v>Maplink3</v>
      </c>
      <c r="AZ544" s="76"/>
    </row>
    <row r="545" spans="1:52" x14ac:dyDescent="0.25">
      <c r="A545" s="86">
        <v>24074</v>
      </c>
      <c r="B545" s="87" t="s">
        <v>14</v>
      </c>
      <c r="C545" s="87" t="s">
        <v>1039</v>
      </c>
      <c r="D545" s="87" t="s">
        <v>1106</v>
      </c>
      <c r="E545" s="87" t="s">
        <v>1107</v>
      </c>
      <c r="F545" s="87">
        <v>33.254696460300003</v>
      </c>
      <c r="G545" s="87">
        <v>44.411050355100002</v>
      </c>
      <c r="H545" s="86">
        <v>41</v>
      </c>
      <c r="I545" s="86">
        <v>246</v>
      </c>
      <c r="J545" s="87">
        <v>33</v>
      </c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>
        <v>8</v>
      </c>
      <c r="W545" s="87"/>
      <c r="X545" s="87"/>
      <c r="Y545" s="87"/>
      <c r="Z545" s="87"/>
      <c r="AA545" s="87"/>
      <c r="AB545" s="87"/>
      <c r="AC545" s="87">
        <v>15</v>
      </c>
      <c r="AD545" s="87"/>
      <c r="AE545" s="87"/>
      <c r="AF545" s="87"/>
      <c r="AG545" s="87"/>
      <c r="AH545" s="87">
        <v>26</v>
      </c>
      <c r="AI545" s="87"/>
      <c r="AJ545" s="87"/>
      <c r="AK545" s="87"/>
      <c r="AL545" s="87"/>
      <c r="AM545" s="87"/>
      <c r="AN545" s="87"/>
      <c r="AO545" s="87"/>
      <c r="AP545" s="87">
        <v>24</v>
      </c>
      <c r="AQ545" s="87">
        <v>8</v>
      </c>
      <c r="AR545" s="87">
        <v>3</v>
      </c>
      <c r="AS545" s="87"/>
      <c r="AT545" s="87">
        <v>6</v>
      </c>
      <c r="AU545" s="87"/>
      <c r="AV545" s="87"/>
      <c r="AW545" s="88" t="str">
        <f>HYPERLINK("http://www.openstreetmap.org/?mlat=33.2547&amp;mlon=44.4111&amp;zoom=12#map=12/33.2547/44.4111","Maplink1")</f>
        <v>Maplink1</v>
      </c>
      <c r="AX545" s="88" t="str">
        <f>HYPERLINK("https://www.google.iq/maps/search/+33.2547,44.4111/@33.2547,44.4111,14z?hl=en","Maplink2")</f>
        <v>Maplink2</v>
      </c>
      <c r="AY545" s="88" t="str">
        <f>HYPERLINK("http://www.bing.com/maps/?lvl=14&amp;sty=h&amp;cp=33.2547~44.4111&amp;sp=point.33.2547_44.4111","Maplink3")</f>
        <v>Maplink3</v>
      </c>
      <c r="AZ545" s="76"/>
    </row>
    <row r="546" spans="1:52" x14ac:dyDescent="0.25">
      <c r="A546" s="86">
        <v>24076</v>
      </c>
      <c r="B546" s="87" t="s">
        <v>14</v>
      </c>
      <c r="C546" s="87" t="s">
        <v>1039</v>
      </c>
      <c r="D546" s="87" t="s">
        <v>1108</v>
      </c>
      <c r="E546" s="87" t="s">
        <v>1109</v>
      </c>
      <c r="F546" s="87">
        <v>33.257720164299997</v>
      </c>
      <c r="G546" s="87">
        <v>44.3721705094</v>
      </c>
      <c r="H546" s="86">
        <v>12</v>
      </c>
      <c r="I546" s="86">
        <v>72</v>
      </c>
      <c r="J546" s="87">
        <v>6</v>
      </c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>
        <v>4</v>
      </c>
      <c r="W546" s="87"/>
      <c r="X546" s="87">
        <v>2</v>
      </c>
      <c r="Y546" s="87"/>
      <c r="Z546" s="87"/>
      <c r="AA546" s="87"/>
      <c r="AB546" s="87"/>
      <c r="AC546" s="87">
        <v>4</v>
      </c>
      <c r="AD546" s="87"/>
      <c r="AE546" s="87"/>
      <c r="AF546" s="87"/>
      <c r="AG546" s="87"/>
      <c r="AH546" s="87">
        <v>8</v>
      </c>
      <c r="AI546" s="87"/>
      <c r="AJ546" s="87"/>
      <c r="AK546" s="87"/>
      <c r="AL546" s="87"/>
      <c r="AM546" s="87"/>
      <c r="AN546" s="87"/>
      <c r="AO546" s="87">
        <v>8</v>
      </c>
      <c r="AP546" s="87"/>
      <c r="AQ546" s="87">
        <v>4</v>
      </c>
      <c r="AR546" s="87"/>
      <c r="AS546" s="87"/>
      <c r="AT546" s="87"/>
      <c r="AU546" s="87"/>
      <c r="AV546" s="87"/>
      <c r="AW546" s="88" t="str">
        <f>HYPERLINK("http://www.openstreetmap.org/?mlat=33.2577&amp;mlon=44.3722&amp;zoom=12#map=12/33.2577/44.3722","Maplink1")</f>
        <v>Maplink1</v>
      </c>
      <c r="AX546" s="88" t="str">
        <f>HYPERLINK("https://www.google.iq/maps/search/+33.2577,44.3722/@33.2577,44.3722,14z?hl=en","Maplink2")</f>
        <v>Maplink2</v>
      </c>
      <c r="AY546" s="88" t="str">
        <f>HYPERLINK("http://www.bing.com/maps/?lvl=14&amp;sty=h&amp;cp=33.2577~44.3722&amp;sp=point.33.2577_44.3722","Maplink3")</f>
        <v>Maplink3</v>
      </c>
      <c r="AZ546" s="76"/>
    </row>
    <row r="547" spans="1:52" x14ac:dyDescent="0.25">
      <c r="A547" s="86">
        <v>24445</v>
      </c>
      <c r="B547" s="87" t="s">
        <v>14</v>
      </c>
      <c r="C547" s="87" t="s">
        <v>1039</v>
      </c>
      <c r="D547" s="87" t="s">
        <v>1110</v>
      </c>
      <c r="E547" s="87" t="s">
        <v>1111</v>
      </c>
      <c r="F547" s="87">
        <v>33.251712441999999</v>
      </c>
      <c r="G547" s="87">
        <v>44.368306824599998</v>
      </c>
      <c r="H547" s="86">
        <v>16</v>
      </c>
      <c r="I547" s="86">
        <v>96</v>
      </c>
      <c r="J547" s="87">
        <v>16</v>
      </c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>
        <v>16</v>
      </c>
      <c r="AI547" s="87"/>
      <c r="AJ547" s="87"/>
      <c r="AK547" s="87"/>
      <c r="AL547" s="87"/>
      <c r="AM547" s="87"/>
      <c r="AN547" s="87"/>
      <c r="AO547" s="87"/>
      <c r="AP547" s="87">
        <v>8</v>
      </c>
      <c r="AQ547" s="87"/>
      <c r="AR547" s="87">
        <v>8</v>
      </c>
      <c r="AS547" s="87"/>
      <c r="AT547" s="87"/>
      <c r="AU547" s="87"/>
      <c r="AV547" s="87"/>
      <c r="AW547" s="88" t="str">
        <f>HYPERLINK("http://www.openstreetmap.org/?mlat=33.2517&amp;mlon=44.3683&amp;zoom=12#map=12/33.2517/44.3683","Maplink1")</f>
        <v>Maplink1</v>
      </c>
      <c r="AX547" s="88" t="str">
        <f>HYPERLINK("https://www.google.iq/maps/search/+33.2517,44.3683/@33.2517,44.3683,14z?hl=en","Maplink2")</f>
        <v>Maplink2</v>
      </c>
      <c r="AY547" s="88" t="str">
        <f>HYPERLINK("http://www.bing.com/maps/?lvl=14&amp;sty=h&amp;cp=33.2517~44.3683&amp;sp=point.33.2517_44.3683","Maplink3")</f>
        <v>Maplink3</v>
      </c>
      <c r="AZ547" s="76"/>
    </row>
    <row r="548" spans="1:52" x14ac:dyDescent="0.25">
      <c r="A548" s="86">
        <v>24446</v>
      </c>
      <c r="B548" s="87" t="s">
        <v>14</v>
      </c>
      <c r="C548" s="87" t="s">
        <v>1039</v>
      </c>
      <c r="D548" s="87" t="s">
        <v>1112</v>
      </c>
      <c r="E548" s="87" t="s">
        <v>1113</v>
      </c>
      <c r="F548" s="87">
        <v>33.252654139299999</v>
      </c>
      <c r="G548" s="87">
        <v>44.370955758299999</v>
      </c>
      <c r="H548" s="86">
        <v>22</v>
      </c>
      <c r="I548" s="86">
        <v>132</v>
      </c>
      <c r="J548" s="87">
        <v>22</v>
      </c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>
        <v>10</v>
      </c>
      <c r="AD548" s="87"/>
      <c r="AE548" s="87"/>
      <c r="AF548" s="87"/>
      <c r="AG548" s="87"/>
      <c r="AH548" s="87">
        <v>12</v>
      </c>
      <c r="AI548" s="87"/>
      <c r="AJ548" s="87"/>
      <c r="AK548" s="87"/>
      <c r="AL548" s="87"/>
      <c r="AM548" s="87"/>
      <c r="AN548" s="87"/>
      <c r="AO548" s="87"/>
      <c r="AP548" s="87">
        <v>8</v>
      </c>
      <c r="AQ548" s="87">
        <v>14</v>
      </c>
      <c r="AR548" s="87"/>
      <c r="AS548" s="87"/>
      <c r="AT548" s="87"/>
      <c r="AU548" s="87"/>
      <c r="AV548" s="87"/>
      <c r="AW548" s="88" t="str">
        <f>HYPERLINK("http://www.openstreetmap.org/?mlat=33.2527&amp;mlon=44.371&amp;zoom=12#map=12/33.2527/44.371","Maplink1")</f>
        <v>Maplink1</v>
      </c>
      <c r="AX548" s="88" t="str">
        <f>HYPERLINK("https://www.google.iq/maps/search/+33.2527,44.371/@33.2527,44.371,14z?hl=en","Maplink2")</f>
        <v>Maplink2</v>
      </c>
      <c r="AY548" s="88" t="str">
        <f>HYPERLINK("http://www.bing.com/maps/?lvl=14&amp;sty=h&amp;cp=33.2527~44.371&amp;sp=point.33.2527_44.371","Maplink3")</f>
        <v>Maplink3</v>
      </c>
      <c r="AZ548" s="76"/>
    </row>
    <row r="549" spans="1:52" x14ac:dyDescent="0.25">
      <c r="A549" s="86">
        <v>24077</v>
      </c>
      <c r="B549" s="87" t="s">
        <v>14</v>
      </c>
      <c r="C549" s="87" t="s">
        <v>1039</v>
      </c>
      <c r="D549" s="87" t="s">
        <v>1114</v>
      </c>
      <c r="E549" s="87" t="s">
        <v>1115</v>
      </c>
      <c r="F549" s="87">
        <v>33.257607239800002</v>
      </c>
      <c r="G549" s="87">
        <v>44.388067846600002</v>
      </c>
      <c r="H549" s="86">
        <v>13</v>
      </c>
      <c r="I549" s="86">
        <v>78</v>
      </c>
      <c r="J549" s="87">
        <v>8</v>
      </c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>
        <v>5</v>
      </c>
      <c r="W549" s="87"/>
      <c r="X549" s="87"/>
      <c r="Y549" s="87"/>
      <c r="Z549" s="87"/>
      <c r="AA549" s="87"/>
      <c r="AB549" s="87"/>
      <c r="AC549" s="87">
        <v>3</v>
      </c>
      <c r="AD549" s="87"/>
      <c r="AE549" s="87"/>
      <c r="AF549" s="87"/>
      <c r="AG549" s="87"/>
      <c r="AH549" s="87">
        <v>10</v>
      </c>
      <c r="AI549" s="87"/>
      <c r="AJ549" s="87"/>
      <c r="AK549" s="87"/>
      <c r="AL549" s="87"/>
      <c r="AM549" s="87"/>
      <c r="AN549" s="87"/>
      <c r="AO549" s="87">
        <v>8</v>
      </c>
      <c r="AP549" s="87"/>
      <c r="AQ549" s="87"/>
      <c r="AR549" s="87"/>
      <c r="AS549" s="87">
        <v>5</v>
      </c>
      <c r="AT549" s="87"/>
      <c r="AU549" s="87"/>
      <c r="AV549" s="87"/>
      <c r="AW549" s="88" t="str">
        <f>HYPERLINK("http://www.openstreetmap.org/?mlat=33.2576&amp;mlon=44.3881&amp;zoom=12#map=12/33.2576/44.3881","Maplink1")</f>
        <v>Maplink1</v>
      </c>
      <c r="AX549" s="88" t="str">
        <f>HYPERLINK("https://www.google.iq/maps/search/+33.2576,44.3881/@33.2576,44.3881,14z?hl=en","Maplink2")</f>
        <v>Maplink2</v>
      </c>
      <c r="AY549" s="88" t="str">
        <f>HYPERLINK("http://www.bing.com/maps/?lvl=14&amp;sty=h&amp;cp=33.2576~44.3881&amp;sp=point.33.2576_44.3881","Maplink3")</f>
        <v>Maplink3</v>
      </c>
      <c r="AZ549" s="76"/>
    </row>
    <row r="550" spans="1:52" x14ac:dyDescent="0.25">
      <c r="A550" s="86">
        <v>23983</v>
      </c>
      <c r="B550" s="87" t="s">
        <v>14</v>
      </c>
      <c r="C550" s="87" t="s">
        <v>1039</v>
      </c>
      <c r="D550" s="87" t="s">
        <v>1116</v>
      </c>
      <c r="E550" s="87" t="s">
        <v>1117</v>
      </c>
      <c r="F550" s="87">
        <v>33.265201118199997</v>
      </c>
      <c r="G550" s="87">
        <v>44.396250581499999</v>
      </c>
      <c r="H550" s="86">
        <v>38</v>
      </c>
      <c r="I550" s="86">
        <v>228</v>
      </c>
      <c r="J550" s="87">
        <v>30</v>
      </c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>
        <v>4</v>
      </c>
      <c r="W550" s="87"/>
      <c r="X550" s="87">
        <v>4</v>
      </c>
      <c r="Y550" s="87"/>
      <c r="Z550" s="87"/>
      <c r="AA550" s="87"/>
      <c r="AB550" s="87"/>
      <c r="AC550" s="87">
        <v>16</v>
      </c>
      <c r="AD550" s="87"/>
      <c r="AE550" s="87"/>
      <c r="AF550" s="87"/>
      <c r="AG550" s="87"/>
      <c r="AH550" s="87">
        <v>22</v>
      </c>
      <c r="AI550" s="87"/>
      <c r="AJ550" s="87"/>
      <c r="AK550" s="87"/>
      <c r="AL550" s="87"/>
      <c r="AM550" s="87"/>
      <c r="AN550" s="87"/>
      <c r="AO550" s="87">
        <v>30</v>
      </c>
      <c r="AP550" s="87"/>
      <c r="AQ550" s="87">
        <v>2</v>
      </c>
      <c r="AR550" s="87">
        <v>2</v>
      </c>
      <c r="AS550" s="87">
        <v>4</v>
      </c>
      <c r="AT550" s="87"/>
      <c r="AU550" s="87"/>
      <c r="AV550" s="87"/>
      <c r="AW550" s="88" t="str">
        <f>HYPERLINK("http://www.openstreetmap.org/?mlat=33.2652&amp;mlon=44.3963&amp;zoom=12#map=12/33.2652/44.3963","Maplink1")</f>
        <v>Maplink1</v>
      </c>
      <c r="AX550" s="88" t="str">
        <f>HYPERLINK("https://www.google.iq/maps/search/+33.2652,44.3963/@33.2652,44.3963,14z?hl=en","Maplink2")</f>
        <v>Maplink2</v>
      </c>
      <c r="AY550" s="88" t="str">
        <f>HYPERLINK("http://www.bing.com/maps/?lvl=14&amp;sty=h&amp;cp=33.2652~44.3963&amp;sp=point.33.2652_44.3963","Maplink3")</f>
        <v>Maplink3</v>
      </c>
      <c r="AZ550" s="76"/>
    </row>
    <row r="551" spans="1:52" x14ac:dyDescent="0.25">
      <c r="A551" s="86">
        <v>25881</v>
      </c>
      <c r="B551" s="87" t="s">
        <v>14</v>
      </c>
      <c r="C551" s="87" t="s">
        <v>1039</v>
      </c>
      <c r="D551" s="87" t="s">
        <v>1118</v>
      </c>
      <c r="E551" s="87" t="s">
        <v>1119</v>
      </c>
      <c r="F551" s="87">
        <v>33.264882534100003</v>
      </c>
      <c r="G551" s="87">
        <v>44.3991232041</v>
      </c>
      <c r="H551" s="86">
        <v>6</v>
      </c>
      <c r="I551" s="86">
        <v>36</v>
      </c>
      <c r="J551" s="87">
        <v>6</v>
      </c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>
        <v>6</v>
      </c>
      <c r="AI551" s="87"/>
      <c r="AJ551" s="87"/>
      <c r="AK551" s="87"/>
      <c r="AL551" s="87"/>
      <c r="AM551" s="87"/>
      <c r="AN551" s="87"/>
      <c r="AO551" s="87"/>
      <c r="AP551" s="87"/>
      <c r="AQ551" s="87">
        <v>6</v>
      </c>
      <c r="AR551" s="87"/>
      <c r="AS551" s="87"/>
      <c r="AT551" s="87"/>
      <c r="AU551" s="87"/>
      <c r="AV551" s="87"/>
      <c r="AW551" s="88" t="str">
        <f>HYPERLINK("http://www.openstreetmap.org/?mlat=33.2649&amp;mlon=44.3991&amp;zoom=12#map=12/33.2649/44.3991","Maplink1")</f>
        <v>Maplink1</v>
      </c>
      <c r="AX551" s="88" t="str">
        <f>HYPERLINK("https://www.google.iq/maps/search/+33.2649,44.3991/@33.2649,44.3991,14z?hl=en","Maplink2")</f>
        <v>Maplink2</v>
      </c>
      <c r="AY551" s="88" t="str">
        <f>HYPERLINK("http://www.bing.com/maps/?lvl=14&amp;sty=h&amp;cp=33.2649~44.3991&amp;sp=point.33.2649_44.3991","Maplink3")</f>
        <v>Maplink3</v>
      </c>
      <c r="AZ551" s="76"/>
    </row>
    <row r="552" spans="1:52" x14ac:dyDescent="0.25">
      <c r="A552" s="86">
        <v>26099</v>
      </c>
      <c r="B552" s="87" t="s">
        <v>14</v>
      </c>
      <c r="C552" s="87" t="s">
        <v>1039</v>
      </c>
      <c r="D552" s="87" t="s">
        <v>1120</v>
      </c>
      <c r="E552" s="87" t="s">
        <v>1121</v>
      </c>
      <c r="F552" s="87">
        <v>33.265388868499997</v>
      </c>
      <c r="G552" s="87">
        <v>44.405668790199996</v>
      </c>
      <c r="H552" s="86">
        <v>48</v>
      </c>
      <c r="I552" s="86">
        <v>288</v>
      </c>
      <c r="J552" s="87">
        <v>48</v>
      </c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>
        <v>20</v>
      </c>
      <c r="AD552" s="87"/>
      <c r="AE552" s="87"/>
      <c r="AF552" s="87"/>
      <c r="AG552" s="87"/>
      <c r="AH552" s="87">
        <v>28</v>
      </c>
      <c r="AI552" s="87"/>
      <c r="AJ552" s="87"/>
      <c r="AK552" s="87"/>
      <c r="AL552" s="87"/>
      <c r="AM552" s="87"/>
      <c r="AN552" s="87"/>
      <c r="AO552" s="87"/>
      <c r="AP552" s="87"/>
      <c r="AQ552" s="87"/>
      <c r="AR552" s="87">
        <v>36</v>
      </c>
      <c r="AS552" s="87">
        <v>12</v>
      </c>
      <c r="AT552" s="87"/>
      <c r="AU552" s="87"/>
      <c r="AV552" s="87"/>
      <c r="AW552" s="88" t="str">
        <f>HYPERLINK("http://www.openstreetmap.org/?mlat=33.2654&amp;mlon=44.4057&amp;zoom=12#map=12/33.2654/44.4057","Maplink1")</f>
        <v>Maplink1</v>
      </c>
      <c r="AX552" s="88" t="str">
        <f>HYPERLINK("https://www.google.iq/maps/search/+33.2654,44.4057/@33.2654,44.4057,14z?hl=en","Maplink2")</f>
        <v>Maplink2</v>
      </c>
      <c r="AY552" s="88" t="str">
        <f>HYPERLINK("http://www.bing.com/maps/?lvl=14&amp;sty=h&amp;cp=33.2654~44.4057&amp;sp=point.33.2654_44.4057","Maplink3")</f>
        <v>Maplink3</v>
      </c>
      <c r="AZ552" s="76"/>
    </row>
    <row r="553" spans="1:52" x14ac:dyDescent="0.25">
      <c r="A553" s="86">
        <v>21745</v>
      </c>
      <c r="B553" s="87" t="s">
        <v>14</v>
      </c>
      <c r="C553" s="87" t="s">
        <v>1039</v>
      </c>
      <c r="D553" s="87" t="s">
        <v>1122</v>
      </c>
      <c r="E553" s="87" t="s">
        <v>1123</v>
      </c>
      <c r="F553" s="87">
        <v>33.3390359335</v>
      </c>
      <c r="G553" s="87">
        <v>44.384834086399998</v>
      </c>
      <c r="H553" s="86">
        <v>24</v>
      </c>
      <c r="I553" s="86">
        <v>144</v>
      </c>
      <c r="J553" s="87">
        <v>12</v>
      </c>
      <c r="K553" s="87"/>
      <c r="L553" s="87"/>
      <c r="M553" s="87"/>
      <c r="N553" s="87"/>
      <c r="O553" s="87">
        <v>3</v>
      </c>
      <c r="P553" s="87"/>
      <c r="Q553" s="87"/>
      <c r="R553" s="87"/>
      <c r="S553" s="87"/>
      <c r="T553" s="87"/>
      <c r="U553" s="87"/>
      <c r="V553" s="87">
        <v>7</v>
      </c>
      <c r="W553" s="87"/>
      <c r="X553" s="87">
        <v>2</v>
      </c>
      <c r="Y553" s="87"/>
      <c r="Z553" s="87"/>
      <c r="AA553" s="87"/>
      <c r="AB553" s="87"/>
      <c r="AC553" s="87">
        <v>6</v>
      </c>
      <c r="AD553" s="87"/>
      <c r="AE553" s="87"/>
      <c r="AF553" s="87"/>
      <c r="AG553" s="87"/>
      <c r="AH553" s="87">
        <v>5</v>
      </c>
      <c r="AI553" s="87">
        <v>2</v>
      </c>
      <c r="AJ553" s="87">
        <v>11</v>
      </c>
      <c r="AK553" s="87"/>
      <c r="AL553" s="87"/>
      <c r="AM553" s="87"/>
      <c r="AN553" s="87"/>
      <c r="AO553" s="87"/>
      <c r="AP553" s="87"/>
      <c r="AQ553" s="87">
        <v>18</v>
      </c>
      <c r="AR553" s="87">
        <v>3</v>
      </c>
      <c r="AS553" s="87"/>
      <c r="AT553" s="87">
        <v>3</v>
      </c>
      <c r="AU553" s="87"/>
      <c r="AV553" s="87"/>
      <c r="AW553" s="88" t="str">
        <f>HYPERLINK("http://www.openstreetmap.org/?mlat=33.339&amp;mlon=44.3848&amp;zoom=12#map=12/33.339/44.3848","Maplink1")</f>
        <v>Maplink1</v>
      </c>
      <c r="AX553" s="88" t="str">
        <f>HYPERLINK("https://www.google.iq/maps/search/+33.339,44.3848/@33.339,44.3848,14z?hl=en","Maplink2")</f>
        <v>Maplink2</v>
      </c>
      <c r="AY553" s="88" t="str">
        <f>HYPERLINK("http://www.bing.com/maps/?lvl=14&amp;sty=h&amp;cp=33.339~44.3848&amp;sp=point.33.339_44.3848","Maplink3")</f>
        <v>Maplink3</v>
      </c>
      <c r="AZ553" s="76"/>
    </row>
    <row r="554" spans="1:52" x14ac:dyDescent="0.25">
      <c r="A554" s="86">
        <v>27195</v>
      </c>
      <c r="B554" s="87" t="s">
        <v>14</v>
      </c>
      <c r="C554" s="87" t="s">
        <v>1039</v>
      </c>
      <c r="D554" s="87" t="s">
        <v>1124</v>
      </c>
      <c r="E554" s="87" t="s">
        <v>1125</v>
      </c>
      <c r="F554" s="87">
        <v>33.332850175300003</v>
      </c>
      <c r="G554" s="87">
        <v>44.386405519900002</v>
      </c>
      <c r="H554" s="86">
        <v>6</v>
      </c>
      <c r="I554" s="86">
        <v>36</v>
      </c>
      <c r="J554" s="87">
        <v>2</v>
      </c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>
        <v>4</v>
      </c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>
        <v>6</v>
      </c>
      <c r="AI554" s="87"/>
      <c r="AJ554" s="87"/>
      <c r="AK554" s="87"/>
      <c r="AL554" s="87"/>
      <c r="AM554" s="87"/>
      <c r="AN554" s="87"/>
      <c r="AO554" s="87"/>
      <c r="AP554" s="87"/>
      <c r="AQ554" s="87">
        <v>4</v>
      </c>
      <c r="AR554" s="87">
        <v>2</v>
      </c>
      <c r="AS554" s="87"/>
      <c r="AT554" s="87"/>
      <c r="AU554" s="87"/>
      <c r="AV554" s="87"/>
      <c r="AW554" s="88" t="str">
        <f>HYPERLINK("http://www.openstreetmap.org/?mlat=33.3329&amp;mlon=44.3864&amp;zoom=12#map=12/33.3329/44.3864","Maplink1")</f>
        <v>Maplink1</v>
      </c>
      <c r="AX554" s="88" t="str">
        <f>HYPERLINK("https://www.google.iq/maps/search/+33.3329,44.3864/@33.3329,44.3864,14z?hl=en","Maplink2")</f>
        <v>Maplink2</v>
      </c>
      <c r="AY554" s="88" t="str">
        <f>HYPERLINK("http://www.bing.com/maps/?lvl=14&amp;sty=h&amp;cp=33.3329~44.3864&amp;sp=point.33.3329_44.3864","Maplink3")</f>
        <v>Maplink3</v>
      </c>
      <c r="AZ554" s="76"/>
    </row>
    <row r="555" spans="1:52" x14ac:dyDescent="0.25">
      <c r="A555" s="86">
        <v>21460</v>
      </c>
      <c r="B555" s="87" t="s">
        <v>14</v>
      </c>
      <c r="C555" s="87" t="s">
        <v>1039</v>
      </c>
      <c r="D555" s="87" t="s">
        <v>1126</v>
      </c>
      <c r="E555" s="87" t="s">
        <v>1127</v>
      </c>
      <c r="F555" s="87">
        <v>33.320205096199999</v>
      </c>
      <c r="G555" s="87">
        <v>44.297554196</v>
      </c>
      <c r="H555" s="86">
        <v>37</v>
      </c>
      <c r="I555" s="86">
        <v>222</v>
      </c>
      <c r="J555" s="87">
        <v>32</v>
      </c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>
        <v>5</v>
      </c>
      <c r="W555" s="87"/>
      <c r="X555" s="87"/>
      <c r="Y555" s="87"/>
      <c r="Z555" s="87"/>
      <c r="AA555" s="87"/>
      <c r="AB555" s="87"/>
      <c r="AC555" s="87">
        <v>10</v>
      </c>
      <c r="AD555" s="87"/>
      <c r="AE555" s="87"/>
      <c r="AF555" s="87"/>
      <c r="AG555" s="87"/>
      <c r="AH555" s="87">
        <v>27</v>
      </c>
      <c r="AI555" s="87"/>
      <c r="AJ555" s="87"/>
      <c r="AK555" s="87"/>
      <c r="AL555" s="87"/>
      <c r="AM555" s="87"/>
      <c r="AN555" s="87"/>
      <c r="AO555" s="87">
        <v>32</v>
      </c>
      <c r="AP555" s="87"/>
      <c r="AQ555" s="87"/>
      <c r="AR555" s="87"/>
      <c r="AS555" s="87">
        <v>5</v>
      </c>
      <c r="AT555" s="87"/>
      <c r="AU555" s="87"/>
      <c r="AV555" s="87"/>
      <c r="AW555" s="88" t="str">
        <f>HYPERLINK("http://www.openstreetmap.org/?mlat=33.3202&amp;mlon=44.2976&amp;zoom=12#map=12/33.3202/44.2976","Maplink1")</f>
        <v>Maplink1</v>
      </c>
      <c r="AX555" s="88" t="str">
        <f>HYPERLINK("https://www.google.iq/maps/search/+33.3202,44.2976/@33.3202,44.2976,14z?hl=en","Maplink2")</f>
        <v>Maplink2</v>
      </c>
      <c r="AY555" s="88" t="str">
        <f>HYPERLINK("http://www.bing.com/maps/?lvl=14&amp;sty=h&amp;cp=33.3202~44.2976&amp;sp=point.33.3202_44.2976","Maplink3")</f>
        <v>Maplink3</v>
      </c>
      <c r="AZ555" s="76"/>
    </row>
    <row r="556" spans="1:52" x14ac:dyDescent="0.25">
      <c r="A556" s="86">
        <v>25206</v>
      </c>
      <c r="B556" s="87" t="s">
        <v>14</v>
      </c>
      <c r="C556" s="87" t="s">
        <v>1039</v>
      </c>
      <c r="D556" s="87" t="s">
        <v>1128</v>
      </c>
      <c r="E556" s="87" t="s">
        <v>1129</v>
      </c>
      <c r="F556" s="87">
        <v>33.3234376614</v>
      </c>
      <c r="G556" s="87">
        <v>44.2954521371</v>
      </c>
      <c r="H556" s="86">
        <v>57</v>
      </c>
      <c r="I556" s="86">
        <v>342</v>
      </c>
      <c r="J556" s="87">
        <v>50</v>
      </c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>
        <v>7</v>
      </c>
      <c r="W556" s="87"/>
      <c r="X556" s="87"/>
      <c r="Y556" s="87"/>
      <c r="Z556" s="87"/>
      <c r="AA556" s="87"/>
      <c r="AB556" s="87"/>
      <c r="AC556" s="87">
        <v>20</v>
      </c>
      <c r="AD556" s="87"/>
      <c r="AE556" s="87"/>
      <c r="AF556" s="87"/>
      <c r="AG556" s="87"/>
      <c r="AH556" s="87">
        <v>37</v>
      </c>
      <c r="AI556" s="87"/>
      <c r="AJ556" s="87"/>
      <c r="AK556" s="87"/>
      <c r="AL556" s="87"/>
      <c r="AM556" s="87"/>
      <c r="AN556" s="87"/>
      <c r="AO556" s="87"/>
      <c r="AP556" s="87"/>
      <c r="AQ556" s="87">
        <v>8</v>
      </c>
      <c r="AR556" s="87">
        <v>42</v>
      </c>
      <c r="AS556" s="87">
        <v>7</v>
      </c>
      <c r="AT556" s="87"/>
      <c r="AU556" s="87"/>
      <c r="AV556" s="87"/>
      <c r="AW556" s="88" t="str">
        <f>HYPERLINK("http://www.openstreetmap.org/?mlat=33.3234&amp;mlon=44.2955&amp;zoom=12#map=12/33.3234/44.2955","Maplink1")</f>
        <v>Maplink1</v>
      </c>
      <c r="AX556" s="88" t="str">
        <f>HYPERLINK("https://www.google.iq/maps/search/+33.3234,44.2955/@33.3234,44.2955,14z?hl=en","Maplink2")</f>
        <v>Maplink2</v>
      </c>
      <c r="AY556" s="88" t="str">
        <f>HYPERLINK("http://www.bing.com/maps/?lvl=14&amp;sty=h&amp;cp=33.3234~44.2955&amp;sp=point.33.3234_44.2955","Maplink3")</f>
        <v>Maplink3</v>
      </c>
      <c r="AZ556" s="76"/>
    </row>
    <row r="557" spans="1:52" x14ac:dyDescent="0.25">
      <c r="A557" s="86">
        <v>27185</v>
      </c>
      <c r="B557" s="87" t="s">
        <v>14</v>
      </c>
      <c r="C557" s="87" t="s">
        <v>1039</v>
      </c>
      <c r="D557" s="87" t="s">
        <v>1130</v>
      </c>
      <c r="E557" s="87" t="s">
        <v>1131</v>
      </c>
      <c r="F557" s="87">
        <v>33.229852896899999</v>
      </c>
      <c r="G557" s="87">
        <v>44.3340782195</v>
      </c>
      <c r="H557" s="86">
        <v>10</v>
      </c>
      <c r="I557" s="86">
        <v>60</v>
      </c>
      <c r="J557" s="87">
        <v>5</v>
      </c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>
        <v>5</v>
      </c>
      <c r="W557" s="87"/>
      <c r="X557" s="87"/>
      <c r="Y557" s="87"/>
      <c r="Z557" s="87"/>
      <c r="AA557" s="87"/>
      <c r="AB557" s="87"/>
      <c r="AC557" s="87">
        <v>2</v>
      </c>
      <c r="AD557" s="87"/>
      <c r="AE557" s="87"/>
      <c r="AF557" s="87"/>
      <c r="AG557" s="87"/>
      <c r="AH557" s="87">
        <v>8</v>
      </c>
      <c r="AI557" s="87"/>
      <c r="AJ557" s="87"/>
      <c r="AK557" s="87"/>
      <c r="AL557" s="87"/>
      <c r="AM557" s="87"/>
      <c r="AN557" s="87"/>
      <c r="AO557" s="87">
        <v>5</v>
      </c>
      <c r="AP557" s="87"/>
      <c r="AQ557" s="87"/>
      <c r="AR557" s="87">
        <v>5</v>
      </c>
      <c r="AS557" s="87"/>
      <c r="AT557" s="87"/>
      <c r="AU557" s="87"/>
      <c r="AV557" s="87"/>
      <c r="AW557" s="88" t="str">
        <f>HYPERLINK("http://www.openstreetmap.org/?mlat=33.2299&amp;mlon=44.3341&amp;zoom=12#map=12/33.2299/44.3341","Maplink1")</f>
        <v>Maplink1</v>
      </c>
      <c r="AX557" s="88" t="str">
        <f>HYPERLINK("https://www.google.iq/maps/search/+33.2299,44.3341/@33.2299,44.3341,14z?hl=en","Maplink2")</f>
        <v>Maplink2</v>
      </c>
      <c r="AY557" s="88" t="str">
        <f>HYPERLINK("http://www.bing.com/maps/?lvl=14&amp;sty=h&amp;cp=33.2299~44.3341&amp;sp=point.33.2299_44.3341","Maplink3")</f>
        <v>Maplink3</v>
      </c>
      <c r="AZ557" s="76"/>
    </row>
    <row r="558" spans="1:52" x14ac:dyDescent="0.25">
      <c r="A558" s="86">
        <v>23574</v>
      </c>
      <c r="B558" s="87" t="s">
        <v>14</v>
      </c>
      <c r="C558" s="87" t="s">
        <v>1039</v>
      </c>
      <c r="D558" s="87" t="s">
        <v>1132</v>
      </c>
      <c r="E558" s="87" t="s">
        <v>1133</v>
      </c>
      <c r="F558" s="87">
        <v>33.223509831100003</v>
      </c>
      <c r="G558" s="87">
        <v>44.344867010199998</v>
      </c>
      <c r="H558" s="86">
        <v>9</v>
      </c>
      <c r="I558" s="86">
        <v>54</v>
      </c>
      <c r="J558" s="87">
        <v>5</v>
      </c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>
        <v>4</v>
      </c>
      <c r="W558" s="87"/>
      <c r="X558" s="87"/>
      <c r="Y558" s="87"/>
      <c r="Z558" s="87"/>
      <c r="AA558" s="87"/>
      <c r="AB558" s="87"/>
      <c r="AC558" s="87">
        <v>3</v>
      </c>
      <c r="AD558" s="87"/>
      <c r="AE558" s="87"/>
      <c r="AF558" s="87"/>
      <c r="AG558" s="87"/>
      <c r="AH558" s="87">
        <v>6</v>
      </c>
      <c r="AI558" s="87"/>
      <c r="AJ558" s="87"/>
      <c r="AK558" s="87"/>
      <c r="AL558" s="87"/>
      <c r="AM558" s="87"/>
      <c r="AN558" s="87"/>
      <c r="AO558" s="87"/>
      <c r="AP558" s="87">
        <v>5</v>
      </c>
      <c r="AQ558" s="87"/>
      <c r="AR558" s="87"/>
      <c r="AS558" s="87"/>
      <c r="AT558" s="87">
        <v>4</v>
      </c>
      <c r="AU558" s="87"/>
      <c r="AV558" s="87"/>
      <c r="AW558" s="88" t="str">
        <f>HYPERLINK("http://www.openstreetmap.org/?mlat=33.2235&amp;mlon=44.3449&amp;zoom=12#map=12/33.2235/44.3449","Maplink1")</f>
        <v>Maplink1</v>
      </c>
      <c r="AX558" s="88" t="str">
        <f>HYPERLINK("https://www.google.iq/maps/search/+33.2235,44.3449/@33.2235,44.3449,14z?hl=en","Maplink2")</f>
        <v>Maplink2</v>
      </c>
      <c r="AY558" s="88" t="str">
        <f>HYPERLINK("http://www.bing.com/maps/?lvl=14&amp;sty=h&amp;cp=33.2235~44.3449&amp;sp=point.33.2235_44.3449","Maplink3")</f>
        <v>Maplink3</v>
      </c>
      <c r="AZ558" s="76"/>
    </row>
    <row r="559" spans="1:52" x14ac:dyDescent="0.25">
      <c r="A559" s="86">
        <v>24712</v>
      </c>
      <c r="B559" s="87" t="s">
        <v>14</v>
      </c>
      <c r="C559" s="87" t="s">
        <v>1039</v>
      </c>
      <c r="D559" s="87" t="s">
        <v>1134</v>
      </c>
      <c r="E559" s="87" t="s">
        <v>1135</v>
      </c>
      <c r="F559" s="87">
        <v>33.2381723214</v>
      </c>
      <c r="G559" s="87">
        <v>44.399891955599998</v>
      </c>
      <c r="H559" s="86">
        <v>10</v>
      </c>
      <c r="I559" s="86">
        <v>60</v>
      </c>
      <c r="J559" s="87">
        <v>5</v>
      </c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>
        <v>5</v>
      </c>
      <c r="W559" s="87"/>
      <c r="X559" s="87"/>
      <c r="Y559" s="87"/>
      <c r="Z559" s="87"/>
      <c r="AA559" s="87"/>
      <c r="AB559" s="87"/>
      <c r="AC559" s="87">
        <v>5</v>
      </c>
      <c r="AD559" s="87"/>
      <c r="AE559" s="87"/>
      <c r="AF559" s="87"/>
      <c r="AG559" s="87"/>
      <c r="AH559" s="87">
        <v>5</v>
      </c>
      <c r="AI559" s="87"/>
      <c r="AJ559" s="87"/>
      <c r="AK559" s="87"/>
      <c r="AL559" s="87"/>
      <c r="AM559" s="87"/>
      <c r="AN559" s="87"/>
      <c r="AO559" s="87">
        <v>5</v>
      </c>
      <c r="AP559" s="87"/>
      <c r="AQ559" s="87"/>
      <c r="AR559" s="87">
        <v>5</v>
      </c>
      <c r="AS559" s="87"/>
      <c r="AT559" s="87"/>
      <c r="AU559" s="87"/>
      <c r="AV559" s="87"/>
      <c r="AW559" s="88" t="str">
        <f>HYPERLINK("http://www.openstreetmap.org/?mlat=33.2382&amp;mlon=44.3999&amp;zoom=12#map=12/33.2382/44.3999","Maplink1")</f>
        <v>Maplink1</v>
      </c>
      <c r="AX559" s="88" t="str">
        <f>HYPERLINK("https://www.google.iq/maps/search/+33.2382,44.3999/@33.2382,44.3999,14z?hl=en","Maplink2")</f>
        <v>Maplink2</v>
      </c>
      <c r="AY559" s="88" t="str">
        <f>HYPERLINK("http://www.bing.com/maps/?lvl=14&amp;sty=h&amp;cp=33.2382~44.3999&amp;sp=point.33.2382_44.3999","Maplink3")</f>
        <v>Maplink3</v>
      </c>
      <c r="AZ559" s="76"/>
    </row>
    <row r="560" spans="1:52" x14ac:dyDescent="0.25">
      <c r="A560" s="86">
        <v>23985</v>
      </c>
      <c r="B560" s="87" t="s">
        <v>14</v>
      </c>
      <c r="C560" s="87" t="s">
        <v>1039</v>
      </c>
      <c r="D560" s="87" t="s">
        <v>1136</v>
      </c>
      <c r="E560" s="87" t="s">
        <v>1137</v>
      </c>
      <c r="F560" s="87">
        <v>33.239250259099997</v>
      </c>
      <c r="G560" s="87">
        <v>44.392802960099999</v>
      </c>
      <c r="H560" s="86">
        <v>12</v>
      </c>
      <c r="I560" s="86">
        <v>72</v>
      </c>
      <c r="J560" s="87">
        <v>5</v>
      </c>
      <c r="K560" s="87">
        <v>4</v>
      </c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>
        <v>3</v>
      </c>
      <c r="W560" s="87"/>
      <c r="X560" s="87"/>
      <c r="Y560" s="87"/>
      <c r="Z560" s="87"/>
      <c r="AA560" s="87"/>
      <c r="AB560" s="87"/>
      <c r="AC560" s="87">
        <v>4</v>
      </c>
      <c r="AD560" s="87"/>
      <c r="AE560" s="87"/>
      <c r="AF560" s="87"/>
      <c r="AG560" s="87"/>
      <c r="AH560" s="87">
        <v>8</v>
      </c>
      <c r="AI560" s="87"/>
      <c r="AJ560" s="87"/>
      <c r="AK560" s="87"/>
      <c r="AL560" s="87"/>
      <c r="AM560" s="87"/>
      <c r="AN560" s="87">
        <v>5</v>
      </c>
      <c r="AO560" s="87">
        <v>4</v>
      </c>
      <c r="AP560" s="87"/>
      <c r="AQ560" s="87">
        <v>3</v>
      </c>
      <c r="AR560" s="87"/>
      <c r="AS560" s="87"/>
      <c r="AT560" s="87"/>
      <c r="AU560" s="87"/>
      <c r="AV560" s="87"/>
      <c r="AW560" s="88" t="str">
        <f>HYPERLINK("http://www.openstreetmap.org/?mlat=33.2393&amp;mlon=44.3928&amp;zoom=12#map=12/33.2393/44.3928","Maplink1")</f>
        <v>Maplink1</v>
      </c>
      <c r="AX560" s="88" t="str">
        <f>HYPERLINK("https://www.google.iq/maps/search/+33.2393,44.3928/@33.2393,44.3928,14z?hl=en","Maplink2")</f>
        <v>Maplink2</v>
      </c>
      <c r="AY560" s="88" t="str">
        <f>HYPERLINK("http://www.bing.com/maps/?lvl=14&amp;sty=h&amp;cp=33.2393~44.3928&amp;sp=point.33.2393_44.3928","Maplink3")</f>
        <v>Maplink3</v>
      </c>
      <c r="AZ560" s="76"/>
    </row>
    <row r="561" spans="1:52" x14ac:dyDescent="0.25">
      <c r="A561" s="86">
        <v>27410</v>
      </c>
      <c r="B561" s="87" t="s">
        <v>14</v>
      </c>
      <c r="C561" s="87" t="s">
        <v>1039</v>
      </c>
      <c r="D561" s="87" t="s">
        <v>1138</v>
      </c>
      <c r="E561" s="87" t="s">
        <v>1139</v>
      </c>
      <c r="F561" s="87">
        <v>33.236664710399999</v>
      </c>
      <c r="G561" s="87">
        <v>44.397018382600002</v>
      </c>
      <c r="H561" s="86">
        <v>8</v>
      </c>
      <c r="I561" s="86">
        <v>48</v>
      </c>
      <c r="J561" s="87">
        <v>6</v>
      </c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>
        <v>2</v>
      </c>
      <c r="W561" s="87"/>
      <c r="X561" s="87"/>
      <c r="Y561" s="87"/>
      <c r="Z561" s="87"/>
      <c r="AA561" s="87"/>
      <c r="AB561" s="87"/>
      <c r="AC561" s="87">
        <v>2</v>
      </c>
      <c r="AD561" s="87"/>
      <c r="AE561" s="87"/>
      <c r="AF561" s="87"/>
      <c r="AG561" s="87"/>
      <c r="AH561" s="87">
        <v>6</v>
      </c>
      <c r="AI561" s="87"/>
      <c r="AJ561" s="87"/>
      <c r="AK561" s="87"/>
      <c r="AL561" s="87"/>
      <c r="AM561" s="87"/>
      <c r="AN561" s="87"/>
      <c r="AO561" s="87">
        <v>6</v>
      </c>
      <c r="AP561" s="87"/>
      <c r="AQ561" s="87"/>
      <c r="AR561" s="87">
        <v>2</v>
      </c>
      <c r="AS561" s="87"/>
      <c r="AT561" s="87"/>
      <c r="AU561" s="87"/>
      <c r="AV561" s="87"/>
      <c r="AW561" s="88" t="str">
        <f>HYPERLINK("http://www.openstreetmap.org/?mlat=33.2367&amp;mlon=44.397&amp;zoom=12#map=12/33.2367/44.397","Maplink1")</f>
        <v>Maplink1</v>
      </c>
      <c r="AX561" s="88" t="str">
        <f>HYPERLINK("https://www.google.iq/maps/search/+33.2367,44.397/@33.2367,44.397,14z?hl=en","Maplink2")</f>
        <v>Maplink2</v>
      </c>
      <c r="AY561" s="88" t="str">
        <f>HYPERLINK("http://www.bing.com/maps/?lvl=14&amp;sty=h&amp;cp=33.2367~44.397&amp;sp=point.33.2367_44.397","Maplink3")</f>
        <v>Maplink3</v>
      </c>
      <c r="AZ561" s="76"/>
    </row>
    <row r="562" spans="1:52" x14ac:dyDescent="0.25">
      <c r="A562" s="86">
        <v>7732</v>
      </c>
      <c r="B562" s="87" t="s">
        <v>14</v>
      </c>
      <c r="C562" s="87" t="s">
        <v>1039</v>
      </c>
      <c r="D562" s="87" t="s">
        <v>1140</v>
      </c>
      <c r="E562" s="87" t="s">
        <v>1141</v>
      </c>
      <c r="F562" s="87">
        <v>33.235156483600001</v>
      </c>
      <c r="G562" s="87">
        <v>44.316741228700003</v>
      </c>
      <c r="H562" s="86">
        <v>10</v>
      </c>
      <c r="I562" s="86">
        <v>60</v>
      </c>
      <c r="J562" s="87">
        <v>5</v>
      </c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>
        <v>5</v>
      </c>
      <c r="W562" s="87"/>
      <c r="X562" s="87"/>
      <c r="Y562" s="87"/>
      <c r="Z562" s="87"/>
      <c r="AA562" s="87"/>
      <c r="AB562" s="87"/>
      <c r="AC562" s="87">
        <v>2</v>
      </c>
      <c r="AD562" s="87"/>
      <c r="AE562" s="87"/>
      <c r="AF562" s="87"/>
      <c r="AG562" s="87"/>
      <c r="AH562" s="87">
        <v>8</v>
      </c>
      <c r="AI562" s="87"/>
      <c r="AJ562" s="87"/>
      <c r="AK562" s="87"/>
      <c r="AL562" s="87"/>
      <c r="AM562" s="87"/>
      <c r="AN562" s="87"/>
      <c r="AO562" s="87">
        <v>5</v>
      </c>
      <c r="AP562" s="87"/>
      <c r="AQ562" s="87">
        <v>5</v>
      </c>
      <c r="AR562" s="87"/>
      <c r="AS562" s="87"/>
      <c r="AT562" s="87"/>
      <c r="AU562" s="87"/>
      <c r="AV562" s="87"/>
      <c r="AW562" s="88" t="str">
        <f>HYPERLINK("http://www.openstreetmap.org/?mlat=33.2352&amp;mlon=44.3167&amp;zoom=12#map=12/33.2352/44.3167","Maplink1")</f>
        <v>Maplink1</v>
      </c>
      <c r="AX562" s="88" t="str">
        <f>HYPERLINK("https://www.google.iq/maps/search/+33.2352,44.3167/@33.2352,44.3167,14z?hl=en","Maplink2")</f>
        <v>Maplink2</v>
      </c>
      <c r="AY562" s="88" t="str">
        <f>HYPERLINK("http://www.bing.com/maps/?lvl=14&amp;sty=h&amp;cp=33.2352~44.3167&amp;sp=point.33.2352_44.3167","Maplink3")</f>
        <v>Maplink3</v>
      </c>
      <c r="AZ562" s="76"/>
    </row>
    <row r="563" spans="1:52" x14ac:dyDescent="0.25">
      <c r="A563" s="86">
        <v>25933</v>
      </c>
      <c r="B563" s="87" t="s">
        <v>14</v>
      </c>
      <c r="C563" s="87" t="s">
        <v>1039</v>
      </c>
      <c r="D563" s="87" t="s">
        <v>1142</v>
      </c>
      <c r="E563" s="87" t="s">
        <v>1143</v>
      </c>
      <c r="F563" s="87">
        <v>33.322043220600001</v>
      </c>
      <c r="G563" s="87">
        <v>44.358139504199997</v>
      </c>
      <c r="H563" s="86">
        <v>7</v>
      </c>
      <c r="I563" s="86">
        <v>42</v>
      </c>
      <c r="J563" s="87">
        <v>4</v>
      </c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>
        <v>3</v>
      </c>
      <c r="W563" s="87"/>
      <c r="X563" s="87"/>
      <c r="Y563" s="87"/>
      <c r="Z563" s="87"/>
      <c r="AA563" s="87"/>
      <c r="AB563" s="87"/>
      <c r="AC563" s="87">
        <v>3</v>
      </c>
      <c r="AD563" s="87"/>
      <c r="AE563" s="87"/>
      <c r="AF563" s="87"/>
      <c r="AG563" s="87"/>
      <c r="AH563" s="87">
        <v>4</v>
      </c>
      <c r="AI563" s="87"/>
      <c r="AJ563" s="87"/>
      <c r="AK563" s="87"/>
      <c r="AL563" s="87"/>
      <c r="AM563" s="87"/>
      <c r="AN563" s="87"/>
      <c r="AO563" s="87"/>
      <c r="AP563" s="87"/>
      <c r="AQ563" s="87">
        <v>4</v>
      </c>
      <c r="AR563" s="87">
        <v>3</v>
      </c>
      <c r="AS563" s="87"/>
      <c r="AT563" s="87"/>
      <c r="AU563" s="87"/>
      <c r="AV563" s="87"/>
      <c r="AW563" s="88" t="str">
        <f>HYPERLINK("http://www.openstreetmap.org/?mlat=33.322&amp;mlon=44.3581&amp;zoom=12#map=12/33.322/44.3581","Maplink1")</f>
        <v>Maplink1</v>
      </c>
      <c r="AX563" s="88" t="str">
        <f>HYPERLINK("https://www.google.iq/maps/search/+33.322,44.3581/@33.322,44.3581,14z?hl=en","Maplink2")</f>
        <v>Maplink2</v>
      </c>
      <c r="AY563" s="88" t="str">
        <f>HYPERLINK("http://www.bing.com/maps/?lvl=14&amp;sty=h&amp;cp=33.322~44.3581&amp;sp=point.33.322_44.3581","Maplink3")</f>
        <v>Maplink3</v>
      </c>
      <c r="AZ563" s="76"/>
    </row>
    <row r="564" spans="1:52" x14ac:dyDescent="0.25">
      <c r="A564" s="86">
        <v>25932</v>
      </c>
      <c r="B564" s="87" t="s">
        <v>14</v>
      </c>
      <c r="C564" s="87" t="s">
        <v>1039</v>
      </c>
      <c r="D564" s="87" t="s">
        <v>1144</v>
      </c>
      <c r="E564" s="87" t="s">
        <v>1145</v>
      </c>
      <c r="F564" s="87">
        <v>33.319815298800002</v>
      </c>
      <c r="G564" s="87">
        <v>44.347270162999997</v>
      </c>
      <c r="H564" s="86">
        <v>6</v>
      </c>
      <c r="I564" s="86">
        <v>36</v>
      </c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>
        <v>6</v>
      </c>
      <c r="W564" s="87"/>
      <c r="X564" s="87"/>
      <c r="Y564" s="87"/>
      <c r="Z564" s="87"/>
      <c r="AA564" s="87"/>
      <c r="AB564" s="87"/>
      <c r="AC564" s="87">
        <v>3</v>
      </c>
      <c r="AD564" s="87"/>
      <c r="AE564" s="87"/>
      <c r="AF564" s="87"/>
      <c r="AG564" s="87"/>
      <c r="AH564" s="87">
        <v>3</v>
      </c>
      <c r="AI564" s="87"/>
      <c r="AJ564" s="87"/>
      <c r="AK564" s="87"/>
      <c r="AL564" s="87"/>
      <c r="AM564" s="87"/>
      <c r="AN564" s="87"/>
      <c r="AO564" s="87"/>
      <c r="AP564" s="87">
        <v>6</v>
      </c>
      <c r="AQ564" s="87"/>
      <c r="AR564" s="87"/>
      <c r="AS564" s="87"/>
      <c r="AT564" s="87"/>
      <c r="AU564" s="87"/>
      <c r="AV564" s="87"/>
      <c r="AW564" s="88" t="str">
        <f>HYPERLINK("http://www.openstreetmap.org/?mlat=33.3198&amp;mlon=44.3473&amp;zoom=12#map=12/33.3198/44.3473","Maplink1")</f>
        <v>Maplink1</v>
      </c>
      <c r="AX564" s="88" t="str">
        <f>HYPERLINK("https://www.google.iq/maps/search/+33.3198,44.3473/@33.3198,44.3473,14z?hl=en","Maplink2")</f>
        <v>Maplink2</v>
      </c>
      <c r="AY564" s="88" t="str">
        <f>HYPERLINK("http://www.bing.com/maps/?lvl=14&amp;sty=h&amp;cp=33.3198~44.3473&amp;sp=point.33.3198_44.3473","Maplink3")</f>
        <v>Maplink3</v>
      </c>
      <c r="AZ564" s="76"/>
    </row>
    <row r="565" spans="1:52" x14ac:dyDescent="0.25">
      <c r="A565" s="86">
        <v>25934</v>
      </c>
      <c r="B565" s="87" t="s">
        <v>14</v>
      </c>
      <c r="C565" s="87" t="s">
        <v>1039</v>
      </c>
      <c r="D565" s="87" t="s">
        <v>1146</v>
      </c>
      <c r="E565" s="87" t="s">
        <v>1147</v>
      </c>
      <c r="F565" s="87">
        <v>33.323569059100002</v>
      </c>
      <c r="G565" s="87">
        <v>44.342926632599998</v>
      </c>
      <c r="H565" s="86">
        <v>6</v>
      </c>
      <c r="I565" s="86">
        <v>36</v>
      </c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>
        <v>6</v>
      </c>
      <c r="W565" s="87"/>
      <c r="X565" s="87"/>
      <c r="Y565" s="87"/>
      <c r="Z565" s="87"/>
      <c r="AA565" s="87"/>
      <c r="AB565" s="87"/>
      <c r="AC565" s="87">
        <v>2</v>
      </c>
      <c r="AD565" s="87"/>
      <c r="AE565" s="87"/>
      <c r="AF565" s="87"/>
      <c r="AG565" s="87"/>
      <c r="AH565" s="87">
        <v>4</v>
      </c>
      <c r="AI565" s="87"/>
      <c r="AJ565" s="87"/>
      <c r="AK565" s="87"/>
      <c r="AL565" s="87"/>
      <c r="AM565" s="87"/>
      <c r="AN565" s="87"/>
      <c r="AO565" s="87"/>
      <c r="AP565" s="87">
        <v>5</v>
      </c>
      <c r="AQ565" s="87"/>
      <c r="AR565" s="87"/>
      <c r="AS565" s="87"/>
      <c r="AT565" s="87">
        <v>1</v>
      </c>
      <c r="AU565" s="87"/>
      <c r="AV565" s="87"/>
      <c r="AW565" s="88" t="str">
        <f>HYPERLINK("http://www.openstreetmap.org/?mlat=33.3236&amp;mlon=44.3429&amp;zoom=12#map=12/33.3236/44.3429","Maplink1")</f>
        <v>Maplink1</v>
      </c>
      <c r="AX565" s="88" t="str">
        <f>HYPERLINK("https://www.google.iq/maps/search/+33.3236,44.3429/@33.3236,44.3429,14z?hl=en","Maplink2")</f>
        <v>Maplink2</v>
      </c>
      <c r="AY565" s="88" t="str">
        <f>HYPERLINK("http://www.bing.com/maps/?lvl=14&amp;sty=h&amp;cp=33.3236~44.3429&amp;sp=point.33.3236_44.3429","Maplink3")</f>
        <v>Maplink3</v>
      </c>
      <c r="AZ565" s="76"/>
    </row>
    <row r="566" spans="1:52" x14ac:dyDescent="0.25">
      <c r="A566" s="86">
        <v>25935</v>
      </c>
      <c r="B566" s="87" t="s">
        <v>14</v>
      </c>
      <c r="C566" s="87" t="s">
        <v>1039</v>
      </c>
      <c r="D566" s="87" t="s">
        <v>1148</v>
      </c>
      <c r="E566" s="87" t="s">
        <v>1149</v>
      </c>
      <c r="F566" s="87">
        <v>33.326953069299996</v>
      </c>
      <c r="G566" s="87">
        <v>44.347823066099998</v>
      </c>
      <c r="H566" s="86">
        <v>6</v>
      </c>
      <c r="I566" s="86">
        <v>36</v>
      </c>
      <c r="J566" s="87">
        <v>3</v>
      </c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>
        <v>3</v>
      </c>
      <c r="W566" s="87"/>
      <c r="X566" s="87"/>
      <c r="Y566" s="87"/>
      <c r="Z566" s="87"/>
      <c r="AA566" s="87"/>
      <c r="AB566" s="87"/>
      <c r="AC566" s="87">
        <v>3</v>
      </c>
      <c r="AD566" s="87"/>
      <c r="AE566" s="87"/>
      <c r="AF566" s="87"/>
      <c r="AG566" s="87"/>
      <c r="AH566" s="87">
        <v>3</v>
      </c>
      <c r="AI566" s="87"/>
      <c r="AJ566" s="87"/>
      <c r="AK566" s="87"/>
      <c r="AL566" s="87"/>
      <c r="AM566" s="87"/>
      <c r="AN566" s="87"/>
      <c r="AO566" s="87"/>
      <c r="AP566" s="87">
        <v>3</v>
      </c>
      <c r="AQ566" s="87"/>
      <c r="AR566" s="87"/>
      <c r="AS566" s="87"/>
      <c r="AT566" s="87">
        <v>3</v>
      </c>
      <c r="AU566" s="87"/>
      <c r="AV566" s="87"/>
      <c r="AW566" s="88" t="str">
        <f>HYPERLINK("http://www.openstreetmap.org/?mlat=33.327&amp;mlon=44.3478&amp;zoom=12#map=12/33.327/44.3478","Maplink1")</f>
        <v>Maplink1</v>
      </c>
      <c r="AX566" s="88" t="str">
        <f>HYPERLINK("https://www.google.iq/maps/search/+33.327,44.3478/@33.327,44.3478,14z?hl=en","Maplink2")</f>
        <v>Maplink2</v>
      </c>
      <c r="AY566" s="88" t="str">
        <f>HYPERLINK("http://www.bing.com/maps/?lvl=14&amp;sty=h&amp;cp=33.327~44.3478&amp;sp=point.33.327_44.3478","Maplink3")</f>
        <v>Maplink3</v>
      </c>
      <c r="AZ566" s="76"/>
    </row>
    <row r="567" spans="1:52" x14ac:dyDescent="0.25">
      <c r="A567" s="86">
        <v>25953</v>
      </c>
      <c r="B567" s="87" t="s">
        <v>14</v>
      </c>
      <c r="C567" s="87" t="s">
        <v>1039</v>
      </c>
      <c r="D567" s="87" t="s">
        <v>1150</v>
      </c>
      <c r="E567" s="87" t="s">
        <v>1151</v>
      </c>
      <c r="F567" s="87">
        <v>33.295929528800002</v>
      </c>
      <c r="G567" s="87">
        <v>44.3545448024</v>
      </c>
      <c r="H567" s="86">
        <v>7</v>
      </c>
      <c r="I567" s="86">
        <v>42</v>
      </c>
      <c r="J567" s="87">
        <v>4</v>
      </c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>
        <v>3</v>
      </c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>
        <v>7</v>
      </c>
      <c r="AI567" s="87"/>
      <c r="AJ567" s="87"/>
      <c r="AK567" s="87"/>
      <c r="AL567" s="87"/>
      <c r="AM567" s="87"/>
      <c r="AN567" s="87"/>
      <c r="AO567" s="87"/>
      <c r="AP567" s="87">
        <v>4</v>
      </c>
      <c r="AQ567" s="87"/>
      <c r="AR567" s="87">
        <v>3</v>
      </c>
      <c r="AS567" s="87"/>
      <c r="AT567" s="87"/>
      <c r="AU567" s="87"/>
      <c r="AV567" s="87"/>
      <c r="AW567" s="88" t="str">
        <f>HYPERLINK("http://www.openstreetmap.org/?mlat=33.2959&amp;mlon=44.3545&amp;zoom=12#map=12/33.2959/44.3545","Maplink1")</f>
        <v>Maplink1</v>
      </c>
      <c r="AX567" s="88" t="str">
        <f>HYPERLINK("https://www.google.iq/maps/search/+33.2959,44.3545/@33.2959,44.3545,14z?hl=en","Maplink2")</f>
        <v>Maplink2</v>
      </c>
      <c r="AY567" s="88" t="str">
        <f>HYPERLINK("http://www.bing.com/maps/?lvl=14&amp;sty=h&amp;cp=33.2959~44.3545&amp;sp=point.33.2959_44.3545","Maplink3")</f>
        <v>Maplink3</v>
      </c>
      <c r="AZ567" s="76"/>
    </row>
    <row r="568" spans="1:52" x14ac:dyDescent="0.25">
      <c r="A568" s="86">
        <v>24064</v>
      </c>
      <c r="B568" s="87" t="s">
        <v>14</v>
      </c>
      <c r="C568" s="87" t="s">
        <v>1039</v>
      </c>
      <c r="D568" s="87" t="s">
        <v>1152</v>
      </c>
      <c r="E568" s="87" t="s">
        <v>1153</v>
      </c>
      <c r="F568" s="87">
        <v>33.287202645400001</v>
      </c>
      <c r="G568" s="87">
        <v>44.3540175531</v>
      </c>
      <c r="H568" s="86">
        <v>13</v>
      </c>
      <c r="I568" s="86">
        <v>78</v>
      </c>
      <c r="J568" s="87">
        <v>5</v>
      </c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>
        <v>6</v>
      </c>
      <c r="W568" s="87"/>
      <c r="X568" s="87">
        <v>2</v>
      </c>
      <c r="Y568" s="87"/>
      <c r="Z568" s="87"/>
      <c r="AA568" s="87"/>
      <c r="AB568" s="87"/>
      <c r="AC568" s="87">
        <v>5</v>
      </c>
      <c r="AD568" s="87"/>
      <c r="AE568" s="87"/>
      <c r="AF568" s="87"/>
      <c r="AG568" s="87"/>
      <c r="AH568" s="87">
        <v>8</v>
      </c>
      <c r="AI568" s="87"/>
      <c r="AJ568" s="87"/>
      <c r="AK568" s="87"/>
      <c r="AL568" s="87"/>
      <c r="AM568" s="87"/>
      <c r="AN568" s="87">
        <v>5</v>
      </c>
      <c r="AO568" s="87">
        <v>6</v>
      </c>
      <c r="AP568" s="87"/>
      <c r="AQ568" s="87"/>
      <c r="AR568" s="87">
        <v>2</v>
      </c>
      <c r="AS568" s="87"/>
      <c r="AT568" s="87"/>
      <c r="AU568" s="87"/>
      <c r="AV568" s="87"/>
      <c r="AW568" s="88" t="str">
        <f>HYPERLINK("http://www.openstreetmap.org/?mlat=33.2872&amp;mlon=44.354&amp;zoom=12#map=12/33.2872/44.354","Maplink1")</f>
        <v>Maplink1</v>
      </c>
      <c r="AX568" s="88" t="str">
        <f>HYPERLINK("https://www.google.iq/maps/search/+33.2872,44.354/@33.2872,44.354,14z?hl=en","Maplink2")</f>
        <v>Maplink2</v>
      </c>
      <c r="AY568" s="88" t="str">
        <f>HYPERLINK("http://www.bing.com/maps/?lvl=14&amp;sty=h&amp;cp=33.2872~44.354&amp;sp=point.33.2872_44.354","Maplink3")</f>
        <v>Maplink3</v>
      </c>
      <c r="AZ568" s="76"/>
    </row>
    <row r="569" spans="1:52" x14ac:dyDescent="0.25">
      <c r="A569" s="86">
        <v>25952</v>
      </c>
      <c r="B569" s="87" t="s">
        <v>14</v>
      </c>
      <c r="C569" s="87" t="s">
        <v>1039</v>
      </c>
      <c r="D569" s="87" t="s">
        <v>1154</v>
      </c>
      <c r="E569" s="87" t="s">
        <v>1155</v>
      </c>
      <c r="F569" s="87">
        <v>33.280123948300002</v>
      </c>
      <c r="G569" s="87">
        <v>44.354392886100001</v>
      </c>
      <c r="H569" s="86">
        <v>9</v>
      </c>
      <c r="I569" s="86">
        <v>54</v>
      </c>
      <c r="J569" s="87">
        <v>3</v>
      </c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>
        <v>4</v>
      </c>
      <c r="W569" s="87"/>
      <c r="X569" s="87">
        <v>2</v>
      </c>
      <c r="Y569" s="87"/>
      <c r="Z569" s="87"/>
      <c r="AA569" s="87"/>
      <c r="AB569" s="87"/>
      <c r="AC569" s="87">
        <v>4</v>
      </c>
      <c r="AD569" s="87"/>
      <c r="AE569" s="87"/>
      <c r="AF569" s="87"/>
      <c r="AG569" s="87"/>
      <c r="AH569" s="87">
        <v>5</v>
      </c>
      <c r="AI569" s="87"/>
      <c r="AJ569" s="87"/>
      <c r="AK569" s="87"/>
      <c r="AL569" s="87"/>
      <c r="AM569" s="87"/>
      <c r="AN569" s="87"/>
      <c r="AO569" s="87">
        <v>4</v>
      </c>
      <c r="AP569" s="87"/>
      <c r="AQ569" s="87">
        <v>2</v>
      </c>
      <c r="AR569" s="87">
        <v>3</v>
      </c>
      <c r="AS569" s="87"/>
      <c r="AT569" s="87"/>
      <c r="AU569" s="87"/>
      <c r="AV569" s="87"/>
      <c r="AW569" s="88" t="str">
        <f>HYPERLINK("http://www.openstreetmap.org/?mlat=33.2801&amp;mlon=44.3544&amp;zoom=12#map=12/33.2801/44.3544","Maplink1")</f>
        <v>Maplink1</v>
      </c>
      <c r="AX569" s="88" t="str">
        <f>HYPERLINK("https://www.google.iq/maps/search/+33.2801,44.3544/@33.2801,44.3544,14z?hl=en","Maplink2")</f>
        <v>Maplink2</v>
      </c>
      <c r="AY569" s="88" t="str">
        <f>HYPERLINK("http://www.bing.com/maps/?lvl=14&amp;sty=h&amp;cp=33.2801~44.3544&amp;sp=point.33.2801_44.3544","Maplink3")</f>
        <v>Maplink3</v>
      </c>
      <c r="AZ569" s="76"/>
    </row>
    <row r="570" spans="1:52" x14ac:dyDescent="0.25">
      <c r="A570" s="86">
        <v>7587</v>
      </c>
      <c r="B570" s="87" t="s">
        <v>14</v>
      </c>
      <c r="C570" s="87" t="s">
        <v>1039</v>
      </c>
      <c r="D570" s="87" t="s">
        <v>1156</v>
      </c>
      <c r="E570" s="87" t="s">
        <v>1157</v>
      </c>
      <c r="F570" s="87">
        <v>33.146011208499999</v>
      </c>
      <c r="G570" s="87">
        <v>44.299420125300003</v>
      </c>
      <c r="H570" s="86">
        <v>88</v>
      </c>
      <c r="I570" s="86">
        <v>528</v>
      </c>
      <c r="J570" s="87">
        <v>80</v>
      </c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>
        <v>8</v>
      </c>
      <c r="W570" s="87"/>
      <c r="X570" s="87"/>
      <c r="Y570" s="87"/>
      <c r="Z570" s="87"/>
      <c r="AA570" s="87"/>
      <c r="AB570" s="87"/>
      <c r="AC570" s="87">
        <v>45</v>
      </c>
      <c r="AD570" s="87"/>
      <c r="AE570" s="87"/>
      <c r="AF570" s="87"/>
      <c r="AG570" s="87"/>
      <c r="AH570" s="87">
        <v>43</v>
      </c>
      <c r="AI570" s="87"/>
      <c r="AJ570" s="87"/>
      <c r="AK570" s="87"/>
      <c r="AL570" s="87"/>
      <c r="AM570" s="87"/>
      <c r="AN570" s="87"/>
      <c r="AO570" s="87">
        <v>80</v>
      </c>
      <c r="AP570" s="87"/>
      <c r="AQ570" s="87">
        <v>8</v>
      </c>
      <c r="AR570" s="87"/>
      <c r="AS570" s="87"/>
      <c r="AT570" s="87"/>
      <c r="AU570" s="87"/>
      <c r="AV570" s="87"/>
      <c r="AW570" s="88" t="str">
        <f>HYPERLINK("http://www.openstreetmap.org/?mlat=33.146&amp;mlon=44.2994&amp;zoom=12#map=12/33.146/44.2994","Maplink1")</f>
        <v>Maplink1</v>
      </c>
      <c r="AX570" s="88" t="str">
        <f>HYPERLINK("https://www.google.iq/maps/search/+33.146,44.2994/@33.146,44.2994,14z?hl=en","Maplink2")</f>
        <v>Maplink2</v>
      </c>
      <c r="AY570" s="88" t="str">
        <f>HYPERLINK("http://www.bing.com/maps/?lvl=14&amp;sty=h&amp;cp=33.146~44.2994&amp;sp=point.33.146_44.2994","Maplink3")</f>
        <v>Maplink3</v>
      </c>
      <c r="AZ570" s="76"/>
    </row>
    <row r="571" spans="1:52" x14ac:dyDescent="0.25">
      <c r="A571" s="86">
        <v>25951</v>
      </c>
      <c r="B571" s="87" t="s">
        <v>14</v>
      </c>
      <c r="C571" s="87" t="s">
        <v>1039</v>
      </c>
      <c r="D571" s="87" t="s">
        <v>1158</v>
      </c>
      <c r="E571" s="87" t="s">
        <v>1159</v>
      </c>
      <c r="F571" s="87">
        <v>33.221995537300003</v>
      </c>
      <c r="G571" s="87">
        <v>44.330313477799997</v>
      </c>
      <c r="H571" s="86">
        <v>20</v>
      </c>
      <c r="I571" s="86">
        <v>120</v>
      </c>
      <c r="J571" s="87">
        <v>5</v>
      </c>
      <c r="K571" s="87">
        <v>2</v>
      </c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>
        <v>13</v>
      </c>
      <c r="W571" s="87"/>
      <c r="X571" s="87"/>
      <c r="Y571" s="87"/>
      <c r="Z571" s="87"/>
      <c r="AA571" s="87"/>
      <c r="AB571" s="87"/>
      <c r="AC571" s="87">
        <v>9</v>
      </c>
      <c r="AD571" s="87"/>
      <c r="AE571" s="87"/>
      <c r="AF571" s="87"/>
      <c r="AG571" s="87"/>
      <c r="AH571" s="87">
        <v>11</v>
      </c>
      <c r="AI571" s="87"/>
      <c r="AJ571" s="87"/>
      <c r="AK571" s="87"/>
      <c r="AL571" s="87"/>
      <c r="AM571" s="87"/>
      <c r="AN571" s="87"/>
      <c r="AO571" s="87">
        <v>18</v>
      </c>
      <c r="AP571" s="87"/>
      <c r="AQ571" s="87">
        <v>2</v>
      </c>
      <c r="AR571" s="87"/>
      <c r="AS571" s="87"/>
      <c r="AT571" s="87"/>
      <c r="AU571" s="87"/>
      <c r="AV571" s="87"/>
      <c r="AW571" s="88" t="str">
        <f>HYPERLINK("http://www.openstreetmap.org/?mlat=33.222&amp;mlon=44.3303&amp;zoom=12#map=12/33.222/44.3303","Maplink1")</f>
        <v>Maplink1</v>
      </c>
      <c r="AX571" s="88" t="str">
        <f>HYPERLINK("https://www.google.iq/maps/search/+33.222,44.3303/@33.222,44.3303,14z?hl=en","Maplink2")</f>
        <v>Maplink2</v>
      </c>
      <c r="AY571" s="88" t="str">
        <f>HYPERLINK("http://www.bing.com/maps/?lvl=14&amp;sty=h&amp;cp=33.222~44.3303&amp;sp=point.33.222_44.3303","Maplink3")</f>
        <v>Maplink3</v>
      </c>
      <c r="AZ571" s="76"/>
    </row>
    <row r="572" spans="1:52" x14ac:dyDescent="0.25">
      <c r="A572" s="86">
        <v>27189</v>
      </c>
      <c r="B572" s="87" t="s">
        <v>14</v>
      </c>
      <c r="C572" s="87" t="s">
        <v>1039</v>
      </c>
      <c r="D572" s="87" t="s">
        <v>1160</v>
      </c>
      <c r="E572" s="87" t="s">
        <v>1161</v>
      </c>
      <c r="F572" s="87">
        <v>33.256751053899997</v>
      </c>
      <c r="G572" s="87">
        <v>44.3375941368</v>
      </c>
      <c r="H572" s="86">
        <v>12</v>
      </c>
      <c r="I572" s="86">
        <v>72</v>
      </c>
      <c r="J572" s="87">
        <v>6</v>
      </c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>
        <v>6</v>
      </c>
      <c r="W572" s="87"/>
      <c r="X572" s="87"/>
      <c r="Y572" s="87"/>
      <c r="Z572" s="87"/>
      <c r="AA572" s="87"/>
      <c r="AB572" s="87"/>
      <c r="AC572" s="87">
        <v>3</v>
      </c>
      <c r="AD572" s="87"/>
      <c r="AE572" s="87"/>
      <c r="AF572" s="87"/>
      <c r="AG572" s="87"/>
      <c r="AH572" s="87">
        <v>9</v>
      </c>
      <c r="AI572" s="87"/>
      <c r="AJ572" s="87"/>
      <c r="AK572" s="87"/>
      <c r="AL572" s="87"/>
      <c r="AM572" s="87"/>
      <c r="AN572" s="87"/>
      <c r="AO572" s="87">
        <v>12</v>
      </c>
      <c r="AP572" s="87"/>
      <c r="AQ572" s="87"/>
      <c r="AR572" s="87"/>
      <c r="AS572" s="87"/>
      <c r="AT572" s="87"/>
      <c r="AU572" s="87"/>
      <c r="AV572" s="87"/>
      <c r="AW572" s="88" t="str">
        <f>HYPERLINK("http://www.openstreetmap.org/?mlat=33.2568&amp;mlon=44.3376&amp;zoom=12#map=12/33.2568/44.3376","Maplink1")</f>
        <v>Maplink1</v>
      </c>
      <c r="AX572" s="88" t="str">
        <f>HYPERLINK("https://www.google.iq/maps/search/+33.2568,44.3376/@33.2568,44.3376,14z?hl=en","Maplink2")</f>
        <v>Maplink2</v>
      </c>
      <c r="AY572" s="88" t="str">
        <f>HYPERLINK("http://www.bing.com/maps/?lvl=14&amp;sty=h&amp;cp=33.2568~44.3376&amp;sp=point.33.2568_44.3376","Maplink3")</f>
        <v>Maplink3</v>
      </c>
      <c r="AZ572" s="76"/>
    </row>
    <row r="573" spans="1:52" x14ac:dyDescent="0.25">
      <c r="A573" s="86">
        <v>24447</v>
      </c>
      <c r="B573" s="87" t="s">
        <v>14</v>
      </c>
      <c r="C573" s="87" t="s">
        <v>1039</v>
      </c>
      <c r="D573" s="87" t="s">
        <v>1162</v>
      </c>
      <c r="E573" s="87" t="s">
        <v>1163</v>
      </c>
      <c r="F573" s="87">
        <v>33.247712223800001</v>
      </c>
      <c r="G573" s="87">
        <v>44.3337405913</v>
      </c>
      <c r="H573" s="86">
        <v>14</v>
      </c>
      <c r="I573" s="86">
        <v>84</v>
      </c>
      <c r="J573" s="87">
        <v>4</v>
      </c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>
        <v>10</v>
      </c>
      <c r="W573" s="87"/>
      <c r="X573" s="87"/>
      <c r="Y573" s="87"/>
      <c r="Z573" s="87"/>
      <c r="AA573" s="87"/>
      <c r="AB573" s="87"/>
      <c r="AC573" s="87">
        <v>6</v>
      </c>
      <c r="AD573" s="87"/>
      <c r="AE573" s="87"/>
      <c r="AF573" s="87"/>
      <c r="AG573" s="87"/>
      <c r="AH573" s="87">
        <v>8</v>
      </c>
      <c r="AI573" s="87"/>
      <c r="AJ573" s="87"/>
      <c r="AK573" s="87"/>
      <c r="AL573" s="87"/>
      <c r="AM573" s="87"/>
      <c r="AN573" s="87"/>
      <c r="AO573" s="87">
        <v>10</v>
      </c>
      <c r="AP573" s="87"/>
      <c r="AQ573" s="87"/>
      <c r="AR573" s="87">
        <v>4</v>
      </c>
      <c r="AS573" s="87"/>
      <c r="AT573" s="87"/>
      <c r="AU573" s="87"/>
      <c r="AV573" s="87"/>
      <c r="AW573" s="88" t="str">
        <f>HYPERLINK("http://www.openstreetmap.org/?mlat=33.2477&amp;mlon=44.3337&amp;zoom=12#map=12/33.2477/44.3337","Maplink1")</f>
        <v>Maplink1</v>
      </c>
      <c r="AX573" s="88" t="str">
        <f>HYPERLINK("https://www.google.iq/maps/search/+33.2477,44.3337/@33.2477,44.3337,14z?hl=en","Maplink2")</f>
        <v>Maplink2</v>
      </c>
      <c r="AY573" s="88" t="str">
        <f>HYPERLINK("http://www.bing.com/maps/?lvl=14&amp;sty=h&amp;cp=33.2477~44.3337&amp;sp=point.33.2477_44.3337","Maplink3")</f>
        <v>Maplink3</v>
      </c>
      <c r="AZ573" s="76"/>
    </row>
    <row r="574" spans="1:52" x14ac:dyDescent="0.25">
      <c r="A574" s="86">
        <v>27190</v>
      </c>
      <c r="B574" s="87" t="s">
        <v>14</v>
      </c>
      <c r="C574" s="87" t="s">
        <v>1039</v>
      </c>
      <c r="D574" s="87" t="s">
        <v>1164</v>
      </c>
      <c r="E574" s="87" t="s">
        <v>1165</v>
      </c>
      <c r="F574" s="87">
        <v>33.237867280099998</v>
      </c>
      <c r="G574" s="87">
        <v>44.321485952000003</v>
      </c>
      <c r="H574" s="86">
        <v>10</v>
      </c>
      <c r="I574" s="86">
        <v>60</v>
      </c>
      <c r="J574" s="87">
        <v>4</v>
      </c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>
        <v>5</v>
      </c>
      <c r="W574" s="87"/>
      <c r="X574" s="87">
        <v>1</v>
      </c>
      <c r="Y574" s="87"/>
      <c r="Z574" s="87"/>
      <c r="AA574" s="87"/>
      <c r="AB574" s="87"/>
      <c r="AC574" s="87">
        <v>2</v>
      </c>
      <c r="AD574" s="87"/>
      <c r="AE574" s="87"/>
      <c r="AF574" s="87"/>
      <c r="AG574" s="87"/>
      <c r="AH574" s="87">
        <v>8</v>
      </c>
      <c r="AI574" s="87"/>
      <c r="AJ574" s="87"/>
      <c r="AK574" s="87"/>
      <c r="AL574" s="87"/>
      <c r="AM574" s="87"/>
      <c r="AN574" s="87"/>
      <c r="AO574" s="87">
        <v>4</v>
      </c>
      <c r="AP574" s="87"/>
      <c r="AQ574" s="87">
        <v>1</v>
      </c>
      <c r="AR574" s="87">
        <v>5</v>
      </c>
      <c r="AS574" s="87"/>
      <c r="AT574" s="87"/>
      <c r="AU574" s="87"/>
      <c r="AV574" s="87"/>
      <c r="AW574" s="88" t="str">
        <f>HYPERLINK("http://www.openstreetmap.org/?mlat=33.2379&amp;mlon=44.3215&amp;zoom=12#map=12/33.2379/44.3215","Maplink1")</f>
        <v>Maplink1</v>
      </c>
      <c r="AX574" s="88" t="str">
        <f>HYPERLINK("https://www.google.iq/maps/search/+33.2379,44.3215/@33.2379,44.3215,14z?hl=en","Maplink2")</f>
        <v>Maplink2</v>
      </c>
      <c r="AY574" s="88" t="str">
        <f>HYPERLINK("http://www.bing.com/maps/?lvl=14&amp;sty=h&amp;cp=33.2379~44.3215&amp;sp=point.33.2379_44.3215","Maplink3")</f>
        <v>Maplink3</v>
      </c>
      <c r="AZ574" s="76"/>
    </row>
    <row r="575" spans="1:52" x14ac:dyDescent="0.25">
      <c r="A575" s="86">
        <v>27191</v>
      </c>
      <c r="B575" s="87" t="s">
        <v>14</v>
      </c>
      <c r="C575" s="87" t="s">
        <v>1039</v>
      </c>
      <c r="D575" s="87" t="s">
        <v>1166</v>
      </c>
      <c r="E575" s="87" t="s">
        <v>1167</v>
      </c>
      <c r="F575" s="87">
        <v>33.242716436499997</v>
      </c>
      <c r="G575" s="87">
        <v>44.322329389799997</v>
      </c>
      <c r="H575" s="86">
        <v>14</v>
      </c>
      <c r="I575" s="86">
        <v>84</v>
      </c>
      <c r="J575" s="87">
        <v>4</v>
      </c>
      <c r="K575" s="87"/>
      <c r="L575" s="87"/>
      <c r="M575" s="87"/>
      <c r="N575" s="87"/>
      <c r="O575" s="87">
        <v>4</v>
      </c>
      <c r="P575" s="87"/>
      <c r="Q575" s="87"/>
      <c r="R575" s="87"/>
      <c r="S575" s="87"/>
      <c r="T575" s="87"/>
      <c r="U575" s="87"/>
      <c r="V575" s="87">
        <v>6</v>
      </c>
      <c r="W575" s="87"/>
      <c r="X575" s="87"/>
      <c r="Y575" s="87"/>
      <c r="Z575" s="87"/>
      <c r="AA575" s="87"/>
      <c r="AB575" s="87"/>
      <c r="AC575" s="87">
        <v>6</v>
      </c>
      <c r="AD575" s="87"/>
      <c r="AE575" s="87"/>
      <c r="AF575" s="87"/>
      <c r="AG575" s="87"/>
      <c r="AH575" s="87">
        <v>8</v>
      </c>
      <c r="AI575" s="87"/>
      <c r="AJ575" s="87"/>
      <c r="AK575" s="87"/>
      <c r="AL575" s="87"/>
      <c r="AM575" s="87"/>
      <c r="AN575" s="87"/>
      <c r="AO575" s="87">
        <v>14</v>
      </c>
      <c r="AP575" s="87"/>
      <c r="AQ575" s="87"/>
      <c r="AR575" s="87"/>
      <c r="AS575" s="87"/>
      <c r="AT575" s="87"/>
      <c r="AU575" s="87"/>
      <c r="AV575" s="87"/>
      <c r="AW575" s="88" t="str">
        <f>HYPERLINK("http://www.openstreetmap.org/?mlat=33.2427&amp;mlon=44.3223&amp;zoom=12#map=12/33.2427/44.3223","Maplink1")</f>
        <v>Maplink1</v>
      </c>
      <c r="AX575" s="88" t="str">
        <f>HYPERLINK("https://www.google.iq/maps/search/+33.2427,44.3223/@33.2427,44.3223,14z?hl=en","Maplink2")</f>
        <v>Maplink2</v>
      </c>
      <c r="AY575" s="88" t="str">
        <f>HYPERLINK("http://www.bing.com/maps/?lvl=14&amp;sty=h&amp;cp=33.2427~44.3223&amp;sp=point.33.2427_44.3223","Maplink3")</f>
        <v>Maplink3</v>
      </c>
      <c r="AZ575" s="76"/>
    </row>
    <row r="576" spans="1:52" x14ac:dyDescent="0.25">
      <c r="A576" s="86">
        <v>27289</v>
      </c>
      <c r="B576" s="87" t="s">
        <v>14</v>
      </c>
      <c r="C576" s="87" t="s">
        <v>1039</v>
      </c>
      <c r="D576" s="87" t="s">
        <v>1168</v>
      </c>
      <c r="E576" s="87" t="s">
        <v>1169</v>
      </c>
      <c r="F576" s="87">
        <v>33.325420423499999</v>
      </c>
      <c r="G576" s="87">
        <v>44.390215533400003</v>
      </c>
      <c r="H576" s="86">
        <v>11</v>
      </c>
      <c r="I576" s="86">
        <v>66</v>
      </c>
      <c r="J576" s="87">
        <v>2</v>
      </c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>
        <v>9</v>
      </c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>
        <v>11</v>
      </c>
      <c r="AI576" s="87"/>
      <c r="AJ576" s="87"/>
      <c r="AK576" s="87"/>
      <c r="AL576" s="87"/>
      <c r="AM576" s="87"/>
      <c r="AN576" s="87"/>
      <c r="AO576" s="87">
        <v>1</v>
      </c>
      <c r="AP576" s="87">
        <v>3</v>
      </c>
      <c r="AQ576" s="87">
        <v>5</v>
      </c>
      <c r="AR576" s="87"/>
      <c r="AS576" s="87">
        <v>2</v>
      </c>
      <c r="AT576" s="87"/>
      <c r="AU576" s="87"/>
      <c r="AV576" s="87"/>
      <c r="AW576" s="88" t="str">
        <f>HYPERLINK("http://www.openstreetmap.org/?mlat=33.3254&amp;mlon=44.3902&amp;zoom=12#map=12/33.3254/44.3902","Maplink1")</f>
        <v>Maplink1</v>
      </c>
      <c r="AX576" s="88" t="str">
        <f>HYPERLINK("https://www.google.iq/maps/search/+33.3254,44.3902/@33.3254,44.3902,14z?hl=en","Maplink2")</f>
        <v>Maplink2</v>
      </c>
      <c r="AY576" s="88" t="str">
        <f>HYPERLINK("http://www.bing.com/maps/?lvl=14&amp;sty=h&amp;cp=33.3254~44.3902&amp;sp=point.33.3254_44.3902","Maplink3")</f>
        <v>Maplink3</v>
      </c>
      <c r="AZ576" s="76"/>
    </row>
    <row r="577" spans="1:52" x14ac:dyDescent="0.25">
      <c r="A577" s="86">
        <v>27409</v>
      </c>
      <c r="B577" s="87" t="s">
        <v>14</v>
      </c>
      <c r="C577" s="87" t="s">
        <v>1039</v>
      </c>
      <c r="D577" s="87" t="s">
        <v>1170</v>
      </c>
      <c r="E577" s="87" t="s">
        <v>1171</v>
      </c>
      <c r="F577" s="87">
        <v>33.232764305400003</v>
      </c>
      <c r="G577" s="87">
        <v>44.359082734099999</v>
      </c>
      <c r="H577" s="86">
        <v>13</v>
      </c>
      <c r="I577" s="86">
        <v>78</v>
      </c>
      <c r="J577" s="87">
        <v>7</v>
      </c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>
        <v>6</v>
      </c>
      <c r="W577" s="87"/>
      <c r="X577" s="87"/>
      <c r="Y577" s="87"/>
      <c r="Z577" s="87"/>
      <c r="AA577" s="87"/>
      <c r="AB577" s="87"/>
      <c r="AC577" s="87">
        <v>5</v>
      </c>
      <c r="AD577" s="87"/>
      <c r="AE577" s="87"/>
      <c r="AF577" s="87"/>
      <c r="AG577" s="87"/>
      <c r="AH577" s="87">
        <v>8</v>
      </c>
      <c r="AI577" s="87"/>
      <c r="AJ577" s="87"/>
      <c r="AK577" s="87"/>
      <c r="AL577" s="87"/>
      <c r="AM577" s="87"/>
      <c r="AN577" s="87"/>
      <c r="AO577" s="87">
        <v>2</v>
      </c>
      <c r="AP577" s="87"/>
      <c r="AQ577" s="87">
        <v>7</v>
      </c>
      <c r="AR577" s="87"/>
      <c r="AS577" s="87"/>
      <c r="AT577" s="87">
        <v>4</v>
      </c>
      <c r="AU577" s="87"/>
      <c r="AV577" s="87"/>
      <c r="AW577" s="88" t="str">
        <f>HYPERLINK("http://www.openstreetmap.org/?mlat=33.2328&amp;mlon=44.3591&amp;zoom=12#map=12/33.2328/44.3591","Maplink1")</f>
        <v>Maplink1</v>
      </c>
      <c r="AX577" s="88" t="str">
        <f>HYPERLINK("https://www.google.iq/maps/search/+33.2328,44.3591/@33.2328,44.3591,14z?hl=en","Maplink2")</f>
        <v>Maplink2</v>
      </c>
      <c r="AY577" s="88" t="str">
        <f>HYPERLINK("http://www.bing.com/maps/?lvl=14&amp;sty=h&amp;cp=33.2328~44.3591&amp;sp=point.33.2328_44.3591","Maplink3")</f>
        <v>Maplink3</v>
      </c>
      <c r="AZ577" s="76"/>
    </row>
    <row r="578" spans="1:52" x14ac:dyDescent="0.25">
      <c r="A578" s="86">
        <v>25458</v>
      </c>
      <c r="B578" s="87" t="s">
        <v>14</v>
      </c>
      <c r="C578" s="87" t="s">
        <v>1039</v>
      </c>
      <c r="D578" s="87" t="s">
        <v>1172</v>
      </c>
      <c r="E578" s="87" t="s">
        <v>1173</v>
      </c>
      <c r="F578" s="87">
        <v>33.259800762200001</v>
      </c>
      <c r="G578" s="87">
        <v>44.3580880763</v>
      </c>
      <c r="H578" s="86">
        <v>27</v>
      </c>
      <c r="I578" s="86">
        <v>162</v>
      </c>
      <c r="J578" s="87">
        <v>12</v>
      </c>
      <c r="K578" s="87">
        <v>8</v>
      </c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>
        <v>7</v>
      </c>
      <c r="W578" s="87"/>
      <c r="X578" s="87"/>
      <c r="Y578" s="87"/>
      <c r="Z578" s="87"/>
      <c r="AA578" s="87"/>
      <c r="AB578" s="87"/>
      <c r="AC578" s="87">
        <v>6</v>
      </c>
      <c r="AD578" s="87"/>
      <c r="AE578" s="87"/>
      <c r="AF578" s="87"/>
      <c r="AG578" s="87"/>
      <c r="AH578" s="87">
        <v>21</v>
      </c>
      <c r="AI578" s="87"/>
      <c r="AJ578" s="87"/>
      <c r="AK578" s="87"/>
      <c r="AL578" s="87"/>
      <c r="AM578" s="87"/>
      <c r="AN578" s="87"/>
      <c r="AO578" s="87">
        <v>8</v>
      </c>
      <c r="AP578" s="87">
        <v>5</v>
      </c>
      <c r="AQ578" s="87">
        <v>8</v>
      </c>
      <c r="AR578" s="87">
        <v>2</v>
      </c>
      <c r="AS578" s="87"/>
      <c r="AT578" s="87">
        <v>4</v>
      </c>
      <c r="AU578" s="87"/>
      <c r="AV578" s="87"/>
      <c r="AW578" s="88" t="str">
        <f>HYPERLINK("http://www.openstreetmap.org/?mlat=33.2598&amp;mlon=44.3581&amp;zoom=12#map=12/33.2598/44.3581","Maplink1")</f>
        <v>Maplink1</v>
      </c>
      <c r="AX578" s="88" t="str">
        <f>HYPERLINK("https://www.google.iq/maps/search/+33.2598,44.3581/@33.2598,44.3581,14z?hl=en","Maplink2")</f>
        <v>Maplink2</v>
      </c>
      <c r="AY578" s="88" t="str">
        <f>HYPERLINK("http://www.bing.com/maps/?lvl=14&amp;sty=h&amp;cp=33.2598~44.3581&amp;sp=point.33.2598_44.3581","Maplink3")</f>
        <v>Maplink3</v>
      </c>
      <c r="AZ578" s="76"/>
    </row>
    <row r="579" spans="1:52" x14ac:dyDescent="0.25">
      <c r="A579" s="86">
        <v>23575</v>
      </c>
      <c r="B579" s="87" t="s">
        <v>14</v>
      </c>
      <c r="C579" s="87" t="s">
        <v>1039</v>
      </c>
      <c r="D579" s="87" t="s">
        <v>1174</v>
      </c>
      <c r="E579" s="87" t="s">
        <v>1175</v>
      </c>
      <c r="F579" s="87">
        <v>33.243653254599998</v>
      </c>
      <c r="G579" s="87">
        <v>44.363456638999999</v>
      </c>
      <c r="H579" s="86">
        <v>10</v>
      </c>
      <c r="I579" s="86">
        <v>60</v>
      </c>
      <c r="J579" s="87">
        <v>10</v>
      </c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>
        <v>10</v>
      </c>
      <c r="AI579" s="87"/>
      <c r="AJ579" s="87"/>
      <c r="AK579" s="87"/>
      <c r="AL579" s="87"/>
      <c r="AM579" s="87"/>
      <c r="AN579" s="87">
        <v>7</v>
      </c>
      <c r="AO579" s="87"/>
      <c r="AP579" s="87"/>
      <c r="AQ579" s="87"/>
      <c r="AR579" s="87">
        <v>3</v>
      </c>
      <c r="AS579" s="87"/>
      <c r="AT579" s="87"/>
      <c r="AU579" s="87"/>
      <c r="AV579" s="87"/>
      <c r="AW579" s="88" t="str">
        <f>HYPERLINK("http://www.openstreetmap.org/?mlat=33.2437&amp;mlon=44.3635&amp;zoom=12#map=12/33.2437/44.3635","Maplink1")</f>
        <v>Maplink1</v>
      </c>
      <c r="AX579" s="88" t="str">
        <f>HYPERLINK("https://www.google.iq/maps/search/+33.2437,44.3635/@33.2437,44.3635,14z?hl=en","Maplink2")</f>
        <v>Maplink2</v>
      </c>
      <c r="AY579" s="88" t="str">
        <f>HYPERLINK("http://www.bing.com/maps/?lvl=14&amp;sty=h&amp;cp=33.2437~44.3635&amp;sp=point.33.2437_44.3635","Maplink3")</f>
        <v>Maplink3</v>
      </c>
      <c r="AZ579" s="76"/>
    </row>
    <row r="580" spans="1:52" x14ac:dyDescent="0.25">
      <c r="A580" s="86">
        <v>24081</v>
      </c>
      <c r="B580" s="87" t="s">
        <v>14</v>
      </c>
      <c r="C580" s="87" t="s">
        <v>1039</v>
      </c>
      <c r="D580" s="87" t="s">
        <v>1176</v>
      </c>
      <c r="E580" s="87" t="s">
        <v>1177</v>
      </c>
      <c r="F580" s="87">
        <v>33.241927876799998</v>
      </c>
      <c r="G580" s="87">
        <v>44.352992307999997</v>
      </c>
      <c r="H580" s="86">
        <v>20</v>
      </c>
      <c r="I580" s="86">
        <v>120</v>
      </c>
      <c r="J580" s="87">
        <v>10</v>
      </c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>
        <v>10</v>
      </c>
      <c r="W580" s="87"/>
      <c r="X580" s="87"/>
      <c r="Y580" s="87"/>
      <c r="Z580" s="87"/>
      <c r="AA580" s="87"/>
      <c r="AB580" s="87"/>
      <c r="AC580" s="87">
        <v>4</v>
      </c>
      <c r="AD580" s="87"/>
      <c r="AE580" s="87"/>
      <c r="AF580" s="87"/>
      <c r="AG580" s="87"/>
      <c r="AH580" s="87">
        <v>16</v>
      </c>
      <c r="AI580" s="87"/>
      <c r="AJ580" s="87"/>
      <c r="AK580" s="87"/>
      <c r="AL580" s="87"/>
      <c r="AM580" s="87"/>
      <c r="AN580" s="87">
        <v>8</v>
      </c>
      <c r="AO580" s="87"/>
      <c r="AP580" s="87"/>
      <c r="AQ580" s="87">
        <v>4</v>
      </c>
      <c r="AR580" s="87">
        <v>2</v>
      </c>
      <c r="AS580" s="87"/>
      <c r="AT580" s="87">
        <v>6</v>
      </c>
      <c r="AU580" s="87"/>
      <c r="AV580" s="87"/>
      <c r="AW580" s="88" t="str">
        <f>HYPERLINK("http://www.openstreetmap.org/?mlat=33.2419&amp;mlon=44.353&amp;zoom=12#map=12/33.2419/44.353","Maplink1")</f>
        <v>Maplink1</v>
      </c>
      <c r="AX580" s="88" t="str">
        <f>HYPERLINK("https://www.google.iq/maps/search/+33.2419,44.353/@33.2419,44.353,14z?hl=en","Maplink2")</f>
        <v>Maplink2</v>
      </c>
      <c r="AY580" s="88" t="str">
        <f>HYPERLINK("http://www.bing.com/maps/?lvl=14&amp;sty=h&amp;cp=33.2419~44.353&amp;sp=point.33.2419_44.353","Maplink3")</f>
        <v>Maplink3</v>
      </c>
      <c r="AZ580" s="76"/>
    </row>
    <row r="581" spans="1:52" x14ac:dyDescent="0.25">
      <c r="A581" s="86">
        <v>24120</v>
      </c>
      <c r="B581" s="87" t="s">
        <v>14</v>
      </c>
      <c r="C581" s="87" t="s">
        <v>1039</v>
      </c>
      <c r="D581" s="87" t="s">
        <v>1178</v>
      </c>
      <c r="E581" s="87" t="s">
        <v>1179</v>
      </c>
      <c r="F581" s="87">
        <v>33.232625026999997</v>
      </c>
      <c r="G581" s="87">
        <v>44.326548710300003</v>
      </c>
      <c r="H581" s="86">
        <v>8</v>
      </c>
      <c r="I581" s="86">
        <v>48</v>
      </c>
      <c r="J581" s="87">
        <v>2</v>
      </c>
      <c r="K581" s="87"/>
      <c r="L581" s="87"/>
      <c r="M581" s="87"/>
      <c r="N581" s="87"/>
      <c r="O581" s="87">
        <v>2</v>
      </c>
      <c r="P581" s="87"/>
      <c r="Q581" s="87"/>
      <c r="R581" s="87"/>
      <c r="S581" s="87"/>
      <c r="T581" s="87"/>
      <c r="U581" s="87"/>
      <c r="V581" s="87">
        <v>4</v>
      </c>
      <c r="W581" s="87"/>
      <c r="X581" s="87"/>
      <c r="Y581" s="87"/>
      <c r="Z581" s="87"/>
      <c r="AA581" s="87"/>
      <c r="AB581" s="87"/>
      <c r="AC581" s="87">
        <v>2</v>
      </c>
      <c r="AD581" s="87"/>
      <c r="AE581" s="87"/>
      <c r="AF581" s="87"/>
      <c r="AG581" s="87"/>
      <c r="AH581" s="87">
        <v>6</v>
      </c>
      <c r="AI581" s="87"/>
      <c r="AJ581" s="87"/>
      <c r="AK581" s="87"/>
      <c r="AL581" s="87"/>
      <c r="AM581" s="87"/>
      <c r="AN581" s="87"/>
      <c r="AO581" s="87">
        <v>4</v>
      </c>
      <c r="AP581" s="87">
        <v>2</v>
      </c>
      <c r="AQ581" s="87"/>
      <c r="AR581" s="87">
        <v>2</v>
      </c>
      <c r="AS581" s="87"/>
      <c r="AT581" s="87"/>
      <c r="AU581" s="87"/>
      <c r="AV581" s="87"/>
      <c r="AW581" s="88" t="str">
        <f>HYPERLINK("http://www.openstreetmap.org/?mlat=33.2326&amp;mlon=44.3265&amp;zoom=12#map=12/33.2326/44.3265","Maplink1")</f>
        <v>Maplink1</v>
      </c>
      <c r="AX581" s="88" t="str">
        <f>HYPERLINK("https://www.google.iq/maps/search/+33.2326,44.3265/@33.2326,44.3265,14z?hl=en","Maplink2")</f>
        <v>Maplink2</v>
      </c>
      <c r="AY581" s="88" t="str">
        <f>HYPERLINK("http://www.bing.com/maps/?lvl=14&amp;sty=h&amp;cp=33.2326~44.3265&amp;sp=point.33.2326_44.3265","Maplink3")</f>
        <v>Maplink3</v>
      </c>
      <c r="AZ581" s="76"/>
    </row>
    <row r="582" spans="1:52" x14ac:dyDescent="0.25">
      <c r="A582" s="86">
        <v>25830</v>
      </c>
      <c r="B582" s="87" t="s">
        <v>14</v>
      </c>
      <c r="C582" s="87" t="s">
        <v>1039</v>
      </c>
      <c r="D582" s="87" t="s">
        <v>1180</v>
      </c>
      <c r="E582" s="87" t="s">
        <v>1181</v>
      </c>
      <c r="F582" s="87">
        <v>33.243678054199997</v>
      </c>
      <c r="G582" s="87">
        <v>44.313163969599998</v>
      </c>
      <c r="H582" s="86">
        <v>6</v>
      </c>
      <c r="I582" s="86">
        <v>36</v>
      </c>
      <c r="J582" s="87">
        <v>3</v>
      </c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>
        <v>3</v>
      </c>
      <c r="W582" s="87"/>
      <c r="X582" s="87"/>
      <c r="Y582" s="87"/>
      <c r="Z582" s="87"/>
      <c r="AA582" s="87"/>
      <c r="AB582" s="87"/>
      <c r="AC582" s="87">
        <v>4</v>
      </c>
      <c r="AD582" s="87"/>
      <c r="AE582" s="87"/>
      <c r="AF582" s="87"/>
      <c r="AG582" s="87"/>
      <c r="AH582" s="87">
        <v>2</v>
      </c>
      <c r="AI582" s="87"/>
      <c r="AJ582" s="87"/>
      <c r="AK582" s="87"/>
      <c r="AL582" s="87"/>
      <c r="AM582" s="87"/>
      <c r="AN582" s="87"/>
      <c r="AO582" s="87">
        <v>4</v>
      </c>
      <c r="AP582" s="87">
        <v>2</v>
      </c>
      <c r="AQ582" s="87"/>
      <c r="AR582" s="87"/>
      <c r="AS582" s="87"/>
      <c r="AT582" s="87"/>
      <c r="AU582" s="87"/>
      <c r="AV582" s="87"/>
      <c r="AW582" s="88" t="str">
        <f>HYPERLINK("http://www.openstreetmap.org/?mlat=33.2437&amp;mlon=44.3132&amp;zoom=12#map=12/33.2437/44.3132","Maplink1")</f>
        <v>Maplink1</v>
      </c>
      <c r="AX582" s="88" t="str">
        <f>HYPERLINK("https://www.google.iq/maps/search/+33.2437,44.3132/@33.2437,44.3132,14z?hl=en","Maplink2")</f>
        <v>Maplink2</v>
      </c>
      <c r="AY582" s="88" t="str">
        <f>HYPERLINK("http://www.bing.com/maps/?lvl=14&amp;sty=h&amp;cp=33.2437~44.3132&amp;sp=point.33.2437_44.3132","Maplink3")</f>
        <v>Maplink3</v>
      </c>
      <c r="AZ582" s="76"/>
    </row>
    <row r="583" spans="1:52" x14ac:dyDescent="0.25">
      <c r="A583" s="86">
        <v>23325</v>
      </c>
      <c r="B583" s="87" t="s">
        <v>14</v>
      </c>
      <c r="C583" s="87" t="s">
        <v>1039</v>
      </c>
      <c r="D583" s="87" t="s">
        <v>1182</v>
      </c>
      <c r="E583" s="87" t="s">
        <v>1183</v>
      </c>
      <c r="F583" s="87">
        <v>33.238290251400002</v>
      </c>
      <c r="G583" s="87">
        <v>44.314326070100002</v>
      </c>
      <c r="H583" s="86">
        <v>5</v>
      </c>
      <c r="I583" s="86">
        <v>30</v>
      </c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>
        <v>5</v>
      </c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>
        <v>5</v>
      </c>
      <c r="AI583" s="87"/>
      <c r="AJ583" s="87"/>
      <c r="AK583" s="87"/>
      <c r="AL583" s="87"/>
      <c r="AM583" s="87"/>
      <c r="AN583" s="87"/>
      <c r="AO583" s="87">
        <v>5</v>
      </c>
      <c r="AP583" s="87"/>
      <c r="AQ583" s="87"/>
      <c r="AR583" s="87"/>
      <c r="AS583" s="87"/>
      <c r="AT583" s="87"/>
      <c r="AU583" s="87"/>
      <c r="AV583" s="87"/>
      <c r="AW583" s="88" t="str">
        <f>HYPERLINK("http://www.openstreetmap.org/?mlat=33.2383&amp;mlon=44.3143&amp;zoom=12#map=12/33.2383/44.3143","Maplink1")</f>
        <v>Maplink1</v>
      </c>
      <c r="AX583" s="88" t="str">
        <f>HYPERLINK("https://www.google.iq/maps/search/+33.2383,44.3143/@33.2383,44.3143,14z?hl=en","Maplink2")</f>
        <v>Maplink2</v>
      </c>
      <c r="AY583" s="88" t="str">
        <f>HYPERLINK("http://www.bing.com/maps/?lvl=14&amp;sty=h&amp;cp=33.2383~44.3143&amp;sp=point.33.2383_44.3143","Maplink3")</f>
        <v>Maplink3</v>
      </c>
      <c r="AZ583" s="76"/>
    </row>
    <row r="584" spans="1:52" x14ac:dyDescent="0.25">
      <c r="A584" s="86">
        <v>23085</v>
      </c>
      <c r="B584" s="87" t="s">
        <v>14</v>
      </c>
      <c r="C584" s="87" t="s">
        <v>1039</v>
      </c>
      <c r="D584" s="87" t="s">
        <v>1184</v>
      </c>
      <c r="E584" s="87" t="s">
        <v>1185</v>
      </c>
      <c r="F584" s="87">
        <v>33.242173057800002</v>
      </c>
      <c r="G584" s="87">
        <v>44.305445231699998</v>
      </c>
      <c r="H584" s="86">
        <v>5</v>
      </c>
      <c r="I584" s="86">
        <v>30</v>
      </c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>
        <v>5</v>
      </c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>
        <v>5</v>
      </c>
      <c r="AI584" s="87"/>
      <c r="AJ584" s="87"/>
      <c r="AK584" s="87"/>
      <c r="AL584" s="87"/>
      <c r="AM584" s="87"/>
      <c r="AN584" s="87"/>
      <c r="AO584" s="87">
        <v>5</v>
      </c>
      <c r="AP584" s="87"/>
      <c r="AQ584" s="87"/>
      <c r="AR584" s="87"/>
      <c r="AS584" s="87"/>
      <c r="AT584" s="87"/>
      <c r="AU584" s="87"/>
      <c r="AV584" s="87"/>
      <c r="AW584" s="88" t="str">
        <f>HYPERLINK("http://www.openstreetmap.org/?mlat=33.2422&amp;mlon=44.3054&amp;zoom=12#map=12/33.2422/44.3054","Maplink1")</f>
        <v>Maplink1</v>
      </c>
      <c r="AX584" s="88" t="str">
        <f>HYPERLINK("https://www.google.iq/maps/search/+33.2422,44.3054/@33.2422,44.3054,14z?hl=en","Maplink2")</f>
        <v>Maplink2</v>
      </c>
      <c r="AY584" s="88" t="str">
        <f>HYPERLINK("http://www.bing.com/maps/?lvl=14&amp;sty=h&amp;cp=33.2422~44.3054&amp;sp=point.33.2422_44.3054","Maplink3")</f>
        <v>Maplink3</v>
      </c>
      <c r="AZ584" s="76"/>
    </row>
    <row r="585" spans="1:52" x14ac:dyDescent="0.25">
      <c r="A585" s="86">
        <v>23086</v>
      </c>
      <c r="B585" s="87" t="s">
        <v>14</v>
      </c>
      <c r="C585" s="87" t="s">
        <v>1039</v>
      </c>
      <c r="D585" s="87" t="s">
        <v>1186</v>
      </c>
      <c r="E585" s="87" t="s">
        <v>1187</v>
      </c>
      <c r="F585" s="87">
        <v>33.2507620055</v>
      </c>
      <c r="G585" s="87">
        <v>44.317993223400002</v>
      </c>
      <c r="H585" s="86">
        <v>4</v>
      </c>
      <c r="I585" s="86">
        <v>24</v>
      </c>
      <c r="J585" s="87">
        <v>2</v>
      </c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>
        <v>2</v>
      </c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>
        <v>4</v>
      </c>
      <c r="AI585" s="87"/>
      <c r="AJ585" s="87"/>
      <c r="AK585" s="87"/>
      <c r="AL585" s="87"/>
      <c r="AM585" s="87"/>
      <c r="AN585" s="87"/>
      <c r="AO585" s="87">
        <v>2</v>
      </c>
      <c r="AP585" s="87"/>
      <c r="AQ585" s="87"/>
      <c r="AR585" s="87"/>
      <c r="AS585" s="87"/>
      <c r="AT585" s="87">
        <v>2</v>
      </c>
      <c r="AU585" s="87"/>
      <c r="AV585" s="87"/>
      <c r="AW585" s="88" t="str">
        <f>HYPERLINK("http://www.openstreetmap.org/?mlat=33.2508&amp;mlon=44.318&amp;zoom=12#map=12/33.2508/44.318","Maplink1")</f>
        <v>Maplink1</v>
      </c>
      <c r="AX585" s="88" t="str">
        <f>HYPERLINK("https://www.google.iq/maps/search/+33.2508,44.318/@33.2508,44.318,14z?hl=en","Maplink2")</f>
        <v>Maplink2</v>
      </c>
      <c r="AY585" s="88" t="str">
        <f>HYPERLINK("http://www.bing.com/maps/?lvl=14&amp;sty=h&amp;cp=33.2508~44.318&amp;sp=point.33.2508_44.318","Maplink3")</f>
        <v>Maplink3</v>
      </c>
      <c r="AZ585" s="76"/>
    </row>
    <row r="586" spans="1:52" x14ac:dyDescent="0.25">
      <c r="A586" s="86">
        <v>25459</v>
      </c>
      <c r="B586" s="87" t="s">
        <v>14</v>
      </c>
      <c r="C586" s="87" t="s">
        <v>1039</v>
      </c>
      <c r="D586" s="87" t="s">
        <v>1188</v>
      </c>
      <c r="E586" s="87" t="s">
        <v>1189</v>
      </c>
      <c r="F586" s="87">
        <v>33.241559016399997</v>
      </c>
      <c r="G586" s="87">
        <v>44.312248226500003</v>
      </c>
      <c r="H586" s="86">
        <v>8</v>
      </c>
      <c r="I586" s="86">
        <v>48</v>
      </c>
      <c r="J586" s="87">
        <v>3</v>
      </c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>
        <v>3</v>
      </c>
      <c r="W586" s="87"/>
      <c r="X586" s="87">
        <v>2</v>
      </c>
      <c r="Y586" s="87"/>
      <c r="Z586" s="87"/>
      <c r="AA586" s="87"/>
      <c r="AB586" s="87"/>
      <c r="AC586" s="87">
        <v>4</v>
      </c>
      <c r="AD586" s="87"/>
      <c r="AE586" s="87"/>
      <c r="AF586" s="87"/>
      <c r="AG586" s="87"/>
      <c r="AH586" s="87">
        <v>4</v>
      </c>
      <c r="AI586" s="87"/>
      <c r="AJ586" s="87"/>
      <c r="AK586" s="87"/>
      <c r="AL586" s="87"/>
      <c r="AM586" s="87"/>
      <c r="AN586" s="87">
        <v>3</v>
      </c>
      <c r="AO586" s="87">
        <v>5</v>
      </c>
      <c r="AP586" s="87"/>
      <c r="AQ586" s="87"/>
      <c r="AR586" s="87"/>
      <c r="AS586" s="87"/>
      <c r="AT586" s="87"/>
      <c r="AU586" s="87"/>
      <c r="AV586" s="87"/>
      <c r="AW586" s="88" t="str">
        <f>HYPERLINK("http://www.openstreetmap.org/?mlat=33.2416&amp;mlon=44.3122&amp;zoom=12#map=12/33.2416/44.3122","Maplink1")</f>
        <v>Maplink1</v>
      </c>
      <c r="AX586" s="88" t="str">
        <f>HYPERLINK("https://www.google.iq/maps/search/+33.2416,44.3122/@33.2416,44.3122,14z?hl=en","Maplink2")</f>
        <v>Maplink2</v>
      </c>
      <c r="AY586" s="88" t="str">
        <f>HYPERLINK("http://www.bing.com/maps/?lvl=14&amp;sty=h&amp;cp=33.2416~44.3122&amp;sp=point.33.2416_44.3122","Maplink3")</f>
        <v>Maplink3</v>
      </c>
      <c r="AZ586" s="76"/>
    </row>
    <row r="587" spans="1:52" x14ac:dyDescent="0.25">
      <c r="A587" s="86">
        <v>23984</v>
      </c>
      <c r="B587" s="87" t="s">
        <v>14</v>
      </c>
      <c r="C587" s="87" t="s">
        <v>1039</v>
      </c>
      <c r="D587" s="87" t="s">
        <v>1190</v>
      </c>
      <c r="E587" s="87" t="s">
        <v>1191</v>
      </c>
      <c r="F587" s="87">
        <v>33.249227726299999</v>
      </c>
      <c r="G587" s="87">
        <v>44.3937489793</v>
      </c>
      <c r="H587" s="86">
        <v>131</v>
      </c>
      <c r="I587" s="86">
        <v>786</v>
      </c>
      <c r="J587" s="87">
        <v>122</v>
      </c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>
        <v>5</v>
      </c>
      <c r="W587" s="87"/>
      <c r="X587" s="87">
        <v>4</v>
      </c>
      <c r="Y587" s="87"/>
      <c r="Z587" s="87"/>
      <c r="AA587" s="87"/>
      <c r="AB587" s="87"/>
      <c r="AC587" s="87">
        <v>66</v>
      </c>
      <c r="AD587" s="87"/>
      <c r="AE587" s="87"/>
      <c r="AF587" s="87"/>
      <c r="AG587" s="87"/>
      <c r="AH587" s="87">
        <v>65</v>
      </c>
      <c r="AI587" s="87"/>
      <c r="AJ587" s="87"/>
      <c r="AK587" s="87"/>
      <c r="AL587" s="87"/>
      <c r="AM587" s="87"/>
      <c r="AN587" s="87">
        <v>35</v>
      </c>
      <c r="AO587" s="87">
        <v>36</v>
      </c>
      <c r="AP587" s="87">
        <v>37</v>
      </c>
      <c r="AQ587" s="87">
        <v>14</v>
      </c>
      <c r="AR587" s="87">
        <v>4</v>
      </c>
      <c r="AS587" s="87">
        <v>5</v>
      </c>
      <c r="AT587" s="87"/>
      <c r="AU587" s="87"/>
      <c r="AV587" s="87"/>
      <c r="AW587" s="88" t="str">
        <f>HYPERLINK("http://www.openstreetmap.org/?mlat=33.2492&amp;mlon=44.3937&amp;zoom=12#map=12/33.2492/44.3937","Maplink1")</f>
        <v>Maplink1</v>
      </c>
      <c r="AX587" s="88" t="str">
        <f>HYPERLINK("https://www.google.iq/maps/search/+33.2492,44.3937/@33.2492,44.3937,14z?hl=en","Maplink2")</f>
        <v>Maplink2</v>
      </c>
      <c r="AY587" s="88" t="str">
        <f>HYPERLINK("http://www.bing.com/maps/?lvl=14&amp;sty=h&amp;cp=33.2492~44.3937&amp;sp=point.33.2492_44.3937","Maplink3")</f>
        <v>Maplink3</v>
      </c>
      <c r="AZ587" s="76"/>
    </row>
    <row r="588" spans="1:52" x14ac:dyDescent="0.25">
      <c r="A588" s="86">
        <v>23986</v>
      </c>
      <c r="B588" s="87" t="s">
        <v>14</v>
      </c>
      <c r="C588" s="87" t="s">
        <v>1039</v>
      </c>
      <c r="D588" s="87" t="s">
        <v>1192</v>
      </c>
      <c r="E588" s="87" t="s">
        <v>1193</v>
      </c>
      <c r="F588" s="87">
        <v>33.250419294099999</v>
      </c>
      <c r="G588" s="87">
        <v>44.3902503662</v>
      </c>
      <c r="H588" s="86">
        <v>152</v>
      </c>
      <c r="I588" s="86">
        <v>912</v>
      </c>
      <c r="J588" s="87">
        <v>138</v>
      </c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>
        <v>7</v>
      </c>
      <c r="W588" s="87"/>
      <c r="X588" s="87">
        <v>7</v>
      </c>
      <c r="Y588" s="87"/>
      <c r="Z588" s="87"/>
      <c r="AA588" s="87"/>
      <c r="AB588" s="87"/>
      <c r="AC588" s="87">
        <v>53</v>
      </c>
      <c r="AD588" s="87"/>
      <c r="AE588" s="87"/>
      <c r="AF588" s="87"/>
      <c r="AG588" s="87"/>
      <c r="AH588" s="87">
        <v>99</v>
      </c>
      <c r="AI588" s="87"/>
      <c r="AJ588" s="87"/>
      <c r="AK588" s="87"/>
      <c r="AL588" s="87"/>
      <c r="AM588" s="87"/>
      <c r="AN588" s="87">
        <v>75</v>
      </c>
      <c r="AO588" s="87">
        <v>63</v>
      </c>
      <c r="AP588" s="87"/>
      <c r="AQ588" s="87"/>
      <c r="AR588" s="87">
        <v>7</v>
      </c>
      <c r="AS588" s="87">
        <v>7</v>
      </c>
      <c r="AT588" s="87"/>
      <c r="AU588" s="87"/>
      <c r="AV588" s="87"/>
      <c r="AW588" s="88" t="str">
        <f>HYPERLINK("http://www.openstreetmap.org/?mlat=33.2504&amp;mlon=44.3903&amp;zoom=12#map=12/33.2504/44.3903","Maplink1")</f>
        <v>Maplink1</v>
      </c>
      <c r="AX588" s="88" t="str">
        <f>HYPERLINK("https://www.google.iq/maps/search/+33.2504,44.3903/@33.2504,44.3903,14z?hl=en","Maplink2")</f>
        <v>Maplink2</v>
      </c>
      <c r="AY588" s="88" t="str">
        <f>HYPERLINK("http://www.bing.com/maps/?lvl=14&amp;sty=h&amp;cp=33.2504~44.3903&amp;sp=point.33.2504_44.3903","Maplink3")</f>
        <v>Maplink3</v>
      </c>
      <c r="AZ588" s="76"/>
    </row>
    <row r="589" spans="1:52" x14ac:dyDescent="0.25">
      <c r="A589" s="86">
        <v>24986</v>
      </c>
      <c r="B589" s="87" t="s">
        <v>14</v>
      </c>
      <c r="C589" s="87" t="s">
        <v>1039</v>
      </c>
      <c r="D589" s="87" t="s">
        <v>1194</v>
      </c>
      <c r="E589" s="87" t="s">
        <v>1195</v>
      </c>
      <c r="F589" s="87">
        <v>33.291414058999997</v>
      </c>
      <c r="G589" s="87">
        <v>44.330705202799997</v>
      </c>
      <c r="H589" s="86">
        <v>22</v>
      </c>
      <c r="I589" s="86">
        <v>132</v>
      </c>
      <c r="J589" s="87">
        <v>13</v>
      </c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>
        <v>9</v>
      </c>
      <c r="W589" s="87"/>
      <c r="X589" s="87"/>
      <c r="Y589" s="87"/>
      <c r="Z589" s="87"/>
      <c r="AA589" s="87"/>
      <c r="AB589" s="87"/>
      <c r="AC589" s="87">
        <v>10</v>
      </c>
      <c r="AD589" s="87"/>
      <c r="AE589" s="87"/>
      <c r="AF589" s="87"/>
      <c r="AG589" s="87"/>
      <c r="AH589" s="87">
        <v>12</v>
      </c>
      <c r="AI589" s="87"/>
      <c r="AJ589" s="87"/>
      <c r="AK589" s="87"/>
      <c r="AL589" s="87"/>
      <c r="AM589" s="87"/>
      <c r="AN589" s="87"/>
      <c r="AO589" s="87"/>
      <c r="AP589" s="87">
        <v>9</v>
      </c>
      <c r="AQ589" s="87">
        <v>13</v>
      </c>
      <c r="AR589" s="87"/>
      <c r="AS589" s="87"/>
      <c r="AT589" s="87"/>
      <c r="AU589" s="87"/>
      <c r="AV589" s="87"/>
      <c r="AW589" s="88" t="str">
        <f>HYPERLINK("http://www.openstreetmap.org/?mlat=33.2914&amp;mlon=44.3307&amp;zoom=12#map=12/33.2914/44.3307","Maplink1")</f>
        <v>Maplink1</v>
      </c>
      <c r="AX589" s="88" t="str">
        <f>HYPERLINK("https://www.google.iq/maps/search/+33.2914,44.3307/@33.2914,44.3307,14z?hl=en","Maplink2")</f>
        <v>Maplink2</v>
      </c>
      <c r="AY589" s="88" t="str">
        <f>HYPERLINK("http://www.bing.com/maps/?lvl=14&amp;sty=h&amp;cp=33.2914~44.3307&amp;sp=point.33.2914_44.3307","Maplink3")</f>
        <v>Maplink3</v>
      </c>
      <c r="AZ589" s="76"/>
    </row>
    <row r="590" spans="1:52" x14ac:dyDescent="0.25">
      <c r="A590" s="86">
        <v>24987</v>
      </c>
      <c r="B590" s="87" t="s">
        <v>14</v>
      </c>
      <c r="C590" s="87" t="s">
        <v>1039</v>
      </c>
      <c r="D590" s="87" t="s">
        <v>1196</v>
      </c>
      <c r="E590" s="87" t="s">
        <v>1197</v>
      </c>
      <c r="F590" s="87">
        <v>33.302051448500002</v>
      </c>
      <c r="G590" s="87">
        <v>44.348783280100001</v>
      </c>
      <c r="H590" s="86">
        <v>31</v>
      </c>
      <c r="I590" s="86">
        <v>186</v>
      </c>
      <c r="J590" s="87">
        <v>14</v>
      </c>
      <c r="K590" s="87">
        <v>4</v>
      </c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>
        <v>9</v>
      </c>
      <c r="W590" s="87"/>
      <c r="X590" s="87">
        <v>4</v>
      </c>
      <c r="Y590" s="87"/>
      <c r="Z590" s="87"/>
      <c r="AA590" s="87"/>
      <c r="AB590" s="87"/>
      <c r="AC590" s="87">
        <v>10</v>
      </c>
      <c r="AD590" s="87"/>
      <c r="AE590" s="87"/>
      <c r="AF590" s="87"/>
      <c r="AG590" s="87"/>
      <c r="AH590" s="87">
        <v>21</v>
      </c>
      <c r="AI590" s="87"/>
      <c r="AJ590" s="87"/>
      <c r="AK590" s="87"/>
      <c r="AL590" s="87"/>
      <c r="AM590" s="87"/>
      <c r="AN590" s="87"/>
      <c r="AO590" s="87"/>
      <c r="AP590" s="87">
        <v>13</v>
      </c>
      <c r="AQ590" s="87">
        <v>14</v>
      </c>
      <c r="AR590" s="87">
        <v>4</v>
      </c>
      <c r="AS590" s="87"/>
      <c r="AT590" s="87"/>
      <c r="AU590" s="87"/>
      <c r="AV590" s="87"/>
      <c r="AW590" s="88" t="str">
        <f>HYPERLINK("http://www.openstreetmap.org/?mlat=33.3021&amp;mlon=44.3488&amp;zoom=12#map=12/33.3021/44.3488","Maplink1")</f>
        <v>Maplink1</v>
      </c>
      <c r="AX590" s="88" t="str">
        <f>HYPERLINK("https://www.google.iq/maps/search/+33.3021,44.3488/@33.3021,44.3488,14z?hl=en","Maplink2")</f>
        <v>Maplink2</v>
      </c>
      <c r="AY590" s="88" t="str">
        <f>HYPERLINK("http://www.bing.com/maps/?lvl=14&amp;sty=h&amp;cp=33.3021~44.3488&amp;sp=point.33.3021_44.3488","Maplink3")</f>
        <v>Maplink3</v>
      </c>
      <c r="AZ590" s="76"/>
    </row>
    <row r="591" spans="1:52" x14ac:dyDescent="0.25">
      <c r="A591" s="86">
        <v>24062</v>
      </c>
      <c r="B591" s="87" t="s">
        <v>14</v>
      </c>
      <c r="C591" s="87" t="s">
        <v>1039</v>
      </c>
      <c r="D591" s="87" t="s">
        <v>1198</v>
      </c>
      <c r="E591" s="87" t="s">
        <v>1199</v>
      </c>
      <c r="F591" s="87">
        <v>33.297493814500001</v>
      </c>
      <c r="G591" s="87">
        <v>44.3455989594</v>
      </c>
      <c r="H591" s="86">
        <v>18</v>
      </c>
      <c r="I591" s="86">
        <v>108</v>
      </c>
      <c r="J591" s="87">
        <v>7</v>
      </c>
      <c r="K591" s="87"/>
      <c r="L591" s="87"/>
      <c r="M591" s="87"/>
      <c r="N591" s="87"/>
      <c r="O591" s="87">
        <v>3</v>
      </c>
      <c r="P591" s="87"/>
      <c r="Q591" s="87"/>
      <c r="R591" s="87"/>
      <c r="S591" s="87"/>
      <c r="T591" s="87"/>
      <c r="U591" s="87"/>
      <c r="V591" s="87">
        <v>5</v>
      </c>
      <c r="W591" s="87"/>
      <c r="X591" s="87">
        <v>3</v>
      </c>
      <c r="Y591" s="87"/>
      <c r="Z591" s="87"/>
      <c r="AA591" s="87"/>
      <c r="AB591" s="87"/>
      <c r="AC591" s="87">
        <v>5</v>
      </c>
      <c r="AD591" s="87"/>
      <c r="AE591" s="87"/>
      <c r="AF591" s="87"/>
      <c r="AG591" s="87"/>
      <c r="AH591" s="87">
        <v>13</v>
      </c>
      <c r="AI591" s="87"/>
      <c r="AJ591" s="87"/>
      <c r="AK591" s="87"/>
      <c r="AL591" s="87"/>
      <c r="AM591" s="87"/>
      <c r="AN591" s="87">
        <v>7</v>
      </c>
      <c r="AO591" s="87"/>
      <c r="AP591" s="87">
        <v>3</v>
      </c>
      <c r="AQ591" s="87">
        <v>5</v>
      </c>
      <c r="AR591" s="87">
        <v>3</v>
      </c>
      <c r="AS591" s="87"/>
      <c r="AT591" s="87"/>
      <c r="AU591" s="87"/>
      <c r="AV591" s="87"/>
      <c r="AW591" s="88" t="str">
        <f>HYPERLINK("http://www.openstreetmap.org/?mlat=33.2975&amp;mlon=44.3456&amp;zoom=12#map=12/33.2975/44.3456","Maplink1")</f>
        <v>Maplink1</v>
      </c>
      <c r="AX591" s="88" t="str">
        <f>HYPERLINK("https://www.google.iq/maps/search/+33.2975,44.3456/@33.2975,44.3456,14z?hl=en","Maplink2")</f>
        <v>Maplink2</v>
      </c>
      <c r="AY591" s="88" t="str">
        <f>HYPERLINK("http://www.bing.com/maps/?lvl=14&amp;sty=h&amp;cp=33.2975~44.3456&amp;sp=point.33.2975_44.3456","Maplink3")</f>
        <v>Maplink3</v>
      </c>
      <c r="AZ591" s="76"/>
    </row>
    <row r="592" spans="1:52" x14ac:dyDescent="0.25">
      <c r="A592" s="86">
        <v>24072</v>
      </c>
      <c r="B592" s="87" t="s">
        <v>14</v>
      </c>
      <c r="C592" s="87" t="s">
        <v>1039</v>
      </c>
      <c r="D592" s="87" t="s">
        <v>1200</v>
      </c>
      <c r="E592" s="87" t="s">
        <v>1201</v>
      </c>
      <c r="F592" s="87">
        <v>33.295480036299999</v>
      </c>
      <c r="G592" s="87">
        <v>44.330406197199999</v>
      </c>
      <c r="H592" s="86">
        <v>17</v>
      </c>
      <c r="I592" s="86">
        <v>102</v>
      </c>
      <c r="J592" s="87">
        <v>9</v>
      </c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>
        <v>6</v>
      </c>
      <c r="W592" s="87"/>
      <c r="X592" s="87">
        <v>2</v>
      </c>
      <c r="Y592" s="87"/>
      <c r="Z592" s="87"/>
      <c r="AA592" s="87"/>
      <c r="AB592" s="87"/>
      <c r="AC592" s="87">
        <v>8</v>
      </c>
      <c r="AD592" s="87"/>
      <c r="AE592" s="87"/>
      <c r="AF592" s="87"/>
      <c r="AG592" s="87"/>
      <c r="AH592" s="87">
        <v>9</v>
      </c>
      <c r="AI592" s="87"/>
      <c r="AJ592" s="87"/>
      <c r="AK592" s="87"/>
      <c r="AL592" s="87"/>
      <c r="AM592" s="87"/>
      <c r="AN592" s="87"/>
      <c r="AO592" s="87"/>
      <c r="AP592" s="87">
        <v>9</v>
      </c>
      <c r="AQ592" s="87">
        <v>5</v>
      </c>
      <c r="AR592" s="87">
        <v>3</v>
      </c>
      <c r="AS592" s="87"/>
      <c r="AT592" s="87"/>
      <c r="AU592" s="87"/>
      <c r="AV592" s="87"/>
      <c r="AW592" s="88" t="str">
        <f>HYPERLINK("http://www.openstreetmap.org/?mlat=33.2955&amp;mlon=44.3304&amp;zoom=12#map=12/33.2955/44.3304","Maplink1")</f>
        <v>Maplink1</v>
      </c>
      <c r="AX592" s="88" t="str">
        <f>HYPERLINK("https://www.google.iq/maps/search/+33.2955,44.3304/@33.2955,44.3304,14z?hl=en","Maplink2")</f>
        <v>Maplink2</v>
      </c>
      <c r="AY592" s="88" t="str">
        <f>HYPERLINK("http://www.bing.com/maps/?lvl=14&amp;sty=h&amp;cp=33.2955~44.3304&amp;sp=point.33.2955_44.3304","Maplink3")</f>
        <v>Maplink3</v>
      </c>
      <c r="AZ592" s="76"/>
    </row>
    <row r="593" spans="1:52" x14ac:dyDescent="0.25">
      <c r="A593" s="86">
        <v>24059</v>
      </c>
      <c r="B593" s="87" t="s">
        <v>14</v>
      </c>
      <c r="C593" s="87" t="s">
        <v>1039</v>
      </c>
      <c r="D593" s="87" t="s">
        <v>1202</v>
      </c>
      <c r="E593" s="87" t="s">
        <v>1203</v>
      </c>
      <c r="F593" s="87">
        <v>33.298507800599999</v>
      </c>
      <c r="G593" s="87">
        <v>44.331278126500003</v>
      </c>
      <c r="H593" s="86">
        <v>20</v>
      </c>
      <c r="I593" s="86">
        <v>120</v>
      </c>
      <c r="J593" s="87">
        <v>9</v>
      </c>
      <c r="K593" s="87"/>
      <c r="L593" s="87"/>
      <c r="M593" s="87"/>
      <c r="N593" s="87"/>
      <c r="O593" s="87">
        <v>6</v>
      </c>
      <c r="P593" s="87"/>
      <c r="Q593" s="87"/>
      <c r="R593" s="87"/>
      <c r="S593" s="87"/>
      <c r="T593" s="87"/>
      <c r="U593" s="87"/>
      <c r="V593" s="87">
        <v>2</v>
      </c>
      <c r="W593" s="87"/>
      <c r="X593" s="87">
        <v>3</v>
      </c>
      <c r="Y593" s="87"/>
      <c r="Z593" s="87"/>
      <c r="AA593" s="87"/>
      <c r="AB593" s="87"/>
      <c r="AC593" s="87">
        <v>5</v>
      </c>
      <c r="AD593" s="87"/>
      <c r="AE593" s="87"/>
      <c r="AF593" s="87"/>
      <c r="AG593" s="87"/>
      <c r="AH593" s="87">
        <v>15</v>
      </c>
      <c r="AI593" s="87"/>
      <c r="AJ593" s="87"/>
      <c r="AK593" s="87"/>
      <c r="AL593" s="87"/>
      <c r="AM593" s="87"/>
      <c r="AN593" s="87">
        <v>9</v>
      </c>
      <c r="AO593" s="87"/>
      <c r="AP593" s="87">
        <v>6</v>
      </c>
      <c r="AQ593" s="87">
        <v>2</v>
      </c>
      <c r="AR593" s="87">
        <v>3</v>
      </c>
      <c r="AS593" s="87"/>
      <c r="AT593" s="87"/>
      <c r="AU593" s="87"/>
      <c r="AV593" s="87"/>
      <c r="AW593" s="88" t="str">
        <f>HYPERLINK("http://www.openstreetmap.org/?mlat=33.2985&amp;mlon=44.3313&amp;zoom=12#map=12/33.2985/44.3313","Maplink1")</f>
        <v>Maplink1</v>
      </c>
      <c r="AX593" s="88" t="str">
        <f>HYPERLINK("https://www.google.iq/maps/search/+33.2985,44.3313/@33.2985,44.3313,14z?hl=en","Maplink2")</f>
        <v>Maplink2</v>
      </c>
      <c r="AY593" s="88" t="str">
        <f>HYPERLINK("http://www.bing.com/maps/?lvl=14&amp;sty=h&amp;cp=33.2985~44.3313&amp;sp=point.33.2985_44.3313","Maplink3")</f>
        <v>Maplink3</v>
      </c>
      <c r="AZ593" s="76"/>
    </row>
    <row r="594" spans="1:52" x14ac:dyDescent="0.25">
      <c r="A594" s="86">
        <v>25931</v>
      </c>
      <c r="B594" s="87" t="s">
        <v>14</v>
      </c>
      <c r="C594" s="87" t="s">
        <v>1039</v>
      </c>
      <c r="D594" s="87" t="s">
        <v>1204</v>
      </c>
      <c r="E594" s="87" t="s">
        <v>1205</v>
      </c>
      <c r="F594" s="87">
        <v>33.307946615500001</v>
      </c>
      <c r="G594" s="87">
        <v>44.353167843599998</v>
      </c>
      <c r="H594" s="86">
        <v>12</v>
      </c>
      <c r="I594" s="86">
        <v>72</v>
      </c>
      <c r="J594" s="87">
        <v>9</v>
      </c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>
        <v>3</v>
      </c>
      <c r="W594" s="87"/>
      <c r="X594" s="87"/>
      <c r="Y594" s="87"/>
      <c r="Z594" s="87"/>
      <c r="AA594" s="87"/>
      <c r="AB594" s="87"/>
      <c r="AC594" s="87">
        <v>6</v>
      </c>
      <c r="AD594" s="87"/>
      <c r="AE594" s="87"/>
      <c r="AF594" s="87"/>
      <c r="AG594" s="87"/>
      <c r="AH594" s="87">
        <v>6</v>
      </c>
      <c r="AI594" s="87"/>
      <c r="AJ594" s="87"/>
      <c r="AK594" s="87"/>
      <c r="AL594" s="87"/>
      <c r="AM594" s="87"/>
      <c r="AN594" s="87"/>
      <c r="AO594" s="87"/>
      <c r="AP594" s="87">
        <v>9</v>
      </c>
      <c r="AQ594" s="87">
        <v>3</v>
      </c>
      <c r="AR594" s="87"/>
      <c r="AS594" s="87"/>
      <c r="AT594" s="87"/>
      <c r="AU594" s="87"/>
      <c r="AV594" s="87"/>
      <c r="AW594" s="88" t="str">
        <f>HYPERLINK("http://www.openstreetmap.org/?mlat=33.3079&amp;mlon=44.3532&amp;zoom=12#map=12/33.3079/44.3532","Maplink1")</f>
        <v>Maplink1</v>
      </c>
      <c r="AX594" s="88" t="str">
        <f>HYPERLINK("https://www.google.iq/maps/search/+33.3079,44.3532/@33.3079,44.3532,14z?hl=en","Maplink2")</f>
        <v>Maplink2</v>
      </c>
      <c r="AY594" s="88" t="str">
        <f>HYPERLINK("http://www.bing.com/maps/?lvl=14&amp;sty=h&amp;cp=33.3079~44.3532&amp;sp=point.33.3079_44.3532","Maplink3")</f>
        <v>Maplink3</v>
      </c>
      <c r="AZ594" s="76"/>
    </row>
    <row r="595" spans="1:52" x14ac:dyDescent="0.25">
      <c r="A595" s="86">
        <v>25930</v>
      </c>
      <c r="B595" s="87" t="s">
        <v>14</v>
      </c>
      <c r="C595" s="87" t="s">
        <v>1039</v>
      </c>
      <c r="D595" s="87" t="s">
        <v>1206</v>
      </c>
      <c r="E595" s="87" t="s">
        <v>1207</v>
      </c>
      <c r="F595" s="87">
        <v>33.315591642999998</v>
      </c>
      <c r="G595" s="87">
        <v>44.342054535400003</v>
      </c>
      <c r="H595" s="86">
        <v>11</v>
      </c>
      <c r="I595" s="86">
        <v>66</v>
      </c>
      <c r="J595" s="87">
        <v>7</v>
      </c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>
        <v>4</v>
      </c>
      <c r="W595" s="87"/>
      <c r="X595" s="87"/>
      <c r="Y595" s="87"/>
      <c r="Z595" s="87"/>
      <c r="AA595" s="87"/>
      <c r="AB595" s="87"/>
      <c r="AC595" s="87">
        <v>4</v>
      </c>
      <c r="AD595" s="87"/>
      <c r="AE595" s="87"/>
      <c r="AF595" s="87"/>
      <c r="AG595" s="87"/>
      <c r="AH595" s="87">
        <v>7</v>
      </c>
      <c r="AI595" s="87"/>
      <c r="AJ595" s="87"/>
      <c r="AK595" s="87"/>
      <c r="AL595" s="87"/>
      <c r="AM595" s="87"/>
      <c r="AN595" s="87"/>
      <c r="AO595" s="87">
        <v>7</v>
      </c>
      <c r="AP595" s="87">
        <v>4</v>
      </c>
      <c r="AQ595" s="87"/>
      <c r="AR595" s="87"/>
      <c r="AS595" s="87"/>
      <c r="AT595" s="87"/>
      <c r="AU595" s="87"/>
      <c r="AV595" s="87"/>
      <c r="AW595" s="88" t="str">
        <f>HYPERLINK("http://www.openstreetmap.org/?mlat=33.3156&amp;mlon=44.3421&amp;zoom=12#map=12/33.3156/44.3421","Maplink1")</f>
        <v>Maplink1</v>
      </c>
      <c r="AX595" s="88" t="str">
        <f>HYPERLINK("https://www.google.iq/maps/search/+33.3156,44.3421/@33.3156,44.3421,14z?hl=en","Maplink2")</f>
        <v>Maplink2</v>
      </c>
      <c r="AY595" s="88" t="str">
        <f>HYPERLINK("http://www.bing.com/maps/?lvl=14&amp;sty=h&amp;cp=33.3156~44.3421&amp;sp=point.33.3156_44.3421","Maplink3")</f>
        <v>Maplink3</v>
      </c>
      <c r="AZ595" s="76"/>
    </row>
    <row r="596" spans="1:52" x14ac:dyDescent="0.25">
      <c r="A596" s="86">
        <v>7584</v>
      </c>
      <c r="B596" s="87" t="s">
        <v>14</v>
      </c>
      <c r="C596" s="87" t="s">
        <v>1039</v>
      </c>
      <c r="D596" s="87" t="s">
        <v>1208</v>
      </c>
      <c r="E596" s="87" t="s">
        <v>1209</v>
      </c>
      <c r="F596" s="87">
        <v>33.241340495400003</v>
      </c>
      <c r="G596" s="87">
        <v>44.435927046499998</v>
      </c>
      <c r="H596" s="86">
        <v>22</v>
      </c>
      <c r="I596" s="86">
        <v>132</v>
      </c>
      <c r="J596" s="87">
        <v>18</v>
      </c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>
        <v>4</v>
      </c>
      <c r="W596" s="87"/>
      <c r="X596" s="87"/>
      <c r="Y596" s="87"/>
      <c r="Z596" s="87"/>
      <c r="AA596" s="87"/>
      <c r="AB596" s="87"/>
      <c r="AC596" s="87">
        <v>18</v>
      </c>
      <c r="AD596" s="87"/>
      <c r="AE596" s="87"/>
      <c r="AF596" s="87"/>
      <c r="AG596" s="87"/>
      <c r="AH596" s="87">
        <v>4</v>
      </c>
      <c r="AI596" s="87"/>
      <c r="AJ596" s="87"/>
      <c r="AK596" s="87"/>
      <c r="AL596" s="87"/>
      <c r="AM596" s="87"/>
      <c r="AN596" s="87">
        <v>4</v>
      </c>
      <c r="AO596" s="87">
        <v>14</v>
      </c>
      <c r="AP596" s="87"/>
      <c r="AQ596" s="87"/>
      <c r="AR596" s="87"/>
      <c r="AS596" s="87">
        <v>4</v>
      </c>
      <c r="AT596" s="87"/>
      <c r="AU596" s="87"/>
      <c r="AV596" s="87"/>
      <c r="AW596" s="88" t="str">
        <f>HYPERLINK("http://www.openstreetmap.org/?mlat=33.2413&amp;mlon=44.4359&amp;zoom=12#map=12/33.2413/44.4359","Maplink1")</f>
        <v>Maplink1</v>
      </c>
      <c r="AX596" s="88" t="str">
        <f>HYPERLINK("https://www.google.iq/maps/search/+33.2413,44.4359/@33.2413,44.4359,14z?hl=en","Maplink2")</f>
        <v>Maplink2</v>
      </c>
      <c r="AY596" s="88" t="str">
        <f>HYPERLINK("http://www.bing.com/maps/?lvl=14&amp;sty=h&amp;cp=33.2413~44.4359&amp;sp=point.33.2413_44.4359","Maplink3")</f>
        <v>Maplink3</v>
      </c>
      <c r="AZ596" s="76"/>
    </row>
    <row r="597" spans="1:52" x14ac:dyDescent="0.25">
      <c r="A597" s="86">
        <v>23733</v>
      </c>
      <c r="B597" s="87" t="s">
        <v>14</v>
      </c>
      <c r="C597" s="87" t="s">
        <v>1039</v>
      </c>
      <c r="D597" s="87" t="s">
        <v>1210</v>
      </c>
      <c r="E597" s="87" t="s">
        <v>1211</v>
      </c>
      <c r="F597" s="87">
        <v>33.194743957299998</v>
      </c>
      <c r="G597" s="87">
        <v>44.4708920904</v>
      </c>
      <c r="H597" s="86">
        <v>20</v>
      </c>
      <c r="I597" s="86">
        <v>120</v>
      </c>
      <c r="J597" s="87">
        <v>18</v>
      </c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>
        <v>2</v>
      </c>
      <c r="Y597" s="87"/>
      <c r="Z597" s="87"/>
      <c r="AA597" s="87"/>
      <c r="AB597" s="87"/>
      <c r="AC597" s="87">
        <v>7</v>
      </c>
      <c r="AD597" s="87"/>
      <c r="AE597" s="87"/>
      <c r="AF597" s="87"/>
      <c r="AG597" s="87"/>
      <c r="AH597" s="87">
        <v>8</v>
      </c>
      <c r="AI597" s="87">
        <v>5</v>
      </c>
      <c r="AJ597" s="87"/>
      <c r="AK597" s="87"/>
      <c r="AL597" s="87"/>
      <c r="AM597" s="87"/>
      <c r="AN597" s="87">
        <v>13</v>
      </c>
      <c r="AO597" s="87"/>
      <c r="AP597" s="87">
        <v>2</v>
      </c>
      <c r="AQ597" s="87">
        <v>4</v>
      </c>
      <c r="AR597" s="87">
        <v>1</v>
      </c>
      <c r="AS597" s="87"/>
      <c r="AT597" s="87"/>
      <c r="AU597" s="87"/>
      <c r="AV597" s="87"/>
      <c r="AW597" s="88" t="str">
        <f>HYPERLINK("http://www.openstreetmap.org/?mlat=33.1947&amp;mlon=44.4709&amp;zoom=12#map=12/33.1947/44.4709","Maplink1")</f>
        <v>Maplink1</v>
      </c>
      <c r="AX597" s="88" t="str">
        <f>HYPERLINK("https://www.google.iq/maps/search/+33.1947,44.4709/@33.1947,44.4709,14z?hl=en","Maplink2")</f>
        <v>Maplink2</v>
      </c>
      <c r="AY597" s="88" t="str">
        <f>HYPERLINK("http://www.bing.com/maps/?lvl=14&amp;sty=h&amp;cp=33.1947~44.4709&amp;sp=point.33.1947_44.4709","Maplink3")</f>
        <v>Maplink3</v>
      </c>
      <c r="AZ597" s="76"/>
    </row>
    <row r="598" spans="1:52" x14ac:dyDescent="0.25">
      <c r="A598" s="86">
        <v>24078</v>
      </c>
      <c r="B598" s="87" t="s">
        <v>14</v>
      </c>
      <c r="C598" s="87" t="s">
        <v>1039</v>
      </c>
      <c r="D598" s="87" t="s">
        <v>1212</v>
      </c>
      <c r="E598" s="87" t="s">
        <v>1213</v>
      </c>
      <c r="F598" s="87">
        <v>33.238928381100003</v>
      </c>
      <c r="G598" s="87">
        <v>44.404101853</v>
      </c>
      <c r="H598" s="86">
        <v>4</v>
      </c>
      <c r="I598" s="86">
        <v>24</v>
      </c>
      <c r="J598" s="87"/>
      <c r="K598" s="87"/>
      <c r="L598" s="87"/>
      <c r="M598" s="87"/>
      <c r="N598" s="87"/>
      <c r="O598" s="87">
        <v>2</v>
      </c>
      <c r="P598" s="87"/>
      <c r="Q598" s="87"/>
      <c r="R598" s="87"/>
      <c r="S598" s="87"/>
      <c r="T598" s="87"/>
      <c r="U598" s="87"/>
      <c r="V598" s="87">
        <v>2</v>
      </c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>
        <v>4</v>
      </c>
      <c r="AI598" s="87"/>
      <c r="AJ598" s="87"/>
      <c r="AK598" s="87"/>
      <c r="AL598" s="87"/>
      <c r="AM598" s="87"/>
      <c r="AN598" s="87"/>
      <c r="AO598" s="87">
        <v>2</v>
      </c>
      <c r="AP598" s="87"/>
      <c r="AQ598" s="87"/>
      <c r="AR598" s="87"/>
      <c r="AS598" s="87"/>
      <c r="AT598" s="87">
        <v>2</v>
      </c>
      <c r="AU598" s="87"/>
      <c r="AV598" s="87"/>
      <c r="AW598" s="88" t="str">
        <f>HYPERLINK("http://www.openstreetmap.org/?mlat=33.2389&amp;mlon=44.4041&amp;zoom=12#map=12/33.2389/44.4041","Maplink1")</f>
        <v>Maplink1</v>
      </c>
      <c r="AX598" s="88" t="str">
        <f>HYPERLINK("https://www.google.iq/maps/search/+33.2389,44.4041/@33.2389,44.4041,14z?hl=en","Maplink2")</f>
        <v>Maplink2</v>
      </c>
      <c r="AY598" s="88" t="str">
        <f>HYPERLINK("http://www.bing.com/maps/?lvl=14&amp;sty=h&amp;cp=33.2389~44.4041&amp;sp=point.33.2389_44.4041","Maplink3")</f>
        <v>Maplink3</v>
      </c>
      <c r="AZ598" s="76"/>
    </row>
    <row r="599" spans="1:52" x14ac:dyDescent="0.25">
      <c r="A599" s="86">
        <v>26039</v>
      </c>
      <c r="B599" s="87" t="s">
        <v>14</v>
      </c>
      <c r="C599" s="87" t="s">
        <v>1039</v>
      </c>
      <c r="D599" s="87" t="s">
        <v>1214</v>
      </c>
      <c r="E599" s="87" t="s">
        <v>1215</v>
      </c>
      <c r="F599" s="87">
        <v>33.300292359899998</v>
      </c>
      <c r="G599" s="87">
        <v>44.321875855099996</v>
      </c>
      <c r="H599" s="86">
        <v>16</v>
      </c>
      <c r="I599" s="86">
        <v>96</v>
      </c>
      <c r="J599" s="87">
        <v>11</v>
      </c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>
        <v>3</v>
      </c>
      <c r="W599" s="87"/>
      <c r="X599" s="87">
        <v>2</v>
      </c>
      <c r="Y599" s="87"/>
      <c r="Z599" s="87"/>
      <c r="AA599" s="87"/>
      <c r="AB599" s="87"/>
      <c r="AC599" s="87">
        <v>10</v>
      </c>
      <c r="AD599" s="87"/>
      <c r="AE599" s="87"/>
      <c r="AF599" s="87"/>
      <c r="AG599" s="87"/>
      <c r="AH599" s="87">
        <v>6</v>
      </c>
      <c r="AI599" s="87"/>
      <c r="AJ599" s="87"/>
      <c r="AK599" s="87"/>
      <c r="AL599" s="87"/>
      <c r="AM599" s="87"/>
      <c r="AN599" s="87"/>
      <c r="AO599" s="87"/>
      <c r="AP599" s="87">
        <v>11</v>
      </c>
      <c r="AQ599" s="87"/>
      <c r="AR599" s="87">
        <v>3</v>
      </c>
      <c r="AS599" s="87"/>
      <c r="AT599" s="87">
        <v>2</v>
      </c>
      <c r="AU599" s="87"/>
      <c r="AV599" s="87"/>
      <c r="AW599" s="88" t="str">
        <f>HYPERLINK("http://www.openstreetmap.org/?mlat=33.3003&amp;mlon=44.3219&amp;zoom=12#map=12/33.3003/44.3219","Maplink1")</f>
        <v>Maplink1</v>
      </c>
      <c r="AX599" s="88" t="str">
        <f>HYPERLINK("https://www.google.iq/maps/search/+33.3003,44.3219/@33.3003,44.3219,14z?hl=en","Maplink2")</f>
        <v>Maplink2</v>
      </c>
      <c r="AY599" s="88" t="str">
        <f>HYPERLINK("http://www.bing.com/maps/?lvl=14&amp;sty=h&amp;cp=33.3003~44.3219&amp;sp=point.33.3003_44.3219","Maplink3")</f>
        <v>Maplink3</v>
      </c>
      <c r="AZ599" s="76"/>
    </row>
    <row r="600" spans="1:52" x14ac:dyDescent="0.25">
      <c r="A600" s="86">
        <v>26038</v>
      </c>
      <c r="B600" s="87" t="s">
        <v>14</v>
      </c>
      <c r="C600" s="87" t="s">
        <v>1039</v>
      </c>
      <c r="D600" s="87" t="s">
        <v>1216</v>
      </c>
      <c r="E600" s="87" t="s">
        <v>1217</v>
      </c>
      <c r="F600" s="87">
        <v>33.303104624699998</v>
      </c>
      <c r="G600" s="87">
        <v>44.317963047200003</v>
      </c>
      <c r="H600" s="86">
        <v>20</v>
      </c>
      <c r="I600" s="86">
        <v>120</v>
      </c>
      <c r="J600" s="87">
        <v>14</v>
      </c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>
        <v>3</v>
      </c>
      <c r="W600" s="87"/>
      <c r="X600" s="87">
        <v>3</v>
      </c>
      <c r="Y600" s="87"/>
      <c r="Z600" s="87"/>
      <c r="AA600" s="87"/>
      <c r="AB600" s="87"/>
      <c r="AC600" s="87">
        <v>10</v>
      </c>
      <c r="AD600" s="87"/>
      <c r="AE600" s="87"/>
      <c r="AF600" s="87"/>
      <c r="AG600" s="87"/>
      <c r="AH600" s="87">
        <v>10</v>
      </c>
      <c r="AI600" s="87"/>
      <c r="AJ600" s="87"/>
      <c r="AK600" s="87"/>
      <c r="AL600" s="87"/>
      <c r="AM600" s="87"/>
      <c r="AN600" s="87"/>
      <c r="AO600" s="87">
        <v>14</v>
      </c>
      <c r="AP600" s="87"/>
      <c r="AQ600" s="87">
        <v>1</v>
      </c>
      <c r="AR600" s="87">
        <v>3</v>
      </c>
      <c r="AS600" s="87"/>
      <c r="AT600" s="87">
        <v>2</v>
      </c>
      <c r="AU600" s="87"/>
      <c r="AV600" s="87"/>
      <c r="AW600" s="88" t="str">
        <f>HYPERLINK("http://www.openstreetmap.org/?mlat=33.3031&amp;mlon=44.318&amp;zoom=12#map=12/33.3031/44.318","Maplink1")</f>
        <v>Maplink1</v>
      </c>
      <c r="AX600" s="88" t="str">
        <f>HYPERLINK("https://www.google.iq/maps/search/+33.3031,44.318/@33.3031,44.318,14z?hl=en","Maplink2")</f>
        <v>Maplink2</v>
      </c>
      <c r="AY600" s="88" t="str">
        <f>HYPERLINK("http://www.bing.com/maps/?lvl=14&amp;sty=h&amp;cp=33.3031~44.318&amp;sp=point.33.3031_44.318","Maplink3")</f>
        <v>Maplink3</v>
      </c>
      <c r="AZ600" s="76"/>
    </row>
    <row r="601" spans="1:52" x14ac:dyDescent="0.25">
      <c r="A601" s="86">
        <v>24066</v>
      </c>
      <c r="B601" s="87" t="s">
        <v>14</v>
      </c>
      <c r="C601" s="87" t="s">
        <v>1039</v>
      </c>
      <c r="D601" s="87" t="s">
        <v>1218</v>
      </c>
      <c r="E601" s="87" t="s">
        <v>1219</v>
      </c>
      <c r="F601" s="87">
        <v>33.336750175600002</v>
      </c>
      <c r="G601" s="87">
        <v>44.3149413266</v>
      </c>
      <c r="H601" s="86">
        <v>18</v>
      </c>
      <c r="I601" s="86">
        <v>108</v>
      </c>
      <c r="J601" s="87">
        <v>5</v>
      </c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>
        <v>10</v>
      </c>
      <c r="W601" s="87"/>
      <c r="X601" s="87">
        <v>3</v>
      </c>
      <c r="Y601" s="87"/>
      <c r="Z601" s="87"/>
      <c r="AA601" s="87"/>
      <c r="AB601" s="87"/>
      <c r="AC601" s="87">
        <v>7</v>
      </c>
      <c r="AD601" s="87"/>
      <c r="AE601" s="87"/>
      <c r="AF601" s="87"/>
      <c r="AG601" s="87"/>
      <c r="AH601" s="87">
        <v>11</v>
      </c>
      <c r="AI601" s="87"/>
      <c r="AJ601" s="87"/>
      <c r="AK601" s="87"/>
      <c r="AL601" s="87"/>
      <c r="AM601" s="87"/>
      <c r="AN601" s="87"/>
      <c r="AO601" s="87">
        <v>5</v>
      </c>
      <c r="AP601" s="87">
        <v>10</v>
      </c>
      <c r="AQ601" s="87">
        <v>3</v>
      </c>
      <c r="AR601" s="87"/>
      <c r="AS601" s="87"/>
      <c r="AT601" s="87"/>
      <c r="AU601" s="87"/>
      <c r="AV601" s="87"/>
      <c r="AW601" s="88" t="str">
        <f>HYPERLINK("http://www.openstreetmap.org/?mlat=33.3368&amp;mlon=44.3149&amp;zoom=12#map=12/33.3368/44.3149","Maplink1")</f>
        <v>Maplink1</v>
      </c>
      <c r="AX601" s="88" t="str">
        <f>HYPERLINK("https://www.google.iq/maps/search/+33.3368,44.3149/@33.3368,44.3149,14z?hl=en","Maplink2")</f>
        <v>Maplink2</v>
      </c>
      <c r="AY601" s="88" t="str">
        <f>HYPERLINK("http://www.bing.com/maps/?lvl=14&amp;sty=h&amp;cp=33.3368~44.3149&amp;sp=point.33.3368_44.3149","Maplink3")</f>
        <v>Maplink3</v>
      </c>
      <c r="AZ601" s="76"/>
    </row>
    <row r="602" spans="1:52" x14ac:dyDescent="0.25">
      <c r="A602" s="86">
        <v>24067</v>
      </c>
      <c r="B602" s="87" t="s">
        <v>14</v>
      </c>
      <c r="C602" s="87" t="s">
        <v>1039</v>
      </c>
      <c r="D602" s="87" t="s">
        <v>1220</v>
      </c>
      <c r="E602" s="87" t="s">
        <v>1221</v>
      </c>
      <c r="F602" s="87">
        <v>33.331025944799997</v>
      </c>
      <c r="G602" s="87">
        <v>44.312203012399998</v>
      </c>
      <c r="H602" s="86">
        <v>13</v>
      </c>
      <c r="I602" s="86">
        <v>78</v>
      </c>
      <c r="J602" s="87">
        <v>7</v>
      </c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>
        <v>6</v>
      </c>
      <c r="W602" s="87"/>
      <c r="X602" s="87"/>
      <c r="Y602" s="87"/>
      <c r="Z602" s="87"/>
      <c r="AA602" s="87"/>
      <c r="AB602" s="87"/>
      <c r="AC602" s="87">
        <v>5</v>
      </c>
      <c r="AD602" s="87"/>
      <c r="AE602" s="87"/>
      <c r="AF602" s="87"/>
      <c r="AG602" s="87"/>
      <c r="AH602" s="87">
        <v>8</v>
      </c>
      <c r="AI602" s="87"/>
      <c r="AJ602" s="87"/>
      <c r="AK602" s="87"/>
      <c r="AL602" s="87"/>
      <c r="AM602" s="87"/>
      <c r="AN602" s="87">
        <v>7</v>
      </c>
      <c r="AO602" s="87">
        <v>6</v>
      </c>
      <c r="AP602" s="87"/>
      <c r="AQ602" s="87"/>
      <c r="AR602" s="87"/>
      <c r="AS602" s="87"/>
      <c r="AT602" s="87"/>
      <c r="AU602" s="87"/>
      <c r="AV602" s="87"/>
      <c r="AW602" s="88" t="str">
        <f>HYPERLINK("http://www.openstreetmap.org/?mlat=33.331&amp;mlon=44.3122&amp;zoom=12#map=12/33.331/44.3122","Maplink1")</f>
        <v>Maplink1</v>
      </c>
      <c r="AX602" s="88" t="str">
        <f>HYPERLINK("https://www.google.iq/maps/search/+33.331,44.3122/@33.331,44.3122,14z?hl=en","Maplink2")</f>
        <v>Maplink2</v>
      </c>
      <c r="AY602" s="88" t="str">
        <f>HYPERLINK("http://www.bing.com/maps/?lvl=14&amp;sty=h&amp;cp=33.331~44.3122&amp;sp=point.33.331_44.3122","Maplink3")</f>
        <v>Maplink3</v>
      </c>
      <c r="AZ602" s="76"/>
    </row>
    <row r="603" spans="1:52" x14ac:dyDescent="0.25">
      <c r="A603" s="86">
        <v>23506</v>
      </c>
      <c r="B603" s="87" t="s">
        <v>14</v>
      </c>
      <c r="C603" s="87" t="s">
        <v>1039</v>
      </c>
      <c r="D603" s="87" t="s">
        <v>1222</v>
      </c>
      <c r="E603" s="87" t="s">
        <v>1223</v>
      </c>
      <c r="F603" s="87">
        <v>33.282631714099999</v>
      </c>
      <c r="G603" s="87">
        <v>44.338553422399997</v>
      </c>
      <c r="H603" s="86">
        <v>5</v>
      </c>
      <c r="I603" s="86">
        <v>30</v>
      </c>
      <c r="J603" s="87">
        <v>2</v>
      </c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>
        <v>3</v>
      </c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>
        <v>5</v>
      </c>
      <c r="AI603" s="87"/>
      <c r="AJ603" s="87"/>
      <c r="AK603" s="87"/>
      <c r="AL603" s="87"/>
      <c r="AM603" s="87"/>
      <c r="AN603" s="87">
        <v>1</v>
      </c>
      <c r="AO603" s="87">
        <v>4</v>
      </c>
      <c r="AP603" s="87"/>
      <c r="AQ603" s="87"/>
      <c r="AR603" s="87"/>
      <c r="AS603" s="87"/>
      <c r="AT603" s="87"/>
      <c r="AU603" s="87"/>
      <c r="AV603" s="87"/>
      <c r="AW603" s="88" t="str">
        <f>HYPERLINK("http://www.openstreetmap.org/?mlat=33.2826&amp;mlon=44.3386&amp;zoom=12#map=12/33.2826/44.3386","Maplink1")</f>
        <v>Maplink1</v>
      </c>
      <c r="AX603" s="88" t="str">
        <f>HYPERLINK("https://www.google.iq/maps/search/+33.2826,44.3386/@33.2826,44.3386,14z?hl=en","Maplink2")</f>
        <v>Maplink2</v>
      </c>
      <c r="AY603" s="88" t="str">
        <f>HYPERLINK("http://www.bing.com/maps/?lvl=14&amp;sty=h&amp;cp=33.2826~44.3386&amp;sp=point.33.2826_44.3386","Maplink3")</f>
        <v>Maplink3</v>
      </c>
      <c r="AZ603" s="76"/>
    </row>
    <row r="604" spans="1:52" x14ac:dyDescent="0.25">
      <c r="A604" s="86">
        <v>23507</v>
      </c>
      <c r="B604" s="87" t="s">
        <v>14</v>
      </c>
      <c r="C604" s="87" t="s">
        <v>1039</v>
      </c>
      <c r="D604" s="87" t="s">
        <v>1224</v>
      </c>
      <c r="E604" s="87" t="s">
        <v>1225</v>
      </c>
      <c r="F604" s="87">
        <v>33.272868756199998</v>
      </c>
      <c r="G604" s="87">
        <v>44.323442856600003</v>
      </c>
      <c r="H604" s="86">
        <v>4</v>
      </c>
      <c r="I604" s="86">
        <v>24</v>
      </c>
      <c r="J604" s="87">
        <v>2</v>
      </c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>
        <v>2</v>
      </c>
      <c r="W604" s="87"/>
      <c r="X604" s="87"/>
      <c r="Y604" s="87"/>
      <c r="Z604" s="87"/>
      <c r="AA604" s="87"/>
      <c r="AB604" s="87"/>
      <c r="AC604" s="87">
        <v>2</v>
      </c>
      <c r="AD604" s="87"/>
      <c r="AE604" s="87"/>
      <c r="AF604" s="87"/>
      <c r="AG604" s="87"/>
      <c r="AH604" s="87">
        <v>2</v>
      </c>
      <c r="AI604" s="87"/>
      <c r="AJ604" s="87"/>
      <c r="AK604" s="87"/>
      <c r="AL604" s="87"/>
      <c r="AM604" s="87"/>
      <c r="AN604" s="87"/>
      <c r="AO604" s="87">
        <v>4</v>
      </c>
      <c r="AP604" s="87"/>
      <c r="AQ604" s="87"/>
      <c r="AR604" s="87"/>
      <c r="AS604" s="87"/>
      <c r="AT604" s="87"/>
      <c r="AU604" s="87"/>
      <c r="AV604" s="87"/>
      <c r="AW604" s="88" t="str">
        <f>HYPERLINK("http://www.openstreetmap.org/?mlat=33.2729&amp;mlon=44.3234&amp;zoom=12#map=12/33.2729/44.3234","Maplink1")</f>
        <v>Maplink1</v>
      </c>
      <c r="AX604" s="88" t="str">
        <f>HYPERLINK("https://www.google.iq/maps/search/+33.2729,44.3234/@33.2729,44.3234,14z?hl=en","Maplink2")</f>
        <v>Maplink2</v>
      </c>
      <c r="AY604" s="88" t="str">
        <f>HYPERLINK("http://www.bing.com/maps/?lvl=14&amp;sty=h&amp;cp=33.2729~44.3234&amp;sp=point.33.2729_44.3234","Maplink3")</f>
        <v>Maplink3</v>
      </c>
      <c r="AZ604" s="76"/>
    </row>
    <row r="605" spans="1:52" x14ac:dyDescent="0.25">
      <c r="A605" s="86">
        <v>23324</v>
      </c>
      <c r="B605" s="87" t="s">
        <v>14</v>
      </c>
      <c r="C605" s="87" t="s">
        <v>1039</v>
      </c>
      <c r="D605" s="87" t="s">
        <v>1226</v>
      </c>
      <c r="E605" s="87" t="s">
        <v>1227</v>
      </c>
      <c r="F605" s="87">
        <v>33.287634351900003</v>
      </c>
      <c r="G605" s="87">
        <v>44.318689191499999</v>
      </c>
      <c r="H605" s="86">
        <v>4</v>
      </c>
      <c r="I605" s="86">
        <v>24</v>
      </c>
      <c r="J605" s="87"/>
      <c r="K605" s="87">
        <v>1</v>
      </c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>
        <v>2</v>
      </c>
      <c r="W605" s="87"/>
      <c r="X605" s="87">
        <v>1</v>
      </c>
      <c r="Y605" s="87"/>
      <c r="Z605" s="87"/>
      <c r="AA605" s="87"/>
      <c r="AB605" s="87"/>
      <c r="AC605" s="87">
        <v>2</v>
      </c>
      <c r="AD605" s="87"/>
      <c r="AE605" s="87"/>
      <c r="AF605" s="87"/>
      <c r="AG605" s="87"/>
      <c r="AH605" s="87">
        <v>2</v>
      </c>
      <c r="AI605" s="87"/>
      <c r="AJ605" s="87"/>
      <c r="AK605" s="87"/>
      <c r="AL605" s="87"/>
      <c r="AM605" s="87"/>
      <c r="AN605" s="87"/>
      <c r="AO605" s="87">
        <v>4</v>
      </c>
      <c r="AP605" s="87"/>
      <c r="AQ605" s="87"/>
      <c r="AR605" s="87"/>
      <c r="AS605" s="87"/>
      <c r="AT605" s="87"/>
      <c r="AU605" s="87"/>
      <c r="AV605" s="87"/>
      <c r="AW605" s="88" t="str">
        <f>HYPERLINK("http://www.openstreetmap.org/?mlat=33.2876&amp;mlon=44.3187&amp;zoom=12#map=12/33.2876/44.3187","Maplink1")</f>
        <v>Maplink1</v>
      </c>
      <c r="AX605" s="88" t="str">
        <f>HYPERLINK("https://www.google.iq/maps/search/+33.2876,44.3187/@33.2876,44.3187,14z?hl=en","Maplink2")</f>
        <v>Maplink2</v>
      </c>
      <c r="AY605" s="88" t="str">
        <f>HYPERLINK("http://www.bing.com/maps/?lvl=14&amp;sty=h&amp;cp=33.2876~44.3187&amp;sp=point.33.2876_44.3187","Maplink3")</f>
        <v>Maplink3</v>
      </c>
      <c r="AZ605" s="76"/>
    </row>
    <row r="606" spans="1:52" x14ac:dyDescent="0.25">
      <c r="A606" s="86">
        <v>23284</v>
      </c>
      <c r="B606" s="87" t="s">
        <v>14</v>
      </c>
      <c r="C606" s="87" t="s">
        <v>1039</v>
      </c>
      <c r="D606" s="87" t="s">
        <v>1228</v>
      </c>
      <c r="E606" s="87" t="s">
        <v>1229</v>
      </c>
      <c r="F606" s="87">
        <v>33.287124030000001</v>
      </c>
      <c r="G606" s="87">
        <v>44.324531975500001</v>
      </c>
      <c r="H606" s="86">
        <v>4</v>
      </c>
      <c r="I606" s="86">
        <v>24</v>
      </c>
      <c r="J606" s="87"/>
      <c r="K606" s="87"/>
      <c r="L606" s="87"/>
      <c r="M606" s="87"/>
      <c r="N606" s="87"/>
      <c r="O606" s="87">
        <v>2</v>
      </c>
      <c r="P606" s="87"/>
      <c r="Q606" s="87"/>
      <c r="R606" s="87"/>
      <c r="S606" s="87"/>
      <c r="T606" s="87"/>
      <c r="U606" s="87"/>
      <c r="V606" s="87">
        <v>2</v>
      </c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>
        <v>4</v>
      </c>
      <c r="AI606" s="87"/>
      <c r="AJ606" s="87"/>
      <c r="AK606" s="87"/>
      <c r="AL606" s="87"/>
      <c r="AM606" s="87"/>
      <c r="AN606" s="87"/>
      <c r="AO606" s="87">
        <v>2</v>
      </c>
      <c r="AP606" s="87"/>
      <c r="AQ606" s="87">
        <v>2</v>
      </c>
      <c r="AR606" s="87"/>
      <c r="AS606" s="87"/>
      <c r="AT606" s="87"/>
      <c r="AU606" s="87"/>
      <c r="AV606" s="87"/>
      <c r="AW606" s="88" t="str">
        <f>HYPERLINK("http://www.openstreetmap.org/?mlat=33.2871&amp;mlon=44.3245&amp;zoom=12#map=12/33.2871/44.3245","Maplink1")</f>
        <v>Maplink1</v>
      </c>
      <c r="AX606" s="88" t="str">
        <f>HYPERLINK("https://www.google.iq/maps/search/+33.2871,44.3245/@33.2871,44.3245,14z?hl=en","Maplink2")</f>
        <v>Maplink2</v>
      </c>
      <c r="AY606" s="88" t="str">
        <f>HYPERLINK("http://www.bing.com/maps/?lvl=14&amp;sty=h&amp;cp=33.2871~44.3245&amp;sp=point.33.2871_44.3245","Maplink3")</f>
        <v>Maplink3</v>
      </c>
      <c r="AZ606" s="76"/>
    </row>
    <row r="607" spans="1:52" x14ac:dyDescent="0.25">
      <c r="A607" s="86">
        <v>25203</v>
      </c>
      <c r="B607" s="87" t="s">
        <v>14</v>
      </c>
      <c r="C607" s="87" t="s">
        <v>1039</v>
      </c>
      <c r="D607" s="87" t="s">
        <v>1230</v>
      </c>
      <c r="E607" s="87" t="s">
        <v>1231</v>
      </c>
      <c r="F607" s="87">
        <v>33.281337348699999</v>
      </c>
      <c r="G607" s="87">
        <v>44.320533852099999</v>
      </c>
      <c r="H607" s="86">
        <v>4</v>
      </c>
      <c r="I607" s="86">
        <v>24</v>
      </c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>
        <v>4</v>
      </c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>
        <v>4</v>
      </c>
      <c r="AI607" s="87"/>
      <c r="AJ607" s="87"/>
      <c r="AK607" s="87"/>
      <c r="AL607" s="87"/>
      <c r="AM607" s="87"/>
      <c r="AN607" s="87"/>
      <c r="AO607" s="87">
        <v>4</v>
      </c>
      <c r="AP607" s="87"/>
      <c r="AQ607" s="87"/>
      <c r="AR607" s="87"/>
      <c r="AS607" s="87"/>
      <c r="AT607" s="87"/>
      <c r="AU607" s="87"/>
      <c r="AV607" s="87"/>
      <c r="AW607" s="88" t="str">
        <f>HYPERLINK("http://www.openstreetmap.org/?mlat=33.2813&amp;mlon=44.3205&amp;zoom=12#map=12/33.2813/44.3205","Maplink1")</f>
        <v>Maplink1</v>
      </c>
      <c r="AX607" s="88" t="str">
        <f>HYPERLINK("https://www.google.iq/maps/search/+33.2813,44.3205/@33.2813,44.3205,14z?hl=en","Maplink2")</f>
        <v>Maplink2</v>
      </c>
      <c r="AY607" s="88" t="str">
        <f>HYPERLINK("http://www.bing.com/maps/?lvl=14&amp;sty=h&amp;cp=33.2813~44.3205&amp;sp=point.33.2813_44.3205","Maplink3")</f>
        <v>Maplink3</v>
      </c>
      <c r="AZ607" s="76"/>
    </row>
    <row r="608" spans="1:52" x14ac:dyDescent="0.25">
      <c r="A608" s="86">
        <v>25204</v>
      </c>
      <c r="B608" s="87" t="s">
        <v>14</v>
      </c>
      <c r="C608" s="87" t="s">
        <v>1039</v>
      </c>
      <c r="D608" s="87" t="s">
        <v>1232</v>
      </c>
      <c r="E608" s="87" t="s">
        <v>1233</v>
      </c>
      <c r="F608" s="87">
        <v>33.276003291999999</v>
      </c>
      <c r="G608" s="87">
        <v>44.331515929200002</v>
      </c>
      <c r="H608" s="86">
        <v>4</v>
      </c>
      <c r="I608" s="86">
        <v>24</v>
      </c>
      <c r="J608" s="87">
        <v>1</v>
      </c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>
        <v>2</v>
      </c>
      <c r="W608" s="87"/>
      <c r="X608" s="87">
        <v>1</v>
      </c>
      <c r="Y608" s="87"/>
      <c r="Z608" s="87"/>
      <c r="AA608" s="87"/>
      <c r="AB608" s="87"/>
      <c r="AC608" s="87"/>
      <c r="AD608" s="87"/>
      <c r="AE608" s="87"/>
      <c r="AF608" s="87"/>
      <c r="AG608" s="87"/>
      <c r="AH608" s="87">
        <v>4</v>
      </c>
      <c r="AI608" s="87"/>
      <c r="AJ608" s="87"/>
      <c r="AK608" s="87"/>
      <c r="AL608" s="87"/>
      <c r="AM608" s="87"/>
      <c r="AN608" s="87"/>
      <c r="AO608" s="87"/>
      <c r="AP608" s="87">
        <v>3</v>
      </c>
      <c r="AQ608" s="87">
        <v>1</v>
      </c>
      <c r="AR608" s="87"/>
      <c r="AS608" s="87"/>
      <c r="AT608" s="87"/>
      <c r="AU608" s="87"/>
      <c r="AV608" s="87"/>
      <c r="AW608" s="88" t="str">
        <f>HYPERLINK("http://www.openstreetmap.org/?mlat=33.276&amp;mlon=44.3315&amp;zoom=12#map=12/33.276/44.3315","Maplink1")</f>
        <v>Maplink1</v>
      </c>
      <c r="AX608" s="88" t="str">
        <f>HYPERLINK("https://www.google.iq/maps/search/+33.276,44.3315/@33.276,44.3315,14z?hl=en","Maplink2")</f>
        <v>Maplink2</v>
      </c>
      <c r="AY608" s="88" t="str">
        <f>HYPERLINK("http://www.bing.com/maps/?lvl=14&amp;sty=h&amp;cp=33.276~44.3315&amp;sp=point.33.276_44.3315","Maplink3")</f>
        <v>Maplink3</v>
      </c>
      <c r="AZ608" s="76"/>
    </row>
    <row r="609" spans="1:52" x14ac:dyDescent="0.25">
      <c r="A609" s="86">
        <v>23285</v>
      </c>
      <c r="B609" s="87" t="s">
        <v>14</v>
      </c>
      <c r="C609" s="87" t="s">
        <v>1039</v>
      </c>
      <c r="D609" s="87" t="s">
        <v>1234</v>
      </c>
      <c r="E609" s="87" t="s">
        <v>1235</v>
      </c>
      <c r="F609" s="87">
        <v>33.272457860000003</v>
      </c>
      <c r="G609" s="87">
        <v>44.332487533799998</v>
      </c>
      <c r="H609" s="86">
        <v>4</v>
      </c>
      <c r="I609" s="86">
        <v>24</v>
      </c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>
        <v>4</v>
      </c>
      <c r="W609" s="87"/>
      <c r="X609" s="87"/>
      <c r="Y609" s="87"/>
      <c r="Z609" s="87"/>
      <c r="AA609" s="87"/>
      <c r="AB609" s="87"/>
      <c r="AC609" s="87">
        <v>2</v>
      </c>
      <c r="AD609" s="87"/>
      <c r="AE609" s="87"/>
      <c r="AF609" s="87"/>
      <c r="AG609" s="87"/>
      <c r="AH609" s="87">
        <v>2</v>
      </c>
      <c r="AI609" s="87"/>
      <c r="AJ609" s="87"/>
      <c r="AK609" s="87"/>
      <c r="AL609" s="87"/>
      <c r="AM609" s="87"/>
      <c r="AN609" s="87"/>
      <c r="AO609" s="87">
        <v>4</v>
      </c>
      <c r="AP609" s="87"/>
      <c r="AQ609" s="87"/>
      <c r="AR609" s="87"/>
      <c r="AS609" s="87"/>
      <c r="AT609" s="87"/>
      <c r="AU609" s="87"/>
      <c r="AV609" s="87"/>
      <c r="AW609" s="88" t="str">
        <f>HYPERLINK("http://www.openstreetmap.org/?mlat=33.2725&amp;mlon=44.3325&amp;zoom=12#map=12/33.2725/44.3325","Maplink1")</f>
        <v>Maplink1</v>
      </c>
      <c r="AX609" s="88" t="str">
        <f>HYPERLINK("https://www.google.iq/maps/search/+33.2725,44.3325/@33.2725,44.3325,14z?hl=en","Maplink2")</f>
        <v>Maplink2</v>
      </c>
      <c r="AY609" s="88" t="str">
        <f>HYPERLINK("http://www.bing.com/maps/?lvl=14&amp;sty=h&amp;cp=33.2725~44.3325&amp;sp=point.33.2725_44.3325","Maplink3")</f>
        <v>Maplink3</v>
      </c>
      <c r="AZ609" s="76"/>
    </row>
    <row r="610" spans="1:52" x14ac:dyDescent="0.25">
      <c r="A610" s="86">
        <v>25205</v>
      </c>
      <c r="B610" s="87" t="s">
        <v>14</v>
      </c>
      <c r="C610" s="87" t="s">
        <v>1039</v>
      </c>
      <c r="D610" s="87" t="s">
        <v>1236</v>
      </c>
      <c r="E610" s="87" t="s">
        <v>1237</v>
      </c>
      <c r="F610" s="87">
        <v>33.271034145800002</v>
      </c>
      <c r="G610" s="87">
        <v>44.334159005099998</v>
      </c>
      <c r="H610" s="86">
        <v>3</v>
      </c>
      <c r="I610" s="86">
        <v>18</v>
      </c>
      <c r="J610" s="87">
        <v>1</v>
      </c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>
        <v>2</v>
      </c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>
        <v>3</v>
      </c>
      <c r="AI610" s="87"/>
      <c r="AJ610" s="87"/>
      <c r="AK610" s="87"/>
      <c r="AL610" s="87"/>
      <c r="AM610" s="87"/>
      <c r="AN610" s="87"/>
      <c r="AO610" s="87"/>
      <c r="AP610" s="87"/>
      <c r="AQ610" s="87">
        <v>2</v>
      </c>
      <c r="AR610" s="87">
        <v>1</v>
      </c>
      <c r="AS610" s="87"/>
      <c r="AT610" s="87"/>
      <c r="AU610" s="87"/>
      <c r="AV610" s="87"/>
      <c r="AW610" s="88" t="str">
        <f>HYPERLINK("http://www.openstreetmap.org/?mlat=33.271&amp;mlon=44.3342&amp;zoom=12#map=12/33.271/44.3342","Maplink1")</f>
        <v>Maplink1</v>
      </c>
      <c r="AX610" s="88" t="str">
        <f>HYPERLINK("https://www.google.iq/maps/search/+33.271,44.3342/@33.271,44.3342,14z?hl=en","Maplink2")</f>
        <v>Maplink2</v>
      </c>
      <c r="AY610" s="88" t="str">
        <f>HYPERLINK("http://www.bing.com/maps/?lvl=14&amp;sty=h&amp;cp=33.271~44.3342&amp;sp=point.33.271_44.3342","Maplink3")</f>
        <v>Maplink3</v>
      </c>
      <c r="AZ610" s="76"/>
    </row>
    <row r="611" spans="1:52" x14ac:dyDescent="0.25">
      <c r="A611" s="86">
        <v>7640</v>
      </c>
      <c r="B611" s="87" t="s">
        <v>14</v>
      </c>
      <c r="C611" s="87" t="s">
        <v>1039</v>
      </c>
      <c r="D611" s="87" t="s">
        <v>1238</v>
      </c>
      <c r="E611" s="87" t="s">
        <v>1239</v>
      </c>
      <c r="F611" s="87">
        <v>33.252481272099999</v>
      </c>
      <c r="G611" s="87">
        <v>44.423338281500001</v>
      </c>
      <c r="H611" s="86">
        <v>31</v>
      </c>
      <c r="I611" s="86">
        <v>186</v>
      </c>
      <c r="J611" s="87">
        <v>21</v>
      </c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>
        <v>8</v>
      </c>
      <c r="W611" s="87"/>
      <c r="X611" s="87">
        <v>2</v>
      </c>
      <c r="Y611" s="87"/>
      <c r="Z611" s="87"/>
      <c r="AA611" s="87"/>
      <c r="AB611" s="87"/>
      <c r="AC611" s="87">
        <v>14</v>
      </c>
      <c r="AD611" s="87"/>
      <c r="AE611" s="87"/>
      <c r="AF611" s="87"/>
      <c r="AG611" s="87"/>
      <c r="AH611" s="87">
        <v>17</v>
      </c>
      <c r="AI611" s="87"/>
      <c r="AJ611" s="87"/>
      <c r="AK611" s="87"/>
      <c r="AL611" s="87"/>
      <c r="AM611" s="87"/>
      <c r="AN611" s="87">
        <v>8</v>
      </c>
      <c r="AO611" s="87">
        <v>11</v>
      </c>
      <c r="AP611" s="87"/>
      <c r="AQ611" s="87">
        <v>2</v>
      </c>
      <c r="AR611" s="87">
        <v>2</v>
      </c>
      <c r="AS611" s="87"/>
      <c r="AT611" s="87">
        <v>8</v>
      </c>
      <c r="AU611" s="87"/>
      <c r="AV611" s="87"/>
      <c r="AW611" s="88" t="str">
        <f>HYPERLINK("http://www.openstreetmap.org/?mlat=33.2525&amp;mlon=44.4233&amp;zoom=12#map=12/33.2525/44.4233","Maplink1")</f>
        <v>Maplink1</v>
      </c>
      <c r="AX611" s="88" t="str">
        <f>HYPERLINK("https://www.google.iq/maps/search/+33.2525,44.4233/@33.2525,44.4233,14z?hl=en","Maplink2")</f>
        <v>Maplink2</v>
      </c>
      <c r="AY611" s="88" t="str">
        <f>HYPERLINK("http://www.bing.com/maps/?lvl=14&amp;sty=h&amp;cp=33.2525~44.4233&amp;sp=point.33.2525_44.4233","Maplink3")</f>
        <v>Maplink3</v>
      </c>
      <c r="AZ611" s="76"/>
    </row>
    <row r="612" spans="1:52" x14ac:dyDescent="0.25">
      <c r="A612" s="86">
        <v>27412</v>
      </c>
      <c r="B612" s="87" t="s">
        <v>14</v>
      </c>
      <c r="C612" s="87" t="s">
        <v>1039</v>
      </c>
      <c r="D612" s="87" t="s">
        <v>1240</v>
      </c>
      <c r="E612" s="87" t="s">
        <v>1241</v>
      </c>
      <c r="F612" s="87">
        <v>33.257251218999997</v>
      </c>
      <c r="G612" s="87">
        <v>44.296594092100001</v>
      </c>
      <c r="H612" s="86">
        <v>11</v>
      </c>
      <c r="I612" s="86">
        <v>66</v>
      </c>
      <c r="J612" s="87">
        <v>2</v>
      </c>
      <c r="K612" s="87">
        <v>1</v>
      </c>
      <c r="L612" s="87"/>
      <c r="M612" s="87"/>
      <c r="N612" s="87"/>
      <c r="O612" s="87">
        <v>1</v>
      </c>
      <c r="P612" s="87"/>
      <c r="Q612" s="87"/>
      <c r="R612" s="87"/>
      <c r="S612" s="87"/>
      <c r="T612" s="87"/>
      <c r="U612" s="87"/>
      <c r="V612" s="87">
        <v>5</v>
      </c>
      <c r="W612" s="87"/>
      <c r="X612" s="87">
        <v>2</v>
      </c>
      <c r="Y612" s="87"/>
      <c r="Z612" s="87"/>
      <c r="AA612" s="87"/>
      <c r="AB612" s="87"/>
      <c r="AC612" s="87">
        <v>4</v>
      </c>
      <c r="AD612" s="87"/>
      <c r="AE612" s="87"/>
      <c r="AF612" s="87"/>
      <c r="AG612" s="87"/>
      <c r="AH612" s="87">
        <v>7</v>
      </c>
      <c r="AI612" s="87"/>
      <c r="AJ612" s="87"/>
      <c r="AK612" s="87"/>
      <c r="AL612" s="87"/>
      <c r="AM612" s="87"/>
      <c r="AN612" s="87"/>
      <c r="AO612" s="87"/>
      <c r="AP612" s="87">
        <v>5</v>
      </c>
      <c r="AQ612" s="87">
        <v>4</v>
      </c>
      <c r="AR612" s="87">
        <v>2</v>
      </c>
      <c r="AS612" s="87"/>
      <c r="AT612" s="87"/>
      <c r="AU612" s="87"/>
      <c r="AV612" s="87"/>
      <c r="AW612" s="88" t="str">
        <f>HYPERLINK("http://www.openstreetmap.org/?mlat=33.2573&amp;mlon=44.2966&amp;zoom=12#map=12/33.2573/44.2966","Maplink1")</f>
        <v>Maplink1</v>
      </c>
      <c r="AX612" s="88" t="str">
        <f>HYPERLINK("https://www.google.iq/maps/search/+33.2573,44.2966/@33.2573,44.2966,14z?hl=en","Maplink2")</f>
        <v>Maplink2</v>
      </c>
      <c r="AY612" s="88" t="str">
        <f>HYPERLINK("http://www.bing.com/maps/?lvl=14&amp;sty=h&amp;cp=33.2573~44.2966&amp;sp=point.33.2573_44.2966","Maplink3")</f>
        <v>Maplink3</v>
      </c>
      <c r="AZ612" s="76"/>
    </row>
    <row r="613" spans="1:52" x14ac:dyDescent="0.25">
      <c r="A613" s="86">
        <v>26100</v>
      </c>
      <c r="B613" s="87" t="s">
        <v>14</v>
      </c>
      <c r="C613" s="87" t="s">
        <v>1039</v>
      </c>
      <c r="D613" s="87" t="s">
        <v>1242</v>
      </c>
      <c r="E613" s="87" t="s">
        <v>1243</v>
      </c>
      <c r="F613" s="87">
        <v>33.281126896400004</v>
      </c>
      <c r="G613" s="87">
        <v>44.298101306500001</v>
      </c>
      <c r="H613" s="86">
        <v>16</v>
      </c>
      <c r="I613" s="86">
        <v>96</v>
      </c>
      <c r="J613" s="87">
        <v>7</v>
      </c>
      <c r="K613" s="87"/>
      <c r="L613" s="87"/>
      <c r="M613" s="87"/>
      <c r="N613" s="87"/>
      <c r="O613" s="87">
        <v>3</v>
      </c>
      <c r="P613" s="87"/>
      <c r="Q613" s="87"/>
      <c r="R613" s="87"/>
      <c r="S613" s="87"/>
      <c r="T613" s="87"/>
      <c r="U613" s="87"/>
      <c r="V613" s="87">
        <v>6</v>
      </c>
      <c r="W613" s="87"/>
      <c r="X613" s="87"/>
      <c r="Y613" s="87"/>
      <c r="Z613" s="87"/>
      <c r="AA613" s="87"/>
      <c r="AB613" s="87"/>
      <c r="AC613" s="87">
        <v>9</v>
      </c>
      <c r="AD613" s="87"/>
      <c r="AE613" s="87"/>
      <c r="AF613" s="87"/>
      <c r="AG613" s="87"/>
      <c r="AH613" s="87">
        <v>7</v>
      </c>
      <c r="AI613" s="87"/>
      <c r="AJ613" s="87"/>
      <c r="AK613" s="87"/>
      <c r="AL613" s="87"/>
      <c r="AM613" s="87"/>
      <c r="AN613" s="87">
        <v>5</v>
      </c>
      <c r="AO613" s="87"/>
      <c r="AP613" s="87">
        <v>9</v>
      </c>
      <c r="AQ613" s="87"/>
      <c r="AR613" s="87"/>
      <c r="AS613" s="87"/>
      <c r="AT613" s="87">
        <v>2</v>
      </c>
      <c r="AU613" s="87"/>
      <c r="AV613" s="87"/>
      <c r="AW613" s="88" t="str">
        <f>HYPERLINK("http://www.openstreetmap.org/?mlat=33.2811&amp;mlon=44.2981&amp;zoom=12#map=12/33.2811/44.2981","Maplink1")</f>
        <v>Maplink1</v>
      </c>
      <c r="AX613" s="88" t="str">
        <f>HYPERLINK("https://www.google.iq/maps/search/+33.2811,44.2981/@33.2811,44.2981,14z?hl=en","Maplink2")</f>
        <v>Maplink2</v>
      </c>
      <c r="AY613" s="88" t="str">
        <f>HYPERLINK("http://www.bing.com/maps/?lvl=14&amp;sty=h&amp;cp=33.2811~44.2981&amp;sp=point.33.2811_44.2981","Maplink3")</f>
        <v>Maplink3</v>
      </c>
      <c r="AZ613" s="76"/>
    </row>
    <row r="614" spans="1:52" x14ac:dyDescent="0.25">
      <c r="A614" s="86">
        <v>21989</v>
      </c>
      <c r="B614" s="87" t="s">
        <v>14</v>
      </c>
      <c r="C614" s="87" t="s">
        <v>1039</v>
      </c>
      <c r="D614" s="87" t="s">
        <v>1244</v>
      </c>
      <c r="E614" s="87" t="s">
        <v>1245</v>
      </c>
      <c r="F614" s="87">
        <v>33.279267476699999</v>
      </c>
      <c r="G614" s="87">
        <v>44.308881540800002</v>
      </c>
      <c r="H614" s="86">
        <v>15</v>
      </c>
      <c r="I614" s="86">
        <v>90</v>
      </c>
      <c r="J614" s="87">
        <v>4</v>
      </c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>
        <v>7</v>
      </c>
      <c r="W614" s="87"/>
      <c r="X614" s="87">
        <v>4</v>
      </c>
      <c r="Y614" s="87"/>
      <c r="Z614" s="87"/>
      <c r="AA614" s="87"/>
      <c r="AB614" s="87"/>
      <c r="AC614" s="87">
        <v>6</v>
      </c>
      <c r="AD614" s="87"/>
      <c r="AE614" s="87"/>
      <c r="AF614" s="87"/>
      <c r="AG614" s="87"/>
      <c r="AH614" s="87">
        <v>9</v>
      </c>
      <c r="AI614" s="87"/>
      <c r="AJ614" s="87"/>
      <c r="AK614" s="87"/>
      <c r="AL614" s="87"/>
      <c r="AM614" s="87"/>
      <c r="AN614" s="87">
        <v>2</v>
      </c>
      <c r="AO614" s="87"/>
      <c r="AP614" s="87">
        <v>5</v>
      </c>
      <c r="AQ614" s="87">
        <v>4</v>
      </c>
      <c r="AR614" s="87">
        <v>2</v>
      </c>
      <c r="AS614" s="87"/>
      <c r="AT614" s="87">
        <v>2</v>
      </c>
      <c r="AU614" s="87"/>
      <c r="AV614" s="87"/>
      <c r="AW614" s="88" t="str">
        <f>HYPERLINK("http://www.openstreetmap.org/?mlat=33.2793&amp;mlon=44.3089&amp;zoom=12#map=12/33.2793/44.3089","Maplink1")</f>
        <v>Maplink1</v>
      </c>
      <c r="AX614" s="88" t="str">
        <f>HYPERLINK("https://www.google.iq/maps/search/+33.2793,44.3089/@33.2793,44.3089,14z?hl=en","Maplink2")</f>
        <v>Maplink2</v>
      </c>
      <c r="AY614" s="88" t="str">
        <f>HYPERLINK("http://www.bing.com/maps/?lvl=14&amp;sty=h&amp;cp=33.2793~44.3089&amp;sp=point.33.2793_44.3089","Maplink3")</f>
        <v>Maplink3</v>
      </c>
      <c r="AZ614" s="76"/>
    </row>
    <row r="615" spans="1:52" x14ac:dyDescent="0.25">
      <c r="A615" s="86">
        <v>26101</v>
      </c>
      <c r="B615" s="87" t="s">
        <v>14</v>
      </c>
      <c r="C615" s="87" t="s">
        <v>1039</v>
      </c>
      <c r="D615" s="87" t="s">
        <v>1246</v>
      </c>
      <c r="E615" s="87" t="s">
        <v>1247</v>
      </c>
      <c r="F615" s="87">
        <v>33.273671060399998</v>
      </c>
      <c r="G615" s="87">
        <v>44.293400706299998</v>
      </c>
      <c r="H615" s="86">
        <v>21</v>
      </c>
      <c r="I615" s="86">
        <v>126</v>
      </c>
      <c r="J615" s="87">
        <v>10</v>
      </c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>
        <v>9</v>
      </c>
      <c r="W615" s="87"/>
      <c r="X615" s="87">
        <v>2</v>
      </c>
      <c r="Y615" s="87"/>
      <c r="Z615" s="87"/>
      <c r="AA615" s="87"/>
      <c r="AB615" s="87"/>
      <c r="AC615" s="87">
        <v>4</v>
      </c>
      <c r="AD615" s="87"/>
      <c r="AE615" s="87"/>
      <c r="AF615" s="87"/>
      <c r="AG615" s="87"/>
      <c r="AH615" s="87">
        <v>17</v>
      </c>
      <c r="AI615" s="87"/>
      <c r="AJ615" s="87"/>
      <c r="AK615" s="87"/>
      <c r="AL615" s="87"/>
      <c r="AM615" s="87"/>
      <c r="AN615" s="87">
        <v>3</v>
      </c>
      <c r="AO615" s="87"/>
      <c r="AP615" s="87">
        <v>11</v>
      </c>
      <c r="AQ615" s="87">
        <v>4</v>
      </c>
      <c r="AR615" s="87">
        <v>3</v>
      </c>
      <c r="AS615" s="87"/>
      <c r="AT615" s="87"/>
      <c r="AU615" s="87"/>
      <c r="AV615" s="87"/>
      <c r="AW615" s="88" t="str">
        <f>HYPERLINK("http://www.openstreetmap.org/?mlat=33.2737&amp;mlon=44.2934&amp;zoom=12#map=12/33.2737/44.2934","Maplink1")</f>
        <v>Maplink1</v>
      </c>
      <c r="AX615" s="88" t="str">
        <f>HYPERLINK("https://www.google.iq/maps/search/+33.2737,44.2934/@33.2737,44.2934,14z?hl=en","Maplink2")</f>
        <v>Maplink2</v>
      </c>
      <c r="AY615" s="88" t="str">
        <f>HYPERLINK("http://www.bing.com/maps/?lvl=14&amp;sty=h&amp;cp=33.2737~44.2934&amp;sp=point.33.2737_44.2934","Maplink3")</f>
        <v>Maplink3</v>
      </c>
      <c r="AZ615" s="76"/>
    </row>
    <row r="616" spans="1:52" x14ac:dyDescent="0.25">
      <c r="A616" s="86">
        <v>27411</v>
      </c>
      <c r="B616" s="87" t="s">
        <v>14</v>
      </c>
      <c r="C616" s="87" t="s">
        <v>1039</v>
      </c>
      <c r="D616" s="87" t="s">
        <v>1248</v>
      </c>
      <c r="E616" s="87" t="s">
        <v>1249</v>
      </c>
      <c r="F616" s="87">
        <v>33.262118123</v>
      </c>
      <c r="G616" s="87">
        <v>44.290882232400001</v>
      </c>
      <c r="H616" s="86">
        <v>18</v>
      </c>
      <c r="I616" s="86">
        <v>108</v>
      </c>
      <c r="J616" s="87">
        <v>3</v>
      </c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>
        <v>11</v>
      </c>
      <c r="W616" s="87"/>
      <c r="X616" s="87">
        <v>4</v>
      </c>
      <c r="Y616" s="87"/>
      <c r="Z616" s="87"/>
      <c r="AA616" s="87"/>
      <c r="AB616" s="87"/>
      <c r="AC616" s="87">
        <v>8</v>
      </c>
      <c r="AD616" s="87"/>
      <c r="AE616" s="87"/>
      <c r="AF616" s="87"/>
      <c r="AG616" s="87"/>
      <c r="AH616" s="87">
        <v>10</v>
      </c>
      <c r="AI616" s="87"/>
      <c r="AJ616" s="87"/>
      <c r="AK616" s="87"/>
      <c r="AL616" s="87"/>
      <c r="AM616" s="87"/>
      <c r="AN616" s="87"/>
      <c r="AO616" s="87"/>
      <c r="AP616" s="87">
        <v>9</v>
      </c>
      <c r="AQ616" s="87">
        <v>5</v>
      </c>
      <c r="AR616" s="87"/>
      <c r="AS616" s="87"/>
      <c r="AT616" s="87">
        <v>4</v>
      </c>
      <c r="AU616" s="87"/>
      <c r="AV616" s="87"/>
      <c r="AW616" s="88" t="str">
        <f>HYPERLINK("http://www.openstreetmap.org/?mlat=33.2621&amp;mlon=44.2909&amp;zoom=12#map=12/33.2621/44.2909","Maplink1")</f>
        <v>Maplink1</v>
      </c>
      <c r="AX616" s="88" t="str">
        <f>HYPERLINK("https://www.google.iq/maps/search/+33.2621,44.2909/@33.2621,44.2909,14z?hl=en","Maplink2")</f>
        <v>Maplink2</v>
      </c>
      <c r="AY616" s="88" t="str">
        <f>HYPERLINK("http://www.bing.com/maps/?lvl=14&amp;sty=h&amp;cp=33.2621~44.2909&amp;sp=point.33.2621_44.2909","Maplink3")</f>
        <v>Maplink3</v>
      </c>
      <c r="AZ616" s="76"/>
    </row>
    <row r="617" spans="1:52" x14ac:dyDescent="0.25">
      <c r="A617" s="86">
        <v>7583</v>
      </c>
      <c r="B617" s="87" t="s">
        <v>14</v>
      </c>
      <c r="C617" s="87" t="s">
        <v>1039</v>
      </c>
      <c r="D617" s="87" t="s">
        <v>1250</v>
      </c>
      <c r="E617" s="87" t="s">
        <v>1251</v>
      </c>
      <c r="F617" s="87">
        <v>33.193816315699998</v>
      </c>
      <c r="G617" s="87">
        <v>44.414573664000002</v>
      </c>
      <c r="H617" s="86">
        <v>21</v>
      </c>
      <c r="I617" s="86">
        <v>126</v>
      </c>
      <c r="J617" s="87">
        <v>21</v>
      </c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>
        <v>5</v>
      </c>
      <c r="AD617" s="87"/>
      <c r="AE617" s="87"/>
      <c r="AF617" s="87"/>
      <c r="AG617" s="87"/>
      <c r="AH617" s="87">
        <v>13</v>
      </c>
      <c r="AI617" s="87">
        <v>3</v>
      </c>
      <c r="AJ617" s="87"/>
      <c r="AK617" s="87"/>
      <c r="AL617" s="87"/>
      <c r="AM617" s="87"/>
      <c r="AN617" s="87"/>
      <c r="AO617" s="87">
        <v>13</v>
      </c>
      <c r="AP617" s="87"/>
      <c r="AQ617" s="87">
        <v>2</v>
      </c>
      <c r="AR617" s="87"/>
      <c r="AS617" s="87">
        <v>6</v>
      </c>
      <c r="AT617" s="87"/>
      <c r="AU617" s="87"/>
      <c r="AV617" s="87"/>
      <c r="AW617" s="88" t="str">
        <f>HYPERLINK("http://www.openstreetmap.org/?mlat=33.1938&amp;mlon=44.4146&amp;zoom=12#map=12/33.1938/44.4146","Maplink1")</f>
        <v>Maplink1</v>
      </c>
      <c r="AX617" s="88" t="str">
        <f>HYPERLINK("https://www.google.iq/maps/search/+33.1938,44.4146/@33.1938,44.4146,14z?hl=en","Maplink2")</f>
        <v>Maplink2</v>
      </c>
      <c r="AY617" s="88" t="str">
        <f>HYPERLINK("http://www.bing.com/maps/?lvl=14&amp;sty=h&amp;cp=33.1938~44.4146&amp;sp=point.33.1938_44.4146","Maplink3")</f>
        <v>Maplink3</v>
      </c>
      <c r="AZ617" s="76"/>
    </row>
    <row r="618" spans="1:52" x14ac:dyDescent="0.25">
      <c r="A618" s="86">
        <v>24069</v>
      </c>
      <c r="B618" s="87" t="s">
        <v>14</v>
      </c>
      <c r="C618" s="87" t="s">
        <v>1039</v>
      </c>
      <c r="D618" s="87" t="s">
        <v>1252</v>
      </c>
      <c r="E618" s="87" t="s">
        <v>1253</v>
      </c>
      <c r="F618" s="87">
        <v>33.340986859700003</v>
      </c>
      <c r="G618" s="87">
        <v>44.3766178901</v>
      </c>
      <c r="H618" s="86">
        <v>2</v>
      </c>
      <c r="I618" s="86">
        <v>12</v>
      </c>
      <c r="J618" s="87">
        <v>2</v>
      </c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>
        <v>2</v>
      </c>
      <c r="AI618" s="87"/>
      <c r="AJ618" s="87"/>
      <c r="AK618" s="87"/>
      <c r="AL618" s="87"/>
      <c r="AM618" s="87"/>
      <c r="AN618" s="87"/>
      <c r="AO618" s="87"/>
      <c r="AP618" s="87"/>
      <c r="AQ618" s="87">
        <v>2</v>
      </c>
      <c r="AR618" s="87"/>
      <c r="AS618" s="87"/>
      <c r="AT618" s="87"/>
      <c r="AU618" s="87"/>
      <c r="AV618" s="87"/>
      <c r="AW618" s="88" t="str">
        <f>HYPERLINK("http://www.openstreetmap.org/?mlat=33.341&amp;mlon=44.3766&amp;zoom=12#map=12/33.341/44.3766","Maplink1")</f>
        <v>Maplink1</v>
      </c>
      <c r="AX618" s="88" t="str">
        <f>HYPERLINK("https://www.google.iq/maps/search/+33.341,44.3766/@33.341,44.3766,14z?hl=en","Maplink2")</f>
        <v>Maplink2</v>
      </c>
      <c r="AY618" s="88" t="str">
        <f>HYPERLINK("http://www.bing.com/maps/?lvl=14&amp;sty=h&amp;cp=33.341~44.3766&amp;sp=point.33.341_44.3766","Maplink3")</f>
        <v>Maplink3</v>
      </c>
      <c r="AZ618" s="76"/>
    </row>
    <row r="619" spans="1:52" x14ac:dyDescent="0.25">
      <c r="A619" s="86">
        <v>27193</v>
      </c>
      <c r="B619" s="87" t="s">
        <v>14</v>
      </c>
      <c r="C619" s="87" t="s">
        <v>1039</v>
      </c>
      <c r="D619" s="87" t="s">
        <v>1254</v>
      </c>
      <c r="E619" s="87" t="s">
        <v>1255</v>
      </c>
      <c r="F619" s="87">
        <v>33.342951418600002</v>
      </c>
      <c r="G619" s="87">
        <v>44.368290430099997</v>
      </c>
      <c r="H619" s="86">
        <v>14</v>
      </c>
      <c r="I619" s="86">
        <v>84</v>
      </c>
      <c r="J619" s="87">
        <v>7</v>
      </c>
      <c r="K619" s="87"/>
      <c r="L619" s="87"/>
      <c r="M619" s="87"/>
      <c r="N619" s="87"/>
      <c r="O619" s="87"/>
      <c r="P619" s="87"/>
      <c r="Q619" s="87"/>
      <c r="R619" s="87">
        <v>1</v>
      </c>
      <c r="S619" s="87"/>
      <c r="T619" s="87"/>
      <c r="U619" s="87"/>
      <c r="V619" s="87">
        <v>2</v>
      </c>
      <c r="W619" s="87"/>
      <c r="X619" s="87">
        <v>4</v>
      </c>
      <c r="Y619" s="87"/>
      <c r="Z619" s="87"/>
      <c r="AA619" s="87"/>
      <c r="AB619" s="87"/>
      <c r="AC619" s="87">
        <v>3</v>
      </c>
      <c r="AD619" s="87"/>
      <c r="AE619" s="87"/>
      <c r="AF619" s="87"/>
      <c r="AG619" s="87"/>
      <c r="AH619" s="87">
        <v>11</v>
      </c>
      <c r="AI619" s="87"/>
      <c r="AJ619" s="87"/>
      <c r="AK619" s="87"/>
      <c r="AL619" s="87"/>
      <c r="AM619" s="87"/>
      <c r="AN619" s="87">
        <v>1</v>
      </c>
      <c r="AO619" s="87">
        <v>2</v>
      </c>
      <c r="AP619" s="87">
        <v>4</v>
      </c>
      <c r="AQ619" s="87">
        <v>4</v>
      </c>
      <c r="AR619" s="87">
        <v>3</v>
      </c>
      <c r="AS619" s="87"/>
      <c r="AT619" s="87"/>
      <c r="AU619" s="87"/>
      <c r="AV619" s="87"/>
      <c r="AW619" s="88" t="str">
        <f>HYPERLINK("http://www.openstreetmap.org/?mlat=33.343&amp;mlon=44.3683&amp;zoom=12#map=12/33.343/44.3683","Maplink1")</f>
        <v>Maplink1</v>
      </c>
      <c r="AX619" s="88" t="str">
        <f>HYPERLINK("https://www.google.iq/maps/search/+33.343,44.3683/@33.343,44.3683,14z?hl=en","Maplink2")</f>
        <v>Maplink2</v>
      </c>
      <c r="AY619" s="88" t="str">
        <f>HYPERLINK("http://www.bing.com/maps/?lvl=14&amp;sty=h&amp;cp=33.343~44.3683&amp;sp=point.33.343_44.3683","Maplink3")</f>
        <v>Maplink3</v>
      </c>
      <c r="AZ619" s="76"/>
    </row>
    <row r="620" spans="1:52" x14ac:dyDescent="0.25">
      <c r="A620" s="86">
        <v>25991</v>
      </c>
      <c r="B620" s="87" t="s">
        <v>14</v>
      </c>
      <c r="C620" s="87" t="s">
        <v>1039</v>
      </c>
      <c r="D620" s="87" t="s">
        <v>1256</v>
      </c>
      <c r="E620" s="87" t="s">
        <v>1257</v>
      </c>
      <c r="F620" s="87">
        <v>33.338128200200003</v>
      </c>
      <c r="G620" s="87">
        <v>44.371388900299998</v>
      </c>
      <c r="H620" s="86">
        <v>7</v>
      </c>
      <c r="I620" s="86">
        <v>42</v>
      </c>
      <c r="J620" s="87">
        <v>4</v>
      </c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>
        <v>3</v>
      </c>
      <c r="W620" s="87"/>
      <c r="X620" s="87"/>
      <c r="Y620" s="87"/>
      <c r="Z620" s="87"/>
      <c r="AA620" s="87"/>
      <c r="AB620" s="87"/>
      <c r="AC620" s="87">
        <v>2</v>
      </c>
      <c r="AD620" s="87"/>
      <c r="AE620" s="87"/>
      <c r="AF620" s="87"/>
      <c r="AG620" s="87"/>
      <c r="AH620" s="87">
        <v>5</v>
      </c>
      <c r="AI620" s="87"/>
      <c r="AJ620" s="87"/>
      <c r="AK620" s="87"/>
      <c r="AL620" s="87"/>
      <c r="AM620" s="87"/>
      <c r="AN620" s="87"/>
      <c r="AO620" s="87">
        <v>5</v>
      </c>
      <c r="AP620" s="87"/>
      <c r="AQ620" s="87">
        <v>1</v>
      </c>
      <c r="AR620" s="87">
        <v>1</v>
      </c>
      <c r="AS620" s="87"/>
      <c r="AT620" s="87"/>
      <c r="AU620" s="87"/>
      <c r="AV620" s="87"/>
      <c r="AW620" s="88" t="str">
        <f>HYPERLINK("http://www.openstreetmap.org/?mlat=33.3381&amp;mlon=44.3714&amp;zoom=12#map=12/33.3381/44.3714","Maplink1")</f>
        <v>Maplink1</v>
      </c>
      <c r="AX620" s="88" t="str">
        <f>HYPERLINK("https://www.google.iq/maps/search/+33.3381,44.3714/@33.3381,44.3714,14z?hl=en","Maplink2")</f>
        <v>Maplink2</v>
      </c>
      <c r="AY620" s="88" t="str">
        <f>HYPERLINK("http://www.bing.com/maps/?lvl=14&amp;sty=h&amp;cp=33.3381~44.3714&amp;sp=point.33.3381_44.3714","Maplink3")</f>
        <v>Maplink3</v>
      </c>
      <c r="AZ620" s="76"/>
    </row>
    <row r="621" spans="1:52" x14ac:dyDescent="0.25">
      <c r="A621" s="86">
        <v>21784</v>
      </c>
      <c r="B621" s="87" t="s">
        <v>14</v>
      </c>
      <c r="C621" s="87" t="s">
        <v>1039</v>
      </c>
      <c r="D621" s="87" t="s">
        <v>1258</v>
      </c>
      <c r="E621" s="87" t="s">
        <v>1259</v>
      </c>
      <c r="F621" s="87">
        <v>33.3373741602</v>
      </c>
      <c r="G621" s="87">
        <v>44.375418123599999</v>
      </c>
      <c r="H621" s="86">
        <v>17</v>
      </c>
      <c r="I621" s="86">
        <v>102</v>
      </c>
      <c r="J621" s="87">
        <v>9</v>
      </c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>
        <v>6</v>
      </c>
      <c r="W621" s="87"/>
      <c r="X621" s="87">
        <v>2</v>
      </c>
      <c r="Y621" s="87"/>
      <c r="Z621" s="87"/>
      <c r="AA621" s="87"/>
      <c r="AB621" s="87"/>
      <c r="AC621" s="87">
        <v>4</v>
      </c>
      <c r="AD621" s="87"/>
      <c r="AE621" s="87"/>
      <c r="AF621" s="87"/>
      <c r="AG621" s="87"/>
      <c r="AH621" s="87">
        <v>13</v>
      </c>
      <c r="AI621" s="87"/>
      <c r="AJ621" s="87"/>
      <c r="AK621" s="87"/>
      <c r="AL621" s="87"/>
      <c r="AM621" s="87"/>
      <c r="AN621" s="87">
        <v>3</v>
      </c>
      <c r="AO621" s="87">
        <v>6</v>
      </c>
      <c r="AP621" s="87">
        <v>2</v>
      </c>
      <c r="AQ621" s="87">
        <v>4</v>
      </c>
      <c r="AR621" s="87">
        <v>2</v>
      </c>
      <c r="AS621" s="87"/>
      <c r="AT621" s="87"/>
      <c r="AU621" s="87"/>
      <c r="AV621" s="87"/>
      <c r="AW621" s="88" t="str">
        <f>HYPERLINK("http://www.openstreetmap.org/?mlat=33.3374&amp;mlon=44.3754&amp;zoom=12#map=12/33.3374/44.3754","Maplink1")</f>
        <v>Maplink1</v>
      </c>
      <c r="AX621" s="88" t="str">
        <f>HYPERLINK("https://www.google.iq/maps/search/+33.3374,44.3754/@33.3374,44.3754,14z?hl=en","Maplink2")</f>
        <v>Maplink2</v>
      </c>
      <c r="AY621" s="88" t="str">
        <f>HYPERLINK("http://www.bing.com/maps/?lvl=14&amp;sty=h&amp;cp=33.3374~44.3754&amp;sp=point.33.3374_44.3754","Maplink3")</f>
        <v>Maplink3</v>
      </c>
      <c r="AZ621" s="76"/>
    </row>
    <row r="622" spans="1:52" x14ac:dyDescent="0.25">
      <c r="A622" s="86">
        <v>27194</v>
      </c>
      <c r="B622" s="87" t="s">
        <v>14</v>
      </c>
      <c r="C622" s="87" t="s">
        <v>1039</v>
      </c>
      <c r="D622" s="87" t="s">
        <v>1260</v>
      </c>
      <c r="E622" s="87" t="s">
        <v>1261</v>
      </c>
      <c r="F622" s="87">
        <v>33.332742688499998</v>
      </c>
      <c r="G622" s="87">
        <v>44.3831769325</v>
      </c>
      <c r="H622" s="86">
        <v>23</v>
      </c>
      <c r="I622" s="86">
        <v>138</v>
      </c>
      <c r="J622" s="87">
        <v>5</v>
      </c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>
        <v>10</v>
      </c>
      <c r="W622" s="87"/>
      <c r="X622" s="87">
        <v>8</v>
      </c>
      <c r="Y622" s="87"/>
      <c r="Z622" s="87"/>
      <c r="AA622" s="87"/>
      <c r="AB622" s="87"/>
      <c r="AC622" s="87">
        <v>8</v>
      </c>
      <c r="AD622" s="87"/>
      <c r="AE622" s="87"/>
      <c r="AF622" s="87"/>
      <c r="AG622" s="87"/>
      <c r="AH622" s="87">
        <v>15</v>
      </c>
      <c r="AI622" s="87"/>
      <c r="AJ622" s="87"/>
      <c r="AK622" s="87"/>
      <c r="AL622" s="87"/>
      <c r="AM622" s="87"/>
      <c r="AN622" s="87"/>
      <c r="AO622" s="87">
        <v>4</v>
      </c>
      <c r="AP622" s="87">
        <v>5</v>
      </c>
      <c r="AQ622" s="87">
        <v>7</v>
      </c>
      <c r="AR622" s="87">
        <v>7</v>
      </c>
      <c r="AS622" s="87"/>
      <c r="AT622" s="87"/>
      <c r="AU622" s="87"/>
      <c r="AV622" s="87"/>
      <c r="AW622" s="88" t="str">
        <f>HYPERLINK("http://www.openstreetmap.org/?mlat=33.3327&amp;mlon=44.3832&amp;zoom=12#map=12/33.3327/44.3832","Maplink1")</f>
        <v>Maplink1</v>
      </c>
      <c r="AX622" s="88" t="str">
        <f>HYPERLINK("https://www.google.iq/maps/search/+33.3327,44.3832/@33.3327,44.3832,14z?hl=en","Maplink2")</f>
        <v>Maplink2</v>
      </c>
      <c r="AY622" s="88" t="str">
        <f>HYPERLINK("http://www.bing.com/maps/?lvl=14&amp;sty=h&amp;cp=33.3327~44.3832&amp;sp=point.33.3327_44.3832","Maplink3")</f>
        <v>Maplink3</v>
      </c>
      <c r="AZ622" s="76"/>
    </row>
    <row r="623" spans="1:52" x14ac:dyDescent="0.25">
      <c r="A623" s="86">
        <v>24075</v>
      </c>
      <c r="B623" s="87" t="s">
        <v>14</v>
      </c>
      <c r="C623" s="87" t="s">
        <v>1039</v>
      </c>
      <c r="D623" s="87" t="s">
        <v>1262</v>
      </c>
      <c r="E623" s="87" t="s">
        <v>1263</v>
      </c>
      <c r="F623" s="87">
        <v>33.253705525100003</v>
      </c>
      <c r="G623" s="87">
        <v>44.4028360366</v>
      </c>
      <c r="H623" s="86">
        <v>38</v>
      </c>
      <c r="I623" s="86">
        <v>228</v>
      </c>
      <c r="J623" s="87">
        <v>16</v>
      </c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>
        <v>16</v>
      </c>
      <c r="W623" s="87"/>
      <c r="X623" s="87">
        <v>6</v>
      </c>
      <c r="Y623" s="87"/>
      <c r="Z623" s="87"/>
      <c r="AA623" s="87"/>
      <c r="AB623" s="87"/>
      <c r="AC623" s="87">
        <v>15</v>
      </c>
      <c r="AD623" s="87"/>
      <c r="AE623" s="87"/>
      <c r="AF623" s="87"/>
      <c r="AG623" s="87"/>
      <c r="AH623" s="87">
        <v>23</v>
      </c>
      <c r="AI623" s="87"/>
      <c r="AJ623" s="87"/>
      <c r="AK623" s="87"/>
      <c r="AL623" s="87"/>
      <c r="AM623" s="87"/>
      <c r="AN623" s="87">
        <v>8</v>
      </c>
      <c r="AO623" s="87"/>
      <c r="AP623" s="87"/>
      <c r="AQ623" s="87">
        <v>12</v>
      </c>
      <c r="AR623" s="87">
        <v>10</v>
      </c>
      <c r="AS623" s="87">
        <v>8</v>
      </c>
      <c r="AT623" s="87"/>
      <c r="AU623" s="87"/>
      <c r="AV623" s="87"/>
      <c r="AW623" s="88" t="str">
        <f>HYPERLINK("http://www.openstreetmap.org/?mlat=33.2537&amp;mlon=44.4028&amp;zoom=12#map=12/33.2537/44.4028","Maplink1")</f>
        <v>Maplink1</v>
      </c>
      <c r="AX623" s="88" t="str">
        <f>HYPERLINK("https://www.google.iq/maps/search/+33.2537,44.4028/@33.2537,44.4028,14z?hl=en","Maplink2")</f>
        <v>Maplink2</v>
      </c>
      <c r="AY623" s="88" t="str">
        <f>HYPERLINK("http://www.bing.com/maps/?lvl=14&amp;sty=h&amp;cp=33.2537~44.4028&amp;sp=point.33.2537_44.4028","Maplink3")</f>
        <v>Maplink3</v>
      </c>
      <c r="AZ623" s="76"/>
    </row>
    <row r="624" spans="1:52" x14ac:dyDescent="0.25">
      <c r="A624" s="86">
        <v>24073</v>
      </c>
      <c r="B624" s="87" t="s">
        <v>14</v>
      </c>
      <c r="C624" s="87" t="s">
        <v>1039</v>
      </c>
      <c r="D624" s="87" t="s">
        <v>1264</v>
      </c>
      <c r="E624" s="87" t="s">
        <v>1265</v>
      </c>
      <c r="F624" s="87">
        <v>33.242310779900002</v>
      </c>
      <c r="G624" s="87">
        <v>44.407718718799998</v>
      </c>
      <c r="H624" s="86">
        <v>30</v>
      </c>
      <c r="I624" s="86">
        <v>180</v>
      </c>
      <c r="J624" s="87">
        <v>4</v>
      </c>
      <c r="K624" s="87">
        <v>26</v>
      </c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>
        <v>30</v>
      </c>
      <c r="AI624" s="87"/>
      <c r="AJ624" s="87"/>
      <c r="AK624" s="87"/>
      <c r="AL624" s="87"/>
      <c r="AM624" s="87"/>
      <c r="AN624" s="87"/>
      <c r="AO624" s="87">
        <v>4</v>
      </c>
      <c r="AP624" s="87"/>
      <c r="AQ624" s="87">
        <v>26</v>
      </c>
      <c r="AR624" s="87"/>
      <c r="AS624" s="87"/>
      <c r="AT624" s="87"/>
      <c r="AU624" s="87"/>
      <c r="AV624" s="87"/>
      <c r="AW624" s="88" t="str">
        <f>HYPERLINK("http://www.openstreetmap.org/?mlat=33.2423&amp;mlon=44.4077&amp;zoom=12#map=12/33.2423/44.4077","Maplink1")</f>
        <v>Maplink1</v>
      </c>
      <c r="AX624" s="88" t="str">
        <f>HYPERLINK("https://www.google.iq/maps/search/+33.2423,44.4077/@33.2423,44.4077,14z?hl=en","Maplink2")</f>
        <v>Maplink2</v>
      </c>
      <c r="AY624" s="88" t="str">
        <f>HYPERLINK("http://www.bing.com/maps/?lvl=14&amp;sty=h&amp;cp=33.2423~44.4077&amp;sp=point.33.2423_44.4077","Maplink3")</f>
        <v>Maplink3</v>
      </c>
      <c r="AZ624" s="76"/>
    </row>
    <row r="625" spans="1:52" x14ac:dyDescent="0.25">
      <c r="A625" s="86">
        <v>25222</v>
      </c>
      <c r="B625" s="87" t="s">
        <v>14</v>
      </c>
      <c r="C625" s="87" t="s">
        <v>1039</v>
      </c>
      <c r="D625" s="87" t="s">
        <v>1266</v>
      </c>
      <c r="E625" s="87" t="s">
        <v>1267</v>
      </c>
      <c r="F625" s="87">
        <v>33.232968567199997</v>
      </c>
      <c r="G625" s="87">
        <v>44.304870642899999</v>
      </c>
      <c r="H625" s="86">
        <v>13</v>
      </c>
      <c r="I625" s="86">
        <v>78</v>
      </c>
      <c r="J625" s="87">
        <v>4</v>
      </c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>
        <v>9</v>
      </c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>
        <v>13</v>
      </c>
      <c r="AI625" s="87"/>
      <c r="AJ625" s="87"/>
      <c r="AK625" s="87"/>
      <c r="AL625" s="87"/>
      <c r="AM625" s="87"/>
      <c r="AN625" s="87"/>
      <c r="AO625" s="87">
        <v>13</v>
      </c>
      <c r="AP625" s="87"/>
      <c r="AQ625" s="87"/>
      <c r="AR625" s="87"/>
      <c r="AS625" s="87"/>
      <c r="AT625" s="87"/>
      <c r="AU625" s="87"/>
      <c r="AV625" s="87"/>
      <c r="AW625" s="88" t="str">
        <f>HYPERLINK("http://www.openstreetmap.org/?mlat=33.233&amp;mlon=44.3049&amp;zoom=12#map=12/33.233/44.3049","Maplink1")</f>
        <v>Maplink1</v>
      </c>
      <c r="AX625" s="88" t="str">
        <f>HYPERLINK("https://www.google.iq/maps/search/+33.233,44.3049/@33.233,44.3049,14z?hl=en","Maplink2")</f>
        <v>Maplink2</v>
      </c>
      <c r="AY625" s="88" t="str">
        <f>HYPERLINK("http://www.bing.com/maps/?lvl=14&amp;sty=h&amp;cp=33.233~44.3049&amp;sp=point.33.233_44.3049","Maplink3")</f>
        <v>Maplink3</v>
      </c>
      <c r="AZ625" s="76"/>
    </row>
    <row r="626" spans="1:52" x14ac:dyDescent="0.25">
      <c r="A626" s="86">
        <v>7410</v>
      </c>
      <c r="B626" s="87" t="s">
        <v>14</v>
      </c>
      <c r="C626" s="87" t="s">
        <v>1039</v>
      </c>
      <c r="D626" s="87" t="s">
        <v>1268</v>
      </c>
      <c r="E626" s="87" t="s">
        <v>1269</v>
      </c>
      <c r="F626" s="87">
        <v>33.200709182300002</v>
      </c>
      <c r="G626" s="87">
        <v>44.383231474299997</v>
      </c>
      <c r="H626" s="86">
        <v>29</v>
      </c>
      <c r="I626" s="86">
        <v>174</v>
      </c>
      <c r="J626" s="87">
        <v>24</v>
      </c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>
        <v>5</v>
      </c>
      <c r="W626" s="87"/>
      <c r="X626" s="87"/>
      <c r="Y626" s="87"/>
      <c r="Z626" s="87"/>
      <c r="AA626" s="87"/>
      <c r="AB626" s="87"/>
      <c r="AC626" s="87">
        <v>7</v>
      </c>
      <c r="AD626" s="87"/>
      <c r="AE626" s="87"/>
      <c r="AF626" s="87"/>
      <c r="AG626" s="87"/>
      <c r="AH626" s="87">
        <v>22</v>
      </c>
      <c r="AI626" s="87"/>
      <c r="AJ626" s="87"/>
      <c r="AK626" s="87"/>
      <c r="AL626" s="87"/>
      <c r="AM626" s="87"/>
      <c r="AN626" s="87"/>
      <c r="AO626" s="87">
        <v>15</v>
      </c>
      <c r="AP626" s="87"/>
      <c r="AQ626" s="87">
        <v>2</v>
      </c>
      <c r="AR626" s="87">
        <v>7</v>
      </c>
      <c r="AS626" s="87">
        <v>5</v>
      </c>
      <c r="AT626" s="87"/>
      <c r="AU626" s="87"/>
      <c r="AV626" s="87"/>
      <c r="AW626" s="88" t="str">
        <f>HYPERLINK("http://www.openstreetmap.org/?mlat=33.2007&amp;mlon=44.3832&amp;zoom=12#map=12/33.2007/44.3832","Maplink1")</f>
        <v>Maplink1</v>
      </c>
      <c r="AX626" s="88" t="str">
        <f>HYPERLINK("https://www.google.iq/maps/search/+33.2007,44.3832/@33.2007,44.3832,14z?hl=en","Maplink2")</f>
        <v>Maplink2</v>
      </c>
      <c r="AY626" s="88" t="str">
        <f>HYPERLINK("http://www.bing.com/maps/?lvl=14&amp;sty=h&amp;cp=33.2007~44.3832&amp;sp=point.33.2007_44.3832","Maplink3")</f>
        <v>Maplink3</v>
      </c>
      <c r="AZ626" s="76"/>
    </row>
    <row r="627" spans="1:52" x14ac:dyDescent="0.25">
      <c r="A627" s="86">
        <v>25005</v>
      </c>
      <c r="B627" s="87" t="s">
        <v>14</v>
      </c>
      <c r="C627" s="87" t="s">
        <v>1270</v>
      </c>
      <c r="D627" s="87" t="s">
        <v>1271</v>
      </c>
      <c r="E627" s="87" t="s">
        <v>1272</v>
      </c>
      <c r="F627" s="87">
        <v>33.304154242899997</v>
      </c>
      <c r="G627" s="87">
        <v>44.618755707600002</v>
      </c>
      <c r="H627" s="86">
        <v>2</v>
      </c>
      <c r="I627" s="86">
        <v>12</v>
      </c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>
        <v>2</v>
      </c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>
        <v>2</v>
      </c>
      <c r="AJ627" s="87"/>
      <c r="AK627" s="87"/>
      <c r="AL627" s="87"/>
      <c r="AM627" s="87"/>
      <c r="AN627" s="87"/>
      <c r="AO627" s="87">
        <v>2</v>
      </c>
      <c r="AP627" s="87"/>
      <c r="AQ627" s="87"/>
      <c r="AR627" s="87"/>
      <c r="AS627" s="87"/>
      <c r="AT627" s="87"/>
      <c r="AU627" s="87"/>
      <c r="AV627" s="87"/>
      <c r="AW627" s="88" t="str">
        <f>HYPERLINK("http://www.openstreetmap.org/?mlat=33.3042&amp;mlon=44.6188&amp;zoom=12#map=12/33.3042/44.6188","Maplink1")</f>
        <v>Maplink1</v>
      </c>
      <c r="AX627" s="88" t="str">
        <f>HYPERLINK("https://www.google.iq/maps/search/+33.3042,44.6188/@33.3042,44.6188,14z?hl=en","Maplink2")</f>
        <v>Maplink2</v>
      </c>
      <c r="AY627" s="88" t="str">
        <f>HYPERLINK("http://www.bing.com/maps/?lvl=14&amp;sty=h&amp;cp=33.3042~44.6188&amp;sp=point.33.3042_44.6188","Maplink3")</f>
        <v>Maplink3</v>
      </c>
      <c r="AZ627" s="76"/>
    </row>
    <row r="628" spans="1:52" x14ac:dyDescent="0.25">
      <c r="A628" s="86">
        <v>25140</v>
      </c>
      <c r="B628" s="87" t="s">
        <v>14</v>
      </c>
      <c r="C628" s="87" t="s">
        <v>1270</v>
      </c>
      <c r="D628" s="87" t="s">
        <v>1273</v>
      </c>
      <c r="E628" s="87" t="s">
        <v>1274</v>
      </c>
      <c r="F628" s="87">
        <v>33.259258489099999</v>
      </c>
      <c r="G628" s="87">
        <v>44.603148909600002</v>
      </c>
      <c r="H628" s="86">
        <v>4</v>
      </c>
      <c r="I628" s="86">
        <v>24</v>
      </c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>
        <v>4</v>
      </c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>
        <v>2</v>
      </c>
      <c r="AI628" s="87">
        <v>2</v>
      </c>
      <c r="AJ628" s="87"/>
      <c r="AK628" s="87"/>
      <c r="AL628" s="87"/>
      <c r="AM628" s="87"/>
      <c r="AN628" s="87"/>
      <c r="AO628" s="87">
        <v>4</v>
      </c>
      <c r="AP628" s="87"/>
      <c r="AQ628" s="87"/>
      <c r="AR628" s="87"/>
      <c r="AS628" s="87"/>
      <c r="AT628" s="87"/>
      <c r="AU628" s="87"/>
      <c r="AV628" s="87"/>
      <c r="AW628" s="88" t="str">
        <f>HYPERLINK("http://www.openstreetmap.org/?mlat=33.2593&amp;mlon=44.6031&amp;zoom=12#map=12/33.2593/44.6031","Maplink1")</f>
        <v>Maplink1</v>
      </c>
      <c r="AX628" s="88" t="str">
        <f>HYPERLINK("https://www.google.iq/maps/search/+33.2593,44.6031/@33.2593,44.6031,14z?hl=en","Maplink2")</f>
        <v>Maplink2</v>
      </c>
      <c r="AY628" s="88" t="str">
        <f>HYPERLINK("http://www.bing.com/maps/?lvl=14&amp;sty=h&amp;cp=33.2593~44.6031&amp;sp=point.33.2593_44.6031","Maplink3")</f>
        <v>Maplink3</v>
      </c>
      <c r="AZ628" s="76"/>
    </row>
    <row r="629" spans="1:52" x14ac:dyDescent="0.25">
      <c r="A629" s="86">
        <v>25832</v>
      </c>
      <c r="B629" s="87" t="s">
        <v>14</v>
      </c>
      <c r="C629" s="87" t="s">
        <v>1270</v>
      </c>
      <c r="D629" s="87" t="s">
        <v>1275</v>
      </c>
      <c r="E629" s="87" t="s">
        <v>1276</v>
      </c>
      <c r="F629" s="87">
        <v>33.2357045193</v>
      </c>
      <c r="G629" s="87">
        <v>44.524423112900003</v>
      </c>
      <c r="H629" s="86">
        <v>2</v>
      </c>
      <c r="I629" s="86">
        <v>12</v>
      </c>
      <c r="J629" s="87"/>
      <c r="K629" s="87"/>
      <c r="L629" s="87"/>
      <c r="M629" s="87"/>
      <c r="N629" s="87"/>
      <c r="O629" s="87">
        <v>2</v>
      </c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>
        <v>2</v>
      </c>
      <c r="AI629" s="87"/>
      <c r="AJ629" s="87"/>
      <c r="AK629" s="87"/>
      <c r="AL629" s="87"/>
      <c r="AM629" s="87"/>
      <c r="AN629" s="87"/>
      <c r="AO629" s="87"/>
      <c r="AP629" s="87">
        <v>2</v>
      </c>
      <c r="AQ629" s="87"/>
      <c r="AR629" s="87"/>
      <c r="AS629" s="87"/>
      <c r="AT629" s="87"/>
      <c r="AU629" s="87"/>
      <c r="AV629" s="87"/>
      <c r="AW629" s="88" t="str">
        <f>HYPERLINK("http://www.openstreetmap.org/?mlat=33.2357&amp;mlon=44.5244&amp;zoom=12#map=12/33.2357/44.5244","Maplink1")</f>
        <v>Maplink1</v>
      </c>
      <c r="AX629" s="88" t="str">
        <f>HYPERLINK("https://www.google.iq/maps/search/+33.2357,44.5244/@33.2357,44.5244,14z?hl=en","Maplink2")</f>
        <v>Maplink2</v>
      </c>
      <c r="AY629" s="88" t="str">
        <f>HYPERLINK("http://www.bing.com/maps/?lvl=14&amp;sty=h&amp;cp=33.2357~44.5244&amp;sp=point.33.2357_44.5244","Maplink3")</f>
        <v>Maplink3</v>
      </c>
      <c r="AZ629" s="76"/>
    </row>
    <row r="630" spans="1:52" x14ac:dyDescent="0.25">
      <c r="A630" s="86">
        <v>25011</v>
      </c>
      <c r="B630" s="87" t="s">
        <v>14</v>
      </c>
      <c r="C630" s="87" t="s">
        <v>1270</v>
      </c>
      <c r="D630" s="87" t="s">
        <v>1277</v>
      </c>
      <c r="E630" s="87" t="s">
        <v>1278</v>
      </c>
      <c r="F630" s="87">
        <v>33.216676079300001</v>
      </c>
      <c r="G630" s="87">
        <v>44.601559887400001</v>
      </c>
      <c r="H630" s="86">
        <v>12</v>
      </c>
      <c r="I630" s="86">
        <v>72</v>
      </c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>
        <v>12</v>
      </c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>
        <v>12</v>
      </c>
      <c r="AI630" s="87"/>
      <c r="AJ630" s="87"/>
      <c r="AK630" s="87"/>
      <c r="AL630" s="87"/>
      <c r="AM630" s="87"/>
      <c r="AN630" s="87">
        <v>1</v>
      </c>
      <c r="AO630" s="87">
        <v>9</v>
      </c>
      <c r="AP630" s="87"/>
      <c r="AQ630" s="87">
        <v>2</v>
      </c>
      <c r="AR630" s="87"/>
      <c r="AS630" s="87"/>
      <c r="AT630" s="87"/>
      <c r="AU630" s="87"/>
      <c r="AV630" s="87"/>
      <c r="AW630" s="88" t="str">
        <f>HYPERLINK("http://www.openstreetmap.org/?mlat=33.2167&amp;mlon=44.6016&amp;zoom=12#map=12/33.2167/44.6016","Maplink1")</f>
        <v>Maplink1</v>
      </c>
      <c r="AX630" s="88" t="str">
        <f>HYPERLINK("https://www.google.iq/maps/search/+33.2167,44.6016/@33.2167,44.6016,14z?hl=en","Maplink2")</f>
        <v>Maplink2</v>
      </c>
      <c r="AY630" s="88" t="str">
        <f>HYPERLINK("http://www.bing.com/maps/?lvl=14&amp;sty=h&amp;cp=33.2167~44.6016&amp;sp=point.33.2167_44.6016","Maplink3")</f>
        <v>Maplink3</v>
      </c>
      <c r="AZ630" s="76"/>
    </row>
    <row r="631" spans="1:52" x14ac:dyDescent="0.25">
      <c r="A631" s="86">
        <v>25006</v>
      </c>
      <c r="B631" s="87" t="s">
        <v>14</v>
      </c>
      <c r="C631" s="87" t="s">
        <v>1270</v>
      </c>
      <c r="D631" s="87" t="s">
        <v>1279</v>
      </c>
      <c r="E631" s="87" t="s">
        <v>1280</v>
      </c>
      <c r="F631" s="87">
        <v>33.326259988799997</v>
      </c>
      <c r="G631" s="87">
        <v>44.627920430800003</v>
      </c>
      <c r="H631" s="86">
        <v>2</v>
      </c>
      <c r="I631" s="86">
        <v>12</v>
      </c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>
        <v>2</v>
      </c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>
        <v>2</v>
      </c>
      <c r="AI631" s="87"/>
      <c r="AJ631" s="87"/>
      <c r="AK631" s="87"/>
      <c r="AL631" s="87"/>
      <c r="AM631" s="87"/>
      <c r="AN631" s="87"/>
      <c r="AO631" s="87">
        <v>2</v>
      </c>
      <c r="AP631" s="87"/>
      <c r="AQ631" s="87"/>
      <c r="AR631" s="87"/>
      <c r="AS631" s="87"/>
      <c r="AT631" s="87"/>
      <c r="AU631" s="87"/>
      <c r="AV631" s="87"/>
      <c r="AW631" s="88" t="str">
        <f>HYPERLINK("http://www.openstreetmap.org/?mlat=33.3263&amp;mlon=44.6279&amp;zoom=12#map=12/33.3263/44.6279","Maplink1")</f>
        <v>Maplink1</v>
      </c>
      <c r="AX631" s="88" t="str">
        <f>HYPERLINK("https://www.google.iq/maps/search/+33.3263,44.6279/@33.3263,44.6279,14z?hl=en","Maplink2")</f>
        <v>Maplink2</v>
      </c>
      <c r="AY631" s="88" t="str">
        <f>HYPERLINK("http://www.bing.com/maps/?lvl=14&amp;sty=h&amp;cp=33.3263~44.6279&amp;sp=point.33.3263_44.6279","Maplink3")</f>
        <v>Maplink3</v>
      </c>
      <c r="AZ631" s="76"/>
    </row>
    <row r="632" spans="1:52" x14ac:dyDescent="0.25">
      <c r="A632" s="86">
        <v>25834</v>
      </c>
      <c r="B632" s="87" t="s">
        <v>14</v>
      </c>
      <c r="C632" s="87" t="s">
        <v>1270</v>
      </c>
      <c r="D632" s="87" t="s">
        <v>1281</v>
      </c>
      <c r="E632" s="87" t="s">
        <v>1282</v>
      </c>
      <c r="F632" s="87">
        <v>33.2871018851</v>
      </c>
      <c r="G632" s="87">
        <v>44.542888434699996</v>
      </c>
      <c r="H632" s="86">
        <v>3</v>
      </c>
      <c r="I632" s="86">
        <v>18</v>
      </c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>
        <v>3</v>
      </c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>
        <v>3</v>
      </c>
      <c r="AI632" s="87"/>
      <c r="AJ632" s="87"/>
      <c r="AK632" s="87"/>
      <c r="AL632" s="87"/>
      <c r="AM632" s="87"/>
      <c r="AN632" s="87"/>
      <c r="AO632" s="87">
        <v>3</v>
      </c>
      <c r="AP632" s="87"/>
      <c r="AQ632" s="87"/>
      <c r="AR632" s="87"/>
      <c r="AS632" s="87"/>
      <c r="AT632" s="87"/>
      <c r="AU632" s="87"/>
      <c r="AV632" s="87"/>
      <c r="AW632" s="88" t="str">
        <f>HYPERLINK("http://www.openstreetmap.org/?mlat=33.2871&amp;mlon=44.5429&amp;zoom=12#map=12/33.2871/44.5429","Maplink1")</f>
        <v>Maplink1</v>
      </c>
      <c r="AX632" s="88" t="str">
        <f>HYPERLINK("https://www.google.iq/maps/search/+33.2871,44.5429/@33.2871,44.5429,14z?hl=en","Maplink2")</f>
        <v>Maplink2</v>
      </c>
      <c r="AY632" s="88" t="str">
        <f>HYPERLINK("http://www.bing.com/maps/?lvl=14&amp;sty=h&amp;cp=33.2871~44.5429&amp;sp=point.33.2871_44.5429","Maplink3")</f>
        <v>Maplink3</v>
      </c>
      <c r="AZ632" s="76"/>
    </row>
    <row r="633" spans="1:52" x14ac:dyDescent="0.25">
      <c r="A633" s="86">
        <v>7546</v>
      </c>
      <c r="B633" s="87" t="s">
        <v>14</v>
      </c>
      <c r="C633" s="87" t="s">
        <v>1270</v>
      </c>
      <c r="D633" s="87" t="s">
        <v>1283</v>
      </c>
      <c r="E633" s="87" t="s">
        <v>1284</v>
      </c>
      <c r="F633" s="87">
        <v>33.228802179900001</v>
      </c>
      <c r="G633" s="87">
        <v>44.532425831899999</v>
      </c>
      <c r="H633" s="86">
        <v>3</v>
      </c>
      <c r="I633" s="86">
        <v>18</v>
      </c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>
        <v>3</v>
      </c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>
        <v>3</v>
      </c>
      <c r="AI633" s="87"/>
      <c r="AJ633" s="87"/>
      <c r="AK633" s="87"/>
      <c r="AL633" s="87"/>
      <c r="AM633" s="87"/>
      <c r="AN633" s="87"/>
      <c r="AO633" s="87">
        <v>3</v>
      </c>
      <c r="AP633" s="87"/>
      <c r="AQ633" s="87"/>
      <c r="AR633" s="87"/>
      <c r="AS633" s="87"/>
      <c r="AT633" s="87"/>
      <c r="AU633" s="87"/>
      <c r="AV633" s="87"/>
      <c r="AW633" s="88" t="str">
        <f>HYPERLINK("http://www.openstreetmap.org/?mlat=33.2288&amp;mlon=44.5324&amp;zoom=12#map=12/33.2288/44.5324","Maplink1")</f>
        <v>Maplink1</v>
      </c>
      <c r="AX633" s="88" t="str">
        <f>HYPERLINK("https://www.google.iq/maps/search/+33.2288,44.5324/@33.2288,44.5324,14z?hl=en","Maplink2")</f>
        <v>Maplink2</v>
      </c>
      <c r="AY633" s="88" t="str">
        <f>HYPERLINK("http://www.bing.com/maps/?lvl=14&amp;sty=h&amp;cp=33.2288~44.5324&amp;sp=point.33.2288_44.5324","Maplink3")</f>
        <v>Maplink3</v>
      </c>
      <c r="AZ633" s="76"/>
    </row>
    <row r="634" spans="1:52" x14ac:dyDescent="0.25">
      <c r="A634" s="86">
        <v>7668</v>
      </c>
      <c r="B634" s="87" t="s">
        <v>14</v>
      </c>
      <c r="C634" s="87" t="s">
        <v>1270</v>
      </c>
      <c r="D634" s="87" t="s">
        <v>1285</v>
      </c>
      <c r="E634" s="87" t="s">
        <v>1286</v>
      </c>
      <c r="F634" s="87">
        <v>33.190644516299997</v>
      </c>
      <c r="G634" s="87">
        <v>44.545932643999997</v>
      </c>
      <c r="H634" s="86">
        <v>3</v>
      </c>
      <c r="I634" s="86">
        <v>18</v>
      </c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>
        <v>3</v>
      </c>
      <c r="W634" s="87"/>
      <c r="X634" s="87"/>
      <c r="Y634" s="87"/>
      <c r="Z634" s="87"/>
      <c r="AA634" s="87"/>
      <c r="AB634" s="87"/>
      <c r="AC634" s="87">
        <v>3</v>
      </c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>
        <v>3</v>
      </c>
      <c r="AP634" s="87"/>
      <c r="AQ634" s="87"/>
      <c r="AR634" s="87"/>
      <c r="AS634" s="87"/>
      <c r="AT634" s="87"/>
      <c r="AU634" s="87"/>
      <c r="AV634" s="87"/>
      <c r="AW634" s="88" t="str">
        <f>HYPERLINK("http://www.openstreetmap.org/?mlat=33.1906&amp;mlon=44.5459&amp;zoom=12#map=12/33.1906/44.5459","Maplink1")</f>
        <v>Maplink1</v>
      </c>
      <c r="AX634" s="88" t="str">
        <f>HYPERLINK("https://www.google.iq/maps/search/+33.1906,44.5459/@33.1906,44.5459,14z?hl=en","Maplink2")</f>
        <v>Maplink2</v>
      </c>
      <c r="AY634" s="88" t="str">
        <f>HYPERLINK("http://www.bing.com/maps/?lvl=14&amp;sty=h&amp;cp=33.1906~44.5459&amp;sp=point.33.1906_44.5459","Maplink3")</f>
        <v>Maplink3</v>
      </c>
      <c r="AZ634" s="76"/>
    </row>
    <row r="635" spans="1:52" x14ac:dyDescent="0.25">
      <c r="A635" s="86">
        <v>25833</v>
      </c>
      <c r="B635" s="87" t="s">
        <v>14</v>
      </c>
      <c r="C635" s="87" t="s">
        <v>1270</v>
      </c>
      <c r="D635" s="87" t="s">
        <v>1287</v>
      </c>
      <c r="E635" s="87" t="s">
        <v>1288</v>
      </c>
      <c r="F635" s="87">
        <v>33.198174703900001</v>
      </c>
      <c r="G635" s="87">
        <v>44.544656882200002</v>
      </c>
      <c r="H635" s="86">
        <v>2</v>
      </c>
      <c r="I635" s="86">
        <v>12</v>
      </c>
      <c r="J635" s="87"/>
      <c r="K635" s="87"/>
      <c r="L635" s="87"/>
      <c r="M635" s="87"/>
      <c r="N635" s="87"/>
      <c r="O635" s="87">
        <v>2</v>
      </c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>
        <v>2</v>
      </c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>
        <v>2</v>
      </c>
      <c r="AP635" s="87"/>
      <c r="AQ635" s="87"/>
      <c r="AR635" s="87"/>
      <c r="AS635" s="87"/>
      <c r="AT635" s="87"/>
      <c r="AU635" s="87"/>
      <c r="AV635" s="87"/>
      <c r="AW635" s="88" t="str">
        <f>HYPERLINK("http://www.openstreetmap.org/?mlat=33.1982&amp;mlon=44.5447&amp;zoom=12#map=12/33.1982/44.5447","Maplink1")</f>
        <v>Maplink1</v>
      </c>
      <c r="AX635" s="88" t="str">
        <f>HYPERLINK("https://www.google.iq/maps/search/+33.1982,44.5447/@33.1982,44.5447,14z?hl=en","Maplink2")</f>
        <v>Maplink2</v>
      </c>
      <c r="AY635" s="88" t="str">
        <f>HYPERLINK("http://www.bing.com/maps/?lvl=14&amp;sty=h&amp;cp=33.1982~44.5447&amp;sp=point.33.1982_44.5447","Maplink3")</f>
        <v>Maplink3</v>
      </c>
      <c r="AZ635" s="76"/>
    </row>
    <row r="636" spans="1:52" x14ac:dyDescent="0.25">
      <c r="A636" s="86">
        <v>7547</v>
      </c>
      <c r="B636" s="87" t="s">
        <v>14</v>
      </c>
      <c r="C636" s="87" t="s">
        <v>1270</v>
      </c>
      <c r="D636" s="87" t="s">
        <v>1289</v>
      </c>
      <c r="E636" s="87" t="s">
        <v>1290</v>
      </c>
      <c r="F636" s="87">
        <v>33.182544832200001</v>
      </c>
      <c r="G636" s="87">
        <v>44.5425695586</v>
      </c>
      <c r="H636" s="86">
        <v>22</v>
      </c>
      <c r="I636" s="86">
        <v>132</v>
      </c>
      <c r="J636" s="87"/>
      <c r="K636" s="87"/>
      <c r="L636" s="87"/>
      <c r="M636" s="87"/>
      <c r="N636" s="87"/>
      <c r="O636" s="87">
        <v>2</v>
      </c>
      <c r="P636" s="87"/>
      <c r="Q636" s="87"/>
      <c r="R636" s="87"/>
      <c r="S636" s="87"/>
      <c r="T636" s="87"/>
      <c r="U636" s="87"/>
      <c r="V636" s="87"/>
      <c r="W636" s="87"/>
      <c r="X636" s="87">
        <v>20</v>
      </c>
      <c r="Y636" s="87"/>
      <c r="Z636" s="87"/>
      <c r="AA636" s="87"/>
      <c r="AB636" s="87"/>
      <c r="AC636" s="87"/>
      <c r="AD636" s="87"/>
      <c r="AE636" s="87">
        <v>20</v>
      </c>
      <c r="AF636" s="87"/>
      <c r="AG636" s="87"/>
      <c r="AH636" s="87">
        <v>2</v>
      </c>
      <c r="AI636" s="87"/>
      <c r="AJ636" s="87"/>
      <c r="AK636" s="87"/>
      <c r="AL636" s="87"/>
      <c r="AM636" s="87"/>
      <c r="AN636" s="87"/>
      <c r="AO636" s="87">
        <v>2</v>
      </c>
      <c r="AP636" s="87">
        <v>20</v>
      </c>
      <c r="AQ636" s="87"/>
      <c r="AR636" s="87"/>
      <c r="AS636" s="87"/>
      <c r="AT636" s="87"/>
      <c r="AU636" s="87"/>
      <c r="AV636" s="87"/>
      <c r="AW636" s="88" t="str">
        <f>HYPERLINK("http://www.openstreetmap.org/?mlat=33.1825&amp;mlon=44.5426&amp;zoom=12#map=12/33.1825/44.5426","Maplink1")</f>
        <v>Maplink1</v>
      </c>
      <c r="AX636" s="88" t="str">
        <f>HYPERLINK("https://www.google.iq/maps/search/+33.1825,44.5426/@33.1825,44.5426,14z?hl=en","Maplink2")</f>
        <v>Maplink2</v>
      </c>
      <c r="AY636" s="88" t="str">
        <f>HYPERLINK("http://www.bing.com/maps/?lvl=14&amp;sty=h&amp;cp=33.1825~44.5426&amp;sp=point.33.1825_44.5426","Maplink3")</f>
        <v>Maplink3</v>
      </c>
      <c r="AZ636" s="76"/>
    </row>
    <row r="637" spans="1:52" x14ac:dyDescent="0.25">
      <c r="A637" s="86">
        <v>25130</v>
      </c>
      <c r="B637" s="87" t="s">
        <v>14</v>
      </c>
      <c r="C637" s="87" t="s">
        <v>1270</v>
      </c>
      <c r="D637" s="87" t="s">
        <v>1291</v>
      </c>
      <c r="E637" s="87" t="s">
        <v>1292</v>
      </c>
      <c r="F637" s="87">
        <v>33.250453732300002</v>
      </c>
      <c r="G637" s="87">
        <v>44.608268861799999</v>
      </c>
      <c r="H637" s="86">
        <v>8</v>
      </c>
      <c r="I637" s="86">
        <v>48</v>
      </c>
      <c r="J637" s="87"/>
      <c r="K637" s="87"/>
      <c r="L637" s="87"/>
      <c r="M637" s="87"/>
      <c r="N637" s="87"/>
      <c r="O637" s="87">
        <v>2</v>
      </c>
      <c r="P637" s="87"/>
      <c r="Q637" s="87"/>
      <c r="R637" s="87"/>
      <c r="S637" s="87"/>
      <c r="T637" s="87"/>
      <c r="U637" s="87"/>
      <c r="V637" s="87">
        <v>4</v>
      </c>
      <c r="W637" s="87"/>
      <c r="X637" s="87">
        <v>2</v>
      </c>
      <c r="Y637" s="87"/>
      <c r="Z637" s="87"/>
      <c r="AA637" s="87"/>
      <c r="AB637" s="87"/>
      <c r="AC637" s="87">
        <v>2</v>
      </c>
      <c r="AD637" s="87"/>
      <c r="AE637" s="87"/>
      <c r="AF637" s="87"/>
      <c r="AG637" s="87"/>
      <c r="AH637" s="87">
        <v>4</v>
      </c>
      <c r="AI637" s="87">
        <v>2</v>
      </c>
      <c r="AJ637" s="87"/>
      <c r="AK637" s="87"/>
      <c r="AL637" s="87"/>
      <c r="AM637" s="87"/>
      <c r="AN637" s="87">
        <v>2</v>
      </c>
      <c r="AO637" s="87">
        <v>2</v>
      </c>
      <c r="AP637" s="87">
        <v>4</v>
      </c>
      <c r="AQ637" s="87"/>
      <c r="AR637" s="87"/>
      <c r="AS637" s="87"/>
      <c r="AT637" s="87"/>
      <c r="AU637" s="87"/>
      <c r="AV637" s="87"/>
      <c r="AW637" s="88" t="str">
        <f>HYPERLINK("http://www.openstreetmap.org/?mlat=33.2505&amp;mlon=44.6083&amp;zoom=12#map=12/33.2505/44.6083","Maplink1")</f>
        <v>Maplink1</v>
      </c>
      <c r="AX637" s="88" t="str">
        <f>HYPERLINK("https://www.google.iq/maps/search/+33.2505,44.6083/@33.2505,44.6083,14z?hl=en","Maplink2")</f>
        <v>Maplink2</v>
      </c>
      <c r="AY637" s="88" t="str">
        <f>HYPERLINK("http://www.bing.com/maps/?lvl=14&amp;sty=h&amp;cp=33.2505~44.6083&amp;sp=point.33.2505_44.6083","Maplink3")</f>
        <v>Maplink3</v>
      </c>
      <c r="AZ637" s="76"/>
    </row>
    <row r="638" spans="1:52" x14ac:dyDescent="0.25">
      <c r="A638" s="86">
        <v>25138</v>
      </c>
      <c r="B638" s="87" t="s">
        <v>14</v>
      </c>
      <c r="C638" s="87" t="s">
        <v>1270</v>
      </c>
      <c r="D638" s="87" t="s">
        <v>1293</v>
      </c>
      <c r="E638" s="87" t="s">
        <v>1294</v>
      </c>
      <c r="F638" s="87">
        <v>33.246560684000002</v>
      </c>
      <c r="G638" s="87">
        <v>44.602115349499996</v>
      </c>
      <c r="H638" s="86">
        <v>5</v>
      </c>
      <c r="I638" s="86">
        <v>30</v>
      </c>
      <c r="J638" s="87"/>
      <c r="K638" s="87"/>
      <c r="L638" s="87"/>
      <c r="M638" s="87"/>
      <c r="N638" s="87"/>
      <c r="O638" s="87">
        <v>1</v>
      </c>
      <c r="P638" s="87"/>
      <c r="Q638" s="87"/>
      <c r="R638" s="87"/>
      <c r="S638" s="87"/>
      <c r="T638" s="87"/>
      <c r="U638" s="87"/>
      <c r="V638" s="87">
        <v>4</v>
      </c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>
        <v>3</v>
      </c>
      <c r="AI638" s="87">
        <v>2</v>
      </c>
      <c r="AJ638" s="87"/>
      <c r="AK638" s="87"/>
      <c r="AL638" s="87"/>
      <c r="AM638" s="87"/>
      <c r="AN638" s="87"/>
      <c r="AO638" s="87">
        <v>4</v>
      </c>
      <c r="AP638" s="87"/>
      <c r="AQ638" s="87">
        <v>1</v>
      </c>
      <c r="AR638" s="87"/>
      <c r="AS638" s="87"/>
      <c r="AT638" s="87"/>
      <c r="AU638" s="87"/>
      <c r="AV638" s="87"/>
      <c r="AW638" s="88" t="str">
        <f>HYPERLINK("http://www.openstreetmap.org/?mlat=33.2466&amp;mlon=44.6021&amp;zoom=12#map=12/33.2466/44.6021","Maplink1")</f>
        <v>Maplink1</v>
      </c>
      <c r="AX638" s="88" t="str">
        <f>HYPERLINK("https://www.google.iq/maps/search/+33.2466,44.6021/@33.2466,44.6021,14z?hl=en","Maplink2")</f>
        <v>Maplink2</v>
      </c>
      <c r="AY638" s="88" t="str">
        <f>HYPERLINK("http://www.bing.com/maps/?lvl=14&amp;sty=h&amp;cp=33.2466~44.6021&amp;sp=point.33.2466_44.6021","Maplink3")</f>
        <v>Maplink3</v>
      </c>
      <c r="AZ638" s="76"/>
    </row>
    <row r="639" spans="1:52" x14ac:dyDescent="0.25">
      <c r="A639" s="86">
        <v>24760</v>
      </c>
      <c r="B639" s="87" t="s">
        <v>14</v>
      </c>
      <c r="C639" s="87" t="s">
        <v>1270</v>
      </c>
      <c r="D639" s="87" t="s">
        <v>1295</v>
      </c>
      <c r="E639" s="87" t="s">
        <v>1296</v>
      </c>
      <c r="F639" s="87">
        <v>33.363455284700002</v>
      </c>
      <c r="G639" s="87">
        <v>44.662030697799999</v>
      </c>
      <c r="H639" s="86">
        <v>65</v>
      </c>
      <c r="I639" s="86">
        <v>390</v>
      </c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>
        <v>65</v>
      </c>
      <c r="W639" s="87"/>
      <c r="X639" s="87"/>
      <c r="Y639" s="87"/>
      <c r="Z639" s="87"/>
      <c r="AA639" s="87"/>
      <c r="AB639" s="87">
        <v>65</v>
      </c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>
        <v>65</v>
      </c>
      <c r="AP639" s="87"/>
      <c r="AQ639" s="87"/>
      <c r="AR639" s="87"/>
      <c r="AS639" s="87"/>
      <c r="AT639" s="87"/>
      <c r="AU639" s="87"/>
      <c r="AV639" s="87"/>
      <c r="AW639" s="88" t="str">
        <f>HYPERLINK("http://www.openstreetmap.org/?mlat=33.3635&amp;mlon=44.662&amp;zoom=12#map=12/33.3635/44.662","Maplink1")</f>
        <v>Maplink1</v>
      </c>
      <c r="AX639" s="88" t="str">
        <f>HYPERLINK("https://www.google.iq/maps/search/+33.3635,44.662/@33.3635,44.662,14z?hl=en","Maplink2")</f>
        <v>Maplink2</v>
      </c>
      <c r="AY639" s="88" t="str">
        <f>HYPERLINK("http://www.bing.com/maps/?lvl=14&amp;sty=h&amp;cp=33.3635~44.662&amp;sp=point.33.3635_44.662","Maplink3")</f>
        <v>Maplink3</v>
      </c>
      <c r="AZ639" s="76"/>
    </row>
    <row r="640" spans="1:52" x14ac:dyDescent="0.25">
      <c r="A640" s="86">
        <v>27417</v>
      </c>
      <c r="B640" s="87" t="s">
        <v>14</v>
      </c>
      <c r="C640" s="87" t="s">
        <v>1270</v>
      </c>
      <c r="D640" s="87" t="s">
        <v>1297</v>
      </c>
      <c r="E640" s="87" t="s">
        <v>1298</v>
      </c>
      <c r="F640" s="87">
        <v>33.118709129599999</v>
      </c>
      <c r="G640" s="87">
        <v>44.576104158699998</v>
      </c>
      <c r="H640" s="86">
        <v>5</v>
      </c>
      <c r="I640" s="86">
        <v>30</v>
      </c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>
        <v>5</v>
      </c>
      <c r="W640" s="87"/>
      <c r="X640" s="87"/>
      <c r="Y640" s="87"/>
      <c r="Z640" s="87"/>
      <c r="AA640" s="87"/>
      <c r="AB640" s="87"/>
      <c r="AC640" s="87">
        <v>3</v>
      </c>
      <c r="AD640" s="87"/>
      <c r="AE640" s="87"/>
      <c r="AF640" s="87"/>
      <c r="AG640" s="87"/>
      <c r="AH640" s="87">
        <v>2</v>
      </c>
      <c r="AI640" s="87"/>
      <c r="AJ640" s="87"/>
      <c r="AK640" s="87"/>
      <c r="AL640" s="87"/>
      <c r="AM640" s="87"/>
      <c r="AN640" s="87"/>
      <c r="AO640" s="87">
        <v>5</v>
      </c>
      <c r="AP640" s="87"/>
      <c r="AQ640" s="87"/>
      <c r="AR640" s="87"/>
      <c r="AS640" s="87"/>
      <c r="AT640" s="87"/>
      <c r="AU640" s="87"/>
      <c r="AV640" s="87"/>
      <c r="AW640" s="88" t="str">
        <f>HYPERLINK("http://www.openstreetmap.org/?mlat=33.1187&amp;mlon=44.5761&amp;zoom=12#map=12/33.1187/44.5761","Maplink1")</f>
        <v>Maplink1</v>
      </c>
      <c r="AX640" s="88" t="str">
        <f>HYPERLINK("https://www.google.iq/maps/search/+33.1187,44.5761/@33.1187,44.5761,14z?hl=en","Maplink2")</f>
        <v>Maplink2</v>
      </c>
      <c r="AY640" s="88" t="str">
        <f>HYPERLINK("http://www.bing.com/maps/?lvl=14&amp;sty=h&amp;cp=33.1187~44.5761&amp;sp=point.33.1187_44.5761","Maplink3")</f>
        <v>Maplink3</v>
      </c>
      <c r="AZ640" s="76"/>
    </row>
    <row r="641" spans="1:52" x14ac:dyDescent="0.25">
      <c r="A641" s="86">
        <v>27393</v>
      </c>
      <c r="B641" s="87" t="s">
        <v>14</v>
      </c>
      <c r="C641" s="87" t="s">
        <v>1270</v>
      </c>
      <c r="D641" s="87" t="s">
        <v>1299</v>
      </c>
      <c r="E641" s="87" t="s">
        <v>204</v>
      </c>
      <c r="F641" s="87">
        <v>33.221467298500002</v>
      </c>
      <c r="G641" s="87">
        <v>44.528802907500001</v>
      </c>
      <c r="H641" s="86">
        <v>3</v>
      </c>
      <c r="I641" s="86">
        <v>18</v>
      </c>
      <c r="J641" s="87"/>
      <c r="K641" s="87"/>
      <c r="L641" s="87"/>
      <c r="M641" s="87"/>
      <c r="N641" s="87"/>
      <c r="O641" s="87">
        <v>3</v>
      </c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>
        <v>2</v>
      </c>
      <c r="AD641" s="87"/>
      <c r="AE641" s="87"/>
      <c r="AF641" s="87"/>
      <c r="AG641" s="87"/>
      <c r="AH641" s="87">
        <v>1</v>
      </c>
      <c r="AI641" s="87"/>
      <c r="AJ641" s="87"/>
      <c r="AK641" s="87"/>
      <c r="AL641" s="87"/>
      <c r="AM641" s="87"/>
      <c r="AN641" s="87"/>
      <c r="AO641" s="87">
        <v>3</v>
      </c>
      <c r="AP641" s="87"/>
      <c r="AQ641" s="87"/>
      <c r="AR641" s="87"/>
      <c r="AS641" s="87"/>
      <c r="AT641" s="87"/>
      <c r="AU641" s="87"/>
      <c r="AV641" s="87"/>
      <c r="AW641" s="88" t="str">
        <f>HYPERLINK("http://www.openstreetmap.org/?mlat=33.2215&amp;mlon=44.5288&amp;zoom=12#map=12/33.2215/44.5288","Maplink1")</f>
        <v>Maplink1</v>
      </c>
      <c r="AX641" s="88" t="str">
        <f>HYPERLINK("https://www.google.iq/maps/search/+33.2215,44.5288/@33.2215,44.5288,14z?hl=en","Maplink2")</f>
        <v>Maplink2</v>
      </c>
      <c r="AY641" s="88" t="str">
        <f>HYPERLINK("http://www.bing.com/maps/?lvl=14&amp;sty=h&amp;cp=33.2215~44.5288&amp;sp=point.33.2215_44.5288","Maplink3")</f>
        <v>Maplink3</v>
      </c>
      <c r="AZ641" s="76"/>
    </row>
    <row r="642" spans="1:52" x14ac:dyDescent="0.25">
      <c r="A642" s="86">
        <v>27418</v>
      </c>
      <c r="B642" s="87" t="s">
        <v>14</v>
      </c>
      <c r="C642" s="87" t="s">
        <v>1270</v>
      </c>
      <c r="D642" s="87" t="s">
        <v>1300</v>
      </c>
      <c r="E642" s="87" t="s">
        <v>1301</v>
      </c>
      <c r="F642" s="87">
        <v>33.105271411499999</v>
      </c>
      <c r="G642" s="87">
        <v>44.575107752299999</v>
      </c>
      <c r="H642" s="86">
        <v>4</v>
      </c>
      <c r="I642" s="86">
        <v>24</v>
      </c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>
        <v>4</v>
      </c>
      <c r="W642" s="87"/>
      <c r="X642" s="87"/>
      <c r="Y642" s="87"/>
      <c r="Z642" s="87"/>
      <c r="AA642" s="87"/>
      <c r="AB642" s="87"/>
      <c r="AC642" s="87">
        <v>4</v>
      </c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>
        <v>4</v>
      </c>
      <c r="AP642" s="87"/>
      <c r="AQ642" s="87"/>
      <c r="AR642" s="87"/>
      <c r="AS642" s="87"/>
      <c r="AT642" s="87"/>
      <c r="AU642" s="87"/>
      <c r="AV642" s="87"/>
      <c r="AW642" s="88" t="str">
        <f>HYPERLINK("http://www.openstreetmap.org/?mlat=33.1053&amp;mlon=44.5751&amp;zoom=12#map=12/33.1053/44.5751","Maplink1")</f>
        <v>Maplink1</v>
      </c>
      <c r="AX642" s="88" t="str">
        <f>HYPERLINK("https://www.google.iq/maps/search/+33.1053,44.5751/@33.1053,44.5751,14z?hl=en","Maplink2")</f>
        <v>Maplink2</v>
      </c>
      <c r="AY642" s="88" t="str">
        <f>HYPERLINK("http://www.bing.com/maps/?lvl=14&amp;sty=h&amp;cp=33.1053~44.5751&amp;sp=point.33.1053_44.5751","Maplink3")</f>
        <v>Maplink3</v>
      </c>
      <c r="AZ642" s="76"/>
    </row>
    <row r="643" spans="1:52" x14ac:dyDescent="0.25">
      <c r="A643" s="86">
        <v>24998</v>
      </c>
      <c r="B643" s="87" t="s">
        <v>14</v>
      </c>
      <c r="C643" s="87" t="s">
        <v>1270</v>
      </c>
      <c r="D643" s="87" t="s">
        <v>1302</v>
      </c>
      <c r="E643" s="87" t="s">
        <v>1303</v>
      </c>
      <c r="F643" s="87">
        <v>33.371733600699997</v>
      </c>
      <c r="G643" s="87">
        <v>44.7030391925</v>
      </c>
      <c r="H643" s="86">
        <v>2</v>
      </c>
      <c r="I643" s="86">
        <v>12</v>
      </c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>
        <v>2</v>
      </c>
      <c r="W643" s="87"/>
      <c r="X643" s="87"/>
      <c r="Y643" s="87"/>
      <c r="Z643" s="87"/>
      <c r="AA643" s="87"/>
      <c r="AB643" s="87"/>
      <c r="AC643" s="87">
        <v>2</v>
      </c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>
        <v>2</v>
      </c>
      <c r="AP643" s="87"/>
      <c r="AQ643" s="87"/>
      <c r="AR643" s="87"/>
      <c r="AS643" s="87"/>
      <c r="AT643" s="87"/>
      <c r="AU643" s="87"/>
      <c r="AV643" s="87"/>
      <c r="AW643" s="88" t="str">
        <f>HYPERLINK("http://www.openstreetmap.org/?mlat=33.3717&amp;mlon=44.703&amp;zoom=12#map=12/33.3717/44.703","Maplink1")</f>
        <v>Maplink1</v>
      </c>
      <c r="AX643" s="88" t="str">
        <f>HYPERLINK("https://www.google.iq/maps/search/+33.3717,44.703/@33.3717,44.703,14z?hl=en","Maplink2")</f>
        <v>Maplink2</v>
      </c>
      <c r="AY643" s="88" t="str">
        <f>HYPERLINK("http://www.bing.com/maps/?lvl=14&amp;sty=h&amp;cp=33.3717~44.703&amp;sp=point.33.3717_44.703","Maplink3")</f>
        <v>Maplink3</v>
      </c>
      <c r="AZ643" s="76"/>
    </row>
    <row r="644" spans="1:52" x14ac:dyDescent="0.25">
      <c r="A644" s="86">
        <v>24996</v>
      </c>
      <c r="B644" s="87" t="s">
        <v>14</v>
      </c>
      <c r="C644" s="87" t="s">
        <v>1270</v>
      </c>
      <c r="D644" s="87" t="s">
        <v>1304</v>
      </c>
      <c r="E644" s="87" t="s">
        <v>221</v>
      </c>
      <c r="F644" s="87">
        <v>33.374674196699999</v>
      </c>
      <c r="G644" s="87">
        <v>44.698270630300001</v>
      </c>
      <c r="H644" s="86">
        <v>3</v>
      </c>
      <c r="I644" s="86">
        <v>18</v>
      </c>
      <c r="J644" s="87"/>
      <c r="K644" s="87"/>
      <c r="L644" s="87"/>
      <c r="M644" s="87"/>
      <c r="N644" s="87"/>
      <c r="O644" s="87">
        <v>3</v>
      </c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>
        <v>3</v>
      </c>
      <c r="AJ644" s="87"/>
      <c r="AK644" s="87"/>
      <c r="AL644" s="87"/>
      <c r="AM644" s="87"/>
      <c r="AN644" s="87"/>
      <c r="AO644" s="87"/>
      <c r="AP644" s="87">
        <v>3</v>
      </c>
      <c r="AQ644" s="87"/>
      <c r="AR644" s="87"/>
      <c r="AS644" s="87"/>
      <c r="AT644" s="87"/>
      <c r="AU644" s="87"/>
      <c r="AV644" s="87"/>
      <c r="AW644" s="88" t="str">
        <f>HYPERLINK("http://www.openstreetmap.org/?mlat=33.3747&amp;mlon=44.6983&amp;zoom=12#map=12/33.3747/44.6983","Maplink1")</f>
        <v>Maplink1</v>
      </c>
      <c r="AX644" s="88" t="str">
        <f>HYPERLINK("https://www.google.iq/maps/search/+33.3747,44.6983/@33.3747,44.6983,14z?hl=en","Maplink2")</f>
        <v>Maplink2</v>
      </c>
      <c r="AY644" s="88" t="str">
        <f>HYPERLINK("http://www.bing.com/maps/?lvl=14&amp;sty=h&amp;cp=33.3747~44.6983&amp;sp=point.33.3747_44.6983","Maplink3")</f>
        <v>Maplink3</v>
      </c>
      <c r="AZ644" s="76"/>
    </row>
    <row r="645" spans="1:52" x14ac:dyDescent="0.25">
      <c r="A645" s="86">
        <v>7680</v>
      </c>
      <c r="B645" s="87" t="s">
        <v>14</v>
      </c>
      <c r="C645" s="87" t="s">
        <v>1270</v>
      </c>
      <c r="D645" s="87" t="s">
        <v>1305</v>
      </c>
      <c r="E645" s="87" t="s">
        <v>72</v>
      </c>
      <c r="F645" s="87">
        <v>33.0990816252</v>
      </c>
      <c r="G645" s="87">
        <v>44.587201691499999</v>
      </c>
      <c r="H645" s="86">
        <v>7</v>
      </c>
      <c r="I645" s="86">
        <v>42</v>
      </c>
      <c r="J645" s="87"/>
      <c r="K645" s="87"/>
      <c r="L645" s="87"/>
      <c r="M645" s="87"/>
      <c r="N645" s="87"/>
      <c r="O645" s="87">
        <v>3</v>
      </c>
      <c r="P645" s="87"/>
      <c r="Q645" s="87"/>
      <c r="R645" s="87"/>
      <c r="S645" s="87"/>
      <c r="T645" s="87"/>
      <c r="U645" s="87"/>
      <c r="V645" s="87">
        <v>4</v>
      </c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>
        <v>7</v>
      </c>
      <c r="AI645" s="87"/>
      <c r="AJ645" s="87"/>
      <c r="AK645" s="87"/>
      <c r="AL645" s="87"/>
      <c r="AM645" s="87"/>
      <c r="AN645" s="87"/>
      <c r="AO645" s="87">
        <v>7</v>
      </c>
      <c r="AP645" s="87"/>
      <c r="AQ645" s="87"/>
      <c r="AR645" s="87"/>
      <c r="AS645" s="87"/>
      <c r="AT645" s="87"/>
      <c r="AU645" s="87"/>
      <c r="AV645" s="87"/>
      <c r="AW645" s="88" t="str">
        <f>HYPERLINK("http://www.openstreetmap.org/?mlat=33.0991&amp;mlon=44.5872&amp;zoom=12#map=12/33.0991/44.5872","Maplink1")</f>
        <v>Maplink1</v>
      </c>
      <c r="AX645" s="88" t="str">
        <f>HYPERLINK("https://www.google.iq/maps/search/+33.0991,44.5872/@33.0991,44.5872,14z?hl=en","Maplink2")</f>
        <v>Maplink2</v>
      </c>
      <c r="AY645" s="88" t="str">
        <f>HYPERLINK("http://www.bing.com/maps/?lvl=14&amp;sty=h&amp;cp=33.0991~44.5872&amp;sp=point.33.0991_44.5872","Maplink3")</f>
        <v>Maplink3</v>
      </c>
      <c r="AZ645" s="76"/>
    </row>
    <row r="646" spans="1:52" x14ac:dyDescent="0.25">
      <c r="A646" s="86">
        <v>25839</v>
      </c>
      <c r="B646" s="87" t="s">
        <v>14</v>
      </c>
      <c r="C646" s="87" t="s">
        <v>1270</v>
      </c>
      <c r="D646" s="87" t="s">
        <v>73</v>
      </c>
      <c r="E646" s="87" t="s">
        <v>74</v>
      </c>
      <c r="F646" s="87">
        <v>33.2247018909</v>
      </c>
      <c r="G646" s="87">
        <v>44.519683821100003</v>
      </c>
      <c r="H646" s="86">
        <v>3</v>
      </c>
      <c r="I646" s="86">
        <v>18</v>
      </c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>
        <v>3</v>
      </c>
      <c r="W646" s="87"/>
      <c r="X646" s="87"/>
      <c r="Y646" s="87"/>
      <c r="Z646" s="87"/>
      <c r="AA646" s="87"/>
      <c r="AB646" s="87"/>
      <c r="AC646" s="87">
        <v>3</v>
      </c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>
        <v>3</v>
      </c>
      <c r="AQ646" s="87"/>
      <c r="AR646" s="87"/>
      <c r="AS646" s="87"/>
      <c r="AT646" s="87"/>
      <c r="AU646" s="87"/>
      <c r="AV646" s="87"/>
      <c r="AW646" s="88" t="str">
        <f>HYPERLINK("http://www.openstreetmap.org/?mlat=33.2247&amp;mlon=44.5197&amp;zoom=12#map=12/33.2247/44.5197","Maplink1")</f>
        <v>Maplink1</v>
      </c>
      <c r="AX646" s="88" t="str">
        <f>HYPERLINK("https://www.google.iq/maps/search/+33.2247,44.5197/@33.2247,44.5197,14z?hl=en","Maplink2")</f>
        <v>Maplink2</v>
      </c>
      <c r="AY646" s="88" t="str">
        <f>HYPERLINK("http://www.bing.com/maps/?lvl=14&amp;sty=h&amp;cp=33.2247~44.5197&amp;sp=point.33.2247_44.5197","Maplink3")</f>
        <v>Maplink3</v>
      </c>
      <c r="AZ646" s="76"/>
    </row>
    <row r="647" spans="1:52" x14ac:dyDescent="0.25">
      <c r="A647" s="86">
        <v>24997</v>
      </c>
      <c r="B647" s="87" t="s">
        <v>14</v>
      </c>
      <c r="C647" s="87" t="s">
        <v>1270</v>
      </c>
      <c r="D647" s="87" t="s">
        <v>1306</v>
      </c>
      <c r="E647" s="87" t="s">
        <v>1307</v>
      </c>
      <c r="F647" s="87">
        <v>33.372922527900002</v>
      </c>
      <c r="G647" s="87">
        <v>44.7023442976</v>
      </c>
      <c r="H647" s="86">
        <v>2</v>
      </c>
      <c r="I647" s="86">
        <v>12</v>
      </c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>
        <v>2</v>
      </c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>
        <v>2</v>
      </c>
      <c r="AJ647" s="87"/>
      <c r="AK647" s="87"/>
      <c r="AL647" s="87"/>
      <c r="AM647" s="87"/>
      <c r="AN647" s="87"/>
      <c r="AO647" s="87">
        <v>2</v>
      </c>
      <c r="AP647" s="87"/>
      <c r="AQ647" s="87"/>
      <c r="AR647" s="87"/>
      <c r="AS647" s="87"/>
      <c r="AT647" s="87"/>
      <c r="AU647" s="87"/>
      <c r="AV647" s="87"/>
      <c r="AW647" s="88" t="str">
        <f>HYPERLINK("http://www.openstreetmap.org/?mlat=33.3729&amp;mlon=44.7023&amp;zoom=12#map=12/33.3729/44.7023","Maplink1")</f>
        <v>Maplink1</v>
      </c>
      <c r="AX647" s="88" t="str">
        <f>HYPERLINK("https://www.google.iq/maps/search/+33.3729,44.7023/@33.3729,44.7023,14z?hl=en","Maplink2")</f>
        <v>Maplink2</v>
      </c>
      <c r="AY647" s="88" t="str">
        <f>HYPERLINK("http://www.bing.com/maps/?lvl=14&amp;sty=h&amp;cp=33.3729~44.7023&amp;sp=point.33.3729_44.7023","Maplink3")</f>
        <v>Maplink3</v>
      </c>
      <c r="AZ647" s="76"/>
    </row>
    <row r="648" spans="1:52" x14ac:dyDescent="0.25">
      <c r="A648" s="86">
        <v>21298</v>
      </c>
      <c r="B648" s="87" t="s">
        <v>14</v>
      </c>
      <c r="C648" s="87" t="s">
        <v>1270</v>
      </c>
      <c r="D648" s="87" t="s">
        <v>1308</v>
      </c>
      <c r="E648" s="87" t="s">
        <v>1309</v>
      </c>
      <c r="F648" s="87">
        <v>33.225812814100003</v>
      </c>
      <c r="G648" s="87">
        <v>44.530480674800003</v>
      </c>
      <c r="H648" s="86">
        <v>2</v>
      </c>
      <c r="I648" s="86">
        <v>12</v>
      </c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>
        <v>2</v>
      </c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>
        <v>2</v>
      </c>
      <c r="AI648" s="87"/>
      <c r="AJ648" s="87"/>
      <c r="AK648" s="87"/>
      <c r="AL648" s="87"/>
      <c r="AM648" s="87"/>
      <c r="AN648" s="87"/>
      <c r="AO648" s="87">
        <v>2</v>
      </c>
      <c r="AP648" s="87"/>
      <c r="AQ648" s="87"/>
      <c r="AR648" s="87"/>
      <c r="AS648" s="87"/>
      <c r="AT648" s="87"/>
      <c r="AU648" s="87"/>
      <c r="AV648" s="87"/>
      <c r="AW648" s="88" t="str">
        <f>HYPERLINK("http://www.openstreetmap.org/?mlat=33.2258&amp;mlon=44.5305&amp;zoom=12#map=12/33.2258/44.5305","Maplink1")</f>
        <v>Maplink1</v>
      </c>
      <c r="AX648" s="88" t="str">
        <f>HYPERLINK("https://www.google.iq/maps/search/+33.2258,44.5305/@33.2258,44.5305,14z?hl=en","Maplink2")</f>
        <v>Maplink2</v>
      </c>
      <c r="AY648" s="88" t="str">
        <f>HYPERLINK("http://www.bing.com/maps/?lvl=14&amp;sty=h&amp;cp=33.2258~44.5305&amp;sp=point.33.2258_44.5305","Maplink3")</f>
        <v>Maplink3</v>
      </c>
      <c r="AZ648" s="76"/>
    </row>
    <row r="649" spans="1:52" x14ac:dyDescent="0.25">
      <c r="A649" s="86">
        <v>25835</v>
      </c>
      <c r="B649" s="87" t="s">
        <v>14</v>
      </c>
      <c r="C649" s="87" t="s">
        <v>1270</v>
      </c>
      <c r="D649" s="87" t="s">
        <v>1310</v>
      </c>
      <c r="E649" s="87" t="s">
        <v>1311</v>
      </c>
      <c r="F649" s="87">
        <v>33.217009708299997</v>
      </c>
      <c r="G649" s="87">
        <v>44.542411782499997</v>
      </c>
      <c r="H649" s="86">
        <v>4</v>
      </c>
      <c r="I649" s="86">
        <v>24</v>
      </c>
      <c r="J649" s="87"/>
      <c r="K649" s="87"/>
      <c r="L649" s="87"/>
      <c r="M649" s="87"/>
      <c r="N649" s="87"/>
      <c r="O649" s="87">
        <v>2</v>
      </c>
      <c r="P649" s="87"/>
      <c r="Q649" s="87"/>
      <c r="R649" s="87"/>
      <c r="S649" s="87"/>
      <c r="T649" s="87"/>
      <c r="U649" s="87"/>
      <c r="V649" s="87"/>
      <c r="W649" s="87"/>
      <c r="X649" s="87">
        <v>2</v>
      </c>
      <c r="Y649" s="87"/>
      <c r="Z649" s="87"/>
      <c r="AA649" s="87"/>
      <c r="AB649" s="87"/>
      <c r="AC649" s="87"/>
      <c r="AD649" s="87"/>
      <c r="AE649" s="87"/>
      <c r="AF649" s="87"/>
      <c r="AG649" s="87"/>
      <c r="AH649" s="87">
        <v>3</v>
      </c>
      <c r="AI649" s="87">
        <v>1</v>
      </c>
      <c r="AJ649" s="87"/>
      <c r="AK649" s="87"/>
      <c r="AL649" s="87"/>
      <c r="AM649" s="87"/>
      <c r="AN649" s="87"/>
      <c r="AO649" s="87">
        <v>2</v>
      </c>
      <c r="AP649" s="87"/>
      <c r="AQ649" s="87">
        <v>2</v>
      </c>
      <c r="AR649" s="87"/>
      <c r="AS649" s="87"/>
      <c r="AT649" s="87"/>
      <c r="AU649" s="87"/>
      <c r="AV649" s="87"/>
      <c r="AW649" s="88" t="str">
        <f>HYPERLINK("http://www.openstreetmap.org/?mlat=33.217&amp;mlon=44.5424&amp;zoom=12#map=12/33.217/44.5424","Maplink1")</f>
        <v>Maplink1</v>
      </c>
      <c r="AX649" s="88" t="str">
        <f>HYPERLINK("https://www.google.iq/maps/search/+33.217,44.5424/@33.217,44.5424,14z?hl=en","Maplink2")</f>
        <v>Maplink2</v>
      </c>
      <c r="AY649" s="88" t="str">
        <f>HYPERLINK("http://www.bing.com/maps/?lvl=14&amp;sty=h&amp;cp=33.217~44.5424&amp;sp=point.33.217_44.5424","Maplink3")</f>
        <v>Maplink3</v>
      </c>
      <c r="AZ649" s="76"/>
    </row>
    <row r="650" spans="1:52" x14ac:dyDescent="0.25">
      <c r="A650" s="86">
        <v>24999</v>
      </c>
      <c r="B650" s="87" t="s">
        <v>14</v>
      </c>
      <c r="C650" s="87" t="s">
        <v>1270</v>
      </c>
      <c r="D650" s="87" t="s">
        <v>1312</v>
      </c>
      <c r="E650" s="87" t="s">
        <v>1313</v>
      </c>
      <c r="F650" s="87">
        <v>33.370319781299997</v>
      </c>
      <c r="G650" s="87">
        <v>44.679301084099997</v>
      </c>
      <c r="H650" s="86">
        <v>3</v>
      </c>
      <c r="I650" s="86">
        <v>18</v>
      </c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>
        <v>3</v>
      </c>
      <c r="W650" s="87"/>
      <c r="X650" s="87"/>
      <c r="Y650" s="87"/>
      <c r="Z650" s="87"/>
      <c r="AA650" s="87"/>
      <c r="AB650" s="87"/>
      <c r="AC650" s="87">
        <v>3</v>
      </c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>
        <v>3</v>
      </c>
      <c r="AP650" s="87"/>
      <c r="AQ650" s="87"/>
      <c r="AR650" s="87"/>
      <c r="AS650" s="87"/>
      <c r="AT650" s="87"/>
      <c r="AU650" s="87"/>
      <c r="AV650" s="87"/>
      <c r="AW650" s="88" t="str">
        <f>HYPERLINK("http://www.openstreetmap.org/?mlat=33.3703&amp;mlon=44.6793&amp;zoom=12#map=12/33.3703/44.6793","Maplink1")</f>
        <v>Maplink1</v>
      </c>
      <c r="AX650" s="88" t="str">
        <f>HYPERLINK("https://www.google.iq/maps/search/+33.3703,44.6793/@33.3703,44.6793,14z?hl=en","Maplink2")</f>
        <v>Maplink2</v>
      </c>
      <c r="AY650" s="88" t="str">
        <f>HYPERLINK("http://www.bing.com/maps/?lvl=14&amp;sty=h&amp;cp=33.3703~44.6793&amp;sp=point.33.3703_44.6793","Maplink3")</f>
        <v>Maplink3</v>
      </c>
      <c r="AZ650" s="76"/>
    </row>
    <row r="651" spans="1:52" x14ac:dyDescent="0.25">
      <c r="A651" s="86">
        <v>27416</v>
      </c>
      <c r="B651" s="87" t="s">
        <v>14</v>
      </c>
      <c r="C651" s="87" t="s">
        <v>1270</v>
      </c>
      <c r="D651" s="87" t="s">
        <v>1314</v>
      </c>
      <c r="E651" s="87" t="s">
        <v>1315</v>
      </c>
      <c r="F651" s="87">
        <v>33.167482747999998</v>
      </c>
      <c r="G651" s="87">
        <v>44.5653347939</v>
      </c>
      <c r="H651" s="86">
        <v>5</v>
      </c>
      <c r="I651" s="86">
        <v>30</v>
      </c>
      <c r="J651" s="87"/>
      <c r="K651" s="87"/>
      <c r="L651" s="87"/>
      <c r="M651" s="87"/>
      <c r="N651" s="87"/>
      <c r="O651" s="87">
        <v>2</v>
      </c>
      <c r="P651" s="87"/>
      <c r="Q651" s="87"/>
      <c r="R651" s="87"/>
      <c r="S651" s="87"/>
      <c r="T651" s="87"/>
      <c r="U651" s="87"/>
      <c r="V651" s="87">
        <v>3</v>
      </c>
      <c r="W651" s="87"/>
      <c r="X651" s="87"/>
      <c r="Y651" s="87"/>
      <c r="Z651" s="87"/>
      <c r="AA651" s="87"/>
      <c r="AB651" s="87"/>
      <c r="AC651" s="87">
        <v>2</v>
      </c>
      <c r="AD651" s="87"/>
      <c r="AE651" s="87"/>
      <c r="AF651" s="87"/>
      <c r="AG651" s="87"/>
      <c r="AH651" s="87">
        <v>3</v>
      </c>
      <c r="AI651" s="87"/>
      <c r="AJ651" s="87"/>
      <c r="AK651" s="87"/>
      <c r="AL651" s="87"/>
      <c r="AM651" s="87"/>
      <c r="AN651" s="87"/>
      <c r="AO651" s="87">
        <v>5</v>
      </c>
      <c r="AP651" s="87"/>
      <c r="AQ651" s="87"/>
      <c r="AR651" s="87"/>
      <c r="AS651" s="87"/>
      <c r="AT651" s="87"/>
      <c r="AU651" s="87"/>
      <c r="AV651" s="87"/>
      <c r="AW651" s="88" t="str">
        <f>HYPERLINK("http://www.openstreetmap.org/?mlat=33.1675&amp;mlon=44.5653&amp;zoom=12#map=12/33.1675/44.5653","Maplink1")</f>
        <v>Maplink1</v>
      </c>
      <c r="AX651" s="88" t="str">
        <f>HYPERLINK("https://www.google.iq/maps/search/+33.1675,44.5653/@33.1675,44.5653,14z?hl=en","Maplink2")</f>
        <v>Maplink2</v>
      </c>
      <c r="AY651" s="88" t="str">
        <f>HYPERLINK("http://www.bing.com/maps/?lvl=14&amp;sty=h&amp;cp=33.1675~44.5653&amp;sp=point.33.1675_44.5653","Maplink3")</f>
        <v>Maplink3</v>
      </c>
      <c r="AZ651" s="76"/>
    </row>
    <row r="652" spans="1:52" x14ac:dyDescent="0.25">
      <c r="A652" s="86">
        <v>23618</v>
      </c>
      <c r="B652" s="87" t="s">
        <v>14</v>
      </c>
      <c r="C652" s="87" t="s">
        <v>1316</v>
      </c>
      <c r="D652" s="87" t="s">
        <v>1317</v>
      </c>
      <c r="E652" s="87" t="s">
        <v>1318</v>
      </c>
      <c r="F652" s="87">
        <v>32.962569187</v>
      </c>
      <c r="G652" s="87">
        <v>44.355326402700001</v>
      </c>
      <c r="H652" s="86">
        <v>83</v>
      </c>
      <c r="I652" s="86">
        <v>498</v>
      </c>
      <c r="J652" s="87"/>
      <c r="K652" s="87">
        <v>83</v>
      </c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>
        <v>22</v>
      </c>
      <c r="AD652" s="87"/>
      <c r="AE652" s="87">
        <v>13</v>
      </c>
      <c r="AF652" s="87"/>
      <c r="AG652" s="87"/>
      <c r="AH652" s="87">
        <v>33</v>
      </c>
      <c r="AI652" s="87">
        <v>15</v>
      </c>
      <c r="AJ652" s="87"/>
      <c r="AK652" s="87"/>
      <c r="AL652" s="87"/>
      <c r="AM652" s="87"/>
      <c r="AN652" s="87"/>
      <c r="AO652" s="87"/>
      <c r="AP652" s="87">
        <v>67</v>
      </c>
      <c r="AQ652" s="87">
        <v>16</v>
      </c>
      <c r="AR652" s="87"/>
      <c r="AS652" s="87"/>
      <c r="AT652" s="87"/>
      <c r="AU652" s="87"/>
      <c r="AV652" s="87"/>
      <c r="AW652" s="88" t="str">
        <f>HYPERLINK("http://www.openstreetmap.org/?mlat=32.9626&amp;mlon=44.3553&amp;zoom=12#map=12/32.9626/44.3553","Maplink1")</f>
        <v>Maplink1</v>
      </c>
      <c r="AX652" s="88" t="str">
        <f>HYPERLINK("https://www.google.iq/maps/search/+32.9626,44.3553/@32.9626,44.3553,14z?hl=en","Maplink2")</f>
        <v>Maplink2</v>
      </c>
      <c r="AY652" s="88" t="str">
        <f>HYPERLINK("http://www.bing.com/maps/?lvl=14&amp;sty=h&amp;cp=32.9626~44.3553&amp;sp=point.32.9626_44.3553","Maplink3")</f>
        <v>Maplink3</v>
      </c>
      <c r="AZ652" s="76"/>
    </row>
    <row r="653" spans="1:52" x14ac:dyDescent="0.25">
      <c r="A653" s="86">
        <v>23578</v>
      </c>
      <c r="B653" s="87" t="s">
        <v>14</v>
      </c>
      <c r="C653" s="87" t="s">
        <v>1316</v>
      </c>
      <c r="D653" s="87" t="s">
        <v>1319</v>
      </c>
      <c r="E653" s="87" t="s">
        <v>1320</v>
      </c>
      <c r="F653" s="87">
        <v>33.143025762100002</v>
      </c>
      <c r="G653" s="87">
        <v>44.386662088500003</v>
      </c>
      <c r="H653" s="86">
        <v>6</v>
      </c>
      <c r="I653" s="86">
        <v>36</v>
      </c>
      <c r="J653" s="87">
        <v>2</v>
      </c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>
        <v>4</v>
      </c>
      <c r="Y653" s="87"/>
      <c r="Z653" s="87"/>
      <c r="AA653" s="87"/>
      <c r="AB653" s="87"/>
      <c r="AC653" s="87"/>
      <c r="AD653" s="87"/>
      <c r="AE653" s="87"/>
      <c r="AF653" s="87"/>
      <c r="AG653" s="87"/>
      <c r="AH653" s="87">
        <v>4</v>
      </c>
      <c r="AI653" s="87">
        <v>2</v>
      </c>
      <c r="AJ653" s="87"/>
      <c r="AK653" s="87"/>
      <c r="AL653" s="87"/>
      <c r="AM653" s="87"/>
      <c r="AN653" s="87">
        <v>2</v>
      </c>
      <c r="AO653" s="87"/>
      <c r="AP653" s="87">
        <v>4</v>
      </c>
      <c r="AQ653" s="87"/>
      <c r="AR653" s="87"/>
      <c r="AS653" s="87"/>
      <c r="AT653" s="87"/>
      <c r="AU653" s="87"/>
      <c r="AV653" s="87"/>
      <c r="AW653" s="88" t="str">
        <f>HYPERLINK("http://www.openstreetmap.org/?mlat=33.143&amp;mlon=44.3867&amp;zoom=12#map=12/33.143/44.3867","Maplink1")</f>
        <v>Maplink1</v>
      </c>
      <c r="AX653" s="88" t="str">
        <f>HYPERLINK("https://www.google.iq/maps/search/+33.143,44.3867/@33.143,44.3867,14z?hl=en","Maplink2")</f>
        <v>Maplink2</v>
      </c>
      <c r="AY653" s="88" t="str">
        <f>HYPERLINK("http://www.bing.com/maps/?lvl=14&amp;sty=h&amp;cp=33.143~44.3867&amp;sp=point.33.143_44.3867","Maplink3")</f>
        <v>Maplink3</v>
      </c>
      <c r="AZ653" s="76"/>
    </row>
    <row r="654" spans="1:52" x14ac:dyDescent="0.25">
      <c r="A654" s="86">
        <v>25150</v>
      </c>
      <c r="B654" s="87" t="s">
        <v>14</v>
      </c>
      <c r="C654" s="87" t="s">
        <v>1316</v>
      </c>
      <c r="D654" s="87" t="s">
        <v>1321</v>
      </c>
      <c r="E654" s="87" t="s">
        <v>1322</v>
      </c>
      <c r="F654" s="87">
        <v>32.970405697399997</v>
      </c>
      <c r="G654" s="87">
        <v>44.353315463800001</v>
      </c>
      <c r="H654" s="86">
        <v>155</v>
      </c>
      <c r="I654" s="86">
        <v>930</v>
      </c>
      <c r="J654" s="87"/>
      <c r="K654" s="87">
        <v>142</v>
      </c>
      <c r="L654" s="87">
        <v>13</v>
      </c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>
        <v>55</v>
      </c>
      <c r="AD654" s="87"/>
      <c r="AE654" s="87">
        <v>33</v>
      </c>
      <c r="AF654" s="87"/>
      <c r="AG654" s="87"/>
      <c r="AH654" s="87">
        <v>35</v>
      </c>
      <c r="AI654" s="87">
        <v>21</v>
      </c>
      <c r="AJ654" s="87"/>
      <c r="AK654" s="87"/>
      <c r="AL654" s="87">
        <v>11</v>
      </c>
      <c r="AM654" s="87"/>
      <c r="AN654" s="87"/>
      <c r="AO654" s="87">
        <v>13</v>
      </c>
      <c r="AP654" s="87">
        <v>122</v>
      </c>
      <c r="AQ654" s="87">
        <v>11</v>
      </c>
      <c r="AR654" s="87">
        <v>9</v>
      </c>
      <c r="AS654" s="87"/>
      <c r="AT654" s="87"/>
      <c r="AU654" s="87"/>
      <c r="AV654" s="87"/>
      <c r="AW654" s="88" t="str">
        <f>HYPERLINK("http://www.openstreetmap.org/?mlat=32.9704&amp;mlon=44.3533&amp;zoom=12#map=12/32.9704/44.3533","Maplink1")</f>
        <v>Maplink1</v>
      </c>
      <c r="AX654" s="88" t="str">
        <f>HYPERLINK("https://www.google.iq/maps/search/+32.9704,44.3533/@32.9704,44.3533,14z?hl=en","Maplink2")</f>
        <v>Maplink2</v>
      </c>
      <c r="AY654" s="88" t="str">
        <f>HYPERLINK("http://www.bing.com/maps/?lvl=14&amp;sty=h&amp;cp=32.9704~44.3533&amp;sp=point.32.9704_44.3533","Maplink3")</f>
        <v>Maplink3</v>
      </c>
      <c r="AZ654" s="76"/>
    </row>
    <row r="655" spans="1:52" x14ac:dyDescent="0.25">
      <c r="A655" s="86">
        <v>25149</v>
      </c>
      <c r="B655" s="87" t="s">
        <v>14</v>
      </c>
      <c r="C655" s="87" t="s">
        <v>1316</v>
      </c>
      <c r="D655" s="87" t="s">
        <v>1323</v>
      </c>
      <c r="E655" s="87" t="s">
        <v>1324</v>
      </c>
      <c r="F655" s="87">
        <v>32.9996253435</v>
      </c>
      <c r="G655" s="87">
        <v>44.361112242700003</v>
      </c>
      <c r="H655" s="86">
        <v>89</v>
      </c>
      <c r="I655" s="86">
        <v>534</v>
      </c>
      <c r="J655" s="87"/>
      <c r="K655" s="87">
        <v>84</v>
      </c>
      <c r="L655" s="87">
        <v>5</v>
      </c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>
        <v>68</v>
      </c>
      <c r="AD655" s="87"/>
      <c r="AE655" s="87"/>
      <c r="AF655" s="87"/>
      <c r="AG655" s="87"/>
      <c r="AH655" s="87">
        <v>12</v>
      </c>
      <c r="AI655" s="87">
        <v>9</v>
      </c>
      <c r="AJ655" s="87"/>
      <c r="AK655" s="87"/>
      <c r="AL655" s="87"/>
      <c r="AM655" s="87"/>
      <c r="AN655" s="87"/>
      <c r="AO655" s="87">
        <v>10</v>
      </c>
      <c r="AP655" s="87">
        <v>56</v>
      </c>
      <c r="AQ655" s="87">
        <v>23</v>
      </c>
      <c r="AR655" s="87"/>
      <c r="AS655" s="87"/>
      <c r="AT655" s="87"/>
      <c r="AU655" s="87"/>
      <c r="AV655" s="87"/>
      <c r="AW655" s="88" t="str">
        <f>HYPERLINK("http://www.openstreetmap.org/?mlat=32.9996&amp;mlon=44.3611&amp;zoom=12#map=12/32.9996/44.3611","Maplink1")</f>
        <v>Maplink1</v>
      </c>
      <c r="AX655" s="88" t="str">
        <f>HYPERLINK("https://www.google.iq/maps/search/+32.9996,44.3611/@32.9996,44.3611,14z?hl=en","Maplink2")</f>
        <v>Maplink2</v>
      </c>
      <c r="AY655" s="88" t="str">
        <f>HYPERLINK("http://www.bing.com/maps/?lvl=14&amp;sty=h&amp;cp=32.9996~44.3611&amp;sp=point.32.9996_44.3611","Maplink3")</f>
        <v>Maplink3</v>
      </c>
      <c r="AZ655" s="76"/>
    </row>
    <row r="656" spans="1:52" x14ac:dyDescent="0.25">
      <c r="A656" s="86">
        <v>25141</v>
      </c>
      <c r="B656" s="87" t="s">
        <v>14</v>
      </c>
      <c r="C656" s="87" t="s">
        <v>1316</v>
      </c>
      <c r="D656" s="87" t="s">
        <v>1325</v>
      </c>
      <c r="E656" s="87" t="s">
        <v>1326</v>
      </c>
      <c r="F656" s="87">
        <v>33.082064775799999</v>
      </c>
      <c r="G656" s="87">
        <v>44.257996364</v>
      </c>
      <c r="H656" s="86">
        <v>6</v>
      </c>
      <c r="I656" s="86">
        <v>36</v>
      </c>
      <c r="J656" s="87">
        <v>2</v>
      </c>
      <c r="K656" s="87">
        <v>4</v>
      </c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>
        <v>2</v>
      </c>
      <c r="AD656" s="87"/>
      <c r="AE656" s="87"/>
      <c r="AF656" s="87"/>
      <c r="AG656" s="87"/>
      <c r="AH656" s="87">
        <v>4</v>
      </c>
      <c r="AI656" s="87"/>
      <c r="AJ656" s="87"/>
      <c r="AK656" s="87"/>
      <c r="AL656" s="87"/>
      <c r="AM656" s="87"/>
      <c r="AN656" s="87"/>
      <c r="AO656" s="87"/>
      <c r="AP656" s="87">
        <v>2</v>
      </c>
      <c r="AQ656" s="87">
        <v>4</v>
      </c>
      <c r="AR656" s="87"/>
      <c r="AS656" s="87"/>
      <c r="AT656" s="87"/>
      <c r="AU656" s="87"/>
      <c r="AV656" s="87"/>
      <c r="AW656" s="88" t="str">
        <f>HYPERLINK("http://www.openstreetmap.org/?mlat=33.0821&amp;mlon=44.258&amp;zoom=12#map=12/33.0821/44.258","Maplink1")</f>
        <v>Maplink1</v>
      </c>
      <c r="AX656" s="88" t="str">
        <f>HYPERLINK("https://www.google.iq/maps/search/+33.0821,44.258/@33.0821,44.258,14z?hl=en","Maplink2")</f>
        <v>Maplink2</v>
      </c>
      <c r="AY656" s="88" t="str">
        <f>HYPERLINK("http://www.bing.com/maps/?lvl=14&amp;sty=h&amp;cp=33.0821~44.258&amp;sp=point.33.0821_44.258","Maplink3")</f>
        <v>Maplink3</v>
      </c>
      <c r="AZ656" s="76"/>
    </row>
    <row r="657" spans="1:52" x14ac:dyDescent="0.25">
      <c r="A657" s="86">
        <v>25936</v>
      </c>
      <c r="B657" s="87" t="s">
        <v>14</v>
      </c>
      <c r="C657" s="87" t="s">
        <v>1316</v>
      </c>
      <c r="D657" s="87" t="s">
        <v>1327</v>
      </c>
      <c r="E657" s="87" t="s">
        <v>1328</v>
      </c>
      <c r="F657" s="87">
        <v>33.216230895300001</v>
      </c>
      <c r="G657" s="87">
        <v>44.1670154364</v>
      </c>
      <c r="H657" s="86">
        <v>5</v>
      </c>
      <c r="I657" s="86">
        <v>30</v>
      </c>
      <c r="J657" s="87"/>
      <c r="K657" s="87">
        <v>5</v>
      </c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>
        <v>5</v>
      </c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>
        <v>5</v>
      </c>
      <c r="AR657" s="87"/>
      <c r="AS657" s="87"/>
      <c r="AT657" s="87"/>
      <c r="AU657" s="87"/>
      <c r="AV657" s="87"/>
      <c r="AW657" s="88" t="str">
        <f>HYPERLINK("http://www.openstreetmap.org/?mlat=33.2162&amp;mlon=44.167&amp;zoom=12#map=12/33.2162/44.167","Maplink1")</f>
        <v>Maplink1</v>
      </c>
      <c r="AX657" s="88" t="str">
        <f>HYPERLINK("https://www.google.iq/maps/search/+33.2162,44.167/@33.2162,44.167,14z?hl=en","Maplink2")</f>
        <v>Maplink2</v>
      </c>
      <c r="AY657" s="88" t="str">
        <f>HYPERLINK("http://www.bing.com/maps/?lvl=14&amp;sty=h&amp;cp=33.2162~44.167&amp;sp=point.33.2162_44.167","Maplink3")</f>
        <v>Maplink3</v>
      </c>
      <c r="AZ657" s="76"/>
    </row>
    <row r="658" spans="1:52" x14ac:dyDescent="0.25">
      <c r="A658" s="86">
        <v>27253</v>
      </c>
      <c r="B658" s="87" t="s">
        <v>14</v>
      </c>
      <c r="C658" s="87" t="s">
        <v>1316</v>
      </c>
      <c r="D658" s="87" t="s">
        <v>1329</v>
      </c>
      <c r="E658" s="87" t="s">
        <v>1330</v>
      </c>
      <c r="F658" s="87">
        <v>33.072498858899998</v>
      </c>
      <c r="G658" s="87">
        <v>44.355155738699999</v>
      </c>
      <c r="H658" s="86">
        <v>3</v>
      </c>
      <c r="I658" s="86">
        <v>18</v>
      </c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>
        <v>1</v>
      </c>
      <c r="W658" s="87"/>
      <c r="X658" s="87">
        <v>2</v>
      </c>
      <c r="Y658" s="87"/>
      <c r="Z658" s="87"/>
      <c r="AA658" s="87"/>
      <c r="AB658" s="87"/>
      <c r="AC658" s="87"/>
      <c r="AD658" s="87"/>
      <c r="AE658" s="87"/>
      <c r="AF658" s="87"/>
      <c r="AG658" s="87"/>
      <c r="AH658" s="87">
        <v>3</v>
      </c>
      <c r="AI658" s="87"/>
      <c r="AJ658" s="87"/>
      <c r="AK658" s="87"/>
      <c r="AL658" s="87"/>
      <c r="AM658" s="87"/>
      <c r="AN658" s="87"/>
      <c r="AO658" s="87"/>
      <c r="AP658" s="87">
        <v>1</v>
      </c>
      <c r="AQ658" s="87">
        <v>2</v>
      </c>
      <c r="AR658" s="87"/>
      <c r="AS658" s="87"/>
      <c r="AT658" s="87"/>
      <c r="AU658" s="87"/>
      <c r="AV658" s="87"/>
      <c r="AW658" s="88" t="str">
        <f>HYPERLINK("http://www.openstreetmap.org/?mlat=33.0725&amp;mlon=44.3552&amp;zoom=12#map=12/33.0725/44.3552","Maplink1")</f>
        <v>Maplink1</v>
      </c>
      <c r="AX658" s="88" t="str">
        <f>HYPERLINK("https://www.google.iq/maps/search/+33.0725,44.3552/@33.0725,44.3552,14z?hl=en","Maplink2")</f>
        <v>Maplink2</v>
      </c>
      <c r="AY658" s="88" t="str">
        <f>HYPERLINK("http://www.bing.com/maps/?lvl=14&amp;sty=h&amp;cp=33.0725~44.3552&amp;sp=point.33.0725_44.3552","Maplink3")</f>
        <v>Maplink3</v>
      </c>
      <c r="AZ658" s="76"/>
    </row>
    <row r="659" spans="1:52" x14ac:dyDescent="0.25">
      <c r="A659" s="86">
        <v>7753</v>
      </c>
      <c r="B659" s="87" t="s">
        <v>14</v>
      </c>
      <c r="C659" s="87" t="s">
        <v>1316</v>
      </c>
      <c r="D659" s="87" t="s">
        <v>1331</v>
      </c>
      <c r="E659" s="87" t="s">
        <v>1332</v>
      </c>
      <c r="F659" s="87">
        <v>33.074836286100002</v>
      </c>
      <c r="G659" s="87">
        <v>44.343705483999997</v>
      </c>
      <c r="H659" s="86">
        <v>2</v>
      </c>
      <c r="I659" s="86">
        <v>12</v>
      </c>
      <c r="J659" s="87">
        <v>2</v>
      </c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>
        <v>2</v>
      </c>
      <c r="AI659" s="87"/>
      <c r="AJ659" s="87"/>
      <c r="AK659" s="87"/>
      <c r="AL659" s="87"/>
      <c r="AM659" s="87"/>
      <c r="AN659" s="87"/>
      <c r="AO659" s="87"/>
      <c r="AP659" s="87"/>
      <c r="AQ659" s="87"/>
      <c r="AR659" s="87">
        <v>2</v>
      </c>
      <c r="AS659" s="87"/>
      <c r="AT659" s="87"/>
      <c r="AU659" s="87"/>
      <c r="AV659" s="87"/>
      <c r="AW659" s="88" t="str">
        <f>HYPERLINK("http://www.openstreetmap.org/?mlat=33.0748&amp;mlon=44.3437&amp;zoom=12#map=12/33.0748/44.3437","Maplink1")</f>
        <v>Maplink1</v>
      </c>
      <c r="AX659" s="88" t="str">
        <f>HYPERLINK("https://www.google.iq/maps/search/+33.0748,44.3437/@33.0748,44.3437,14z?hl=en","Maplink2")</f>
        <v>Maplink2</v>
      </c>
      <c r="AY659" s="88" t="str">
        <f>HYPERLINK("http://www.bing.com/maps/?lvl=14&amp;sty=h&amp;cp=33.0748~44.3437&amp;sp=point.33.0748_44.3437","Maplink3")</f>
        <v>Maplink3</v>
      </c>
      <c r="AZ659" s="76"/>
    </row>
    <row r="660" spans="1:52" x14ac:dyDescent="0.25">
      <c r="A660" s="86">
        <v>28403</v>
      </c>
      <c r="B660" s="87" t="s">
        <v>14</v>
      </c>
      <c r="C660" s="87" t="s">
        <v>1316</v>
      </c>
      <c r="D660" s="87" t="s">
        <v>1333</v>
      </c>
      <c r="E660" s="87" t="s">
        <v>1334</v>
      </c>
      <c r="F660" s="87">
        <v>33.119952832599999</v>
      </c>
      <c r="G660" s="87">
        <v>44.369498024899997</v>
      </c>
      <c r="H660" s="86">
        <v>2</v>
      </c>
      <c r="I660" s="86">
        <v>12</v>
      </c>
      <c r="J660" s="87"/>
      <c r="K660" s="87"/>
      <c r="L660" s="87">
        <v>2</v>
      </c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>
        <v>2</v>
      </c>
      <c r="AI660" s="87"/>
      <c r="AJ660" s="87"/>
      <c r="AK660" s="87"/>
      <c r="AL660" s="87"/>
      <c r="AM660" s="87"/>
      <c r="AN660" s="87"/>
      <c r="AO660" s="87"/>
      <c r="AP660" s="87"/>
      <c r="AQ660" s="87">
        <v>2</v>
      </c>
      <c r="AR660" s="87"/>
      <c r="AS660" s="87"/>
      <c r="AT660" s="87"/>
      <c r="AU660" s="87"/>
      <c r="AV660" s="87"/>
      <c r="AW660" s="88" t="str">
        <f>HYPERLINK("http://www.openstreetmap.org/?mlat=33.12&amp;mlon=44.3695&amp;zoom=12#map=12/33.12/44.3695","Maplink1")</f>
        <v>Maplink1</v>
      </c>
      <c r="AX660" s="88" t="str">
        <f>HYPERLINK("https://www.google.iq/maps/search/+33.12,44.3695/@33.12,44.3695,14z?hl=en","Maplink2")</f>
        <v>Maplink2</v>
      </c>
      <c r="AY660" s="88" t="str">
        <f>HYPERLINK("http://www.bing.com/maps/?lvl=14&amp;sty=h&amp;cp=33.12~44.3695&amp;sp=point.33.12_44.3695","Maplink3")</f>
        <v>Maplink3</v>
      </c>
      <c r="AZ660" s="76"/>
    </row>
    <row r="661" spans="1:52" x14ac:dyDescent="0.25">
      <c r="A661" s="86">
        <v>7754</v>
      </c>
      <c r="B661" s="87" t="s">
        <v>14</v>
      </c>
      <c r="C661" s="87" t="s">
        <v>1316</v>
      </c>
      <c r="D661" s="87" t="s">
        <v>1335</v>
      </c>
      <c r="E661" s="87" t="s">
        <v>1336</v>
      </c>
      <c r="F661" s="87">
        <v>33.081422650999997</v>
      </c>
      <c r="G661" s="87">
        <v>44.256301865899999</v>
      </c>
      <c r="H661" s="86">
        <v>9</v>
      </c>
      <c r="I661" s="86">
        <v>54</v>
      </c>
      <c r="J661" s="87"/>
      <c r="K661" s="87">
        <v>9</v>
      </c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>
        <v>9</v>
      </c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>
        <v>9</v>
      </c>
      <c r="AQ661" s="87"/>
      <c r="AR661" s="87"/>
      <c r="AS661" s="87"/>
      <c r="AT661" s="87"/>
      <c r="AU661" s="87"/>
      <c r="AV661" s="87"/>
      <c r="AW661" s="88" t="str">
        <f>HYPERLINK("http://www.openstreetmap.org/?mlat=33.0814&amp;mlon=44.2563&amp;zoom=12#map=12/33.0814/44.2563","Maplink1")</f>
        <v>Maplink1</v>
      </c>
      <c r="AX661" s="88" t="str">
        <f>HYPERLINK("https://www.google.iq/maps/search/+33.0814,44.2563/@33.0814,44.2563,14z?hl=en","Maplink2")</f>
        <v>Maplink2</v>
      </c>
      <c r="AY661" s="88" t="str">
        <f>HYPERLINK("http://www.bing.com/maps/?lvl=14&amp;sty=h&amp;cp=33.0814~44.2563&amp;sp=point.33.0814_44.2563","Maplink3")</f>
        <v>Maplink3</v>
      </c>
      <c r="AZ661" s="76"/>
    </row>
    <row r="662" spans="1:52" x14ac:dyDescent="0.25">
      <c r="A662" s="86">
        <v>25145</v>
      </c>
      <c r="B662" s="87" t="s">
        <v>14</v>
      </c>
      <c r="C662" s="87" t="s">
        <v>1316</v>
      </c>
      <c r="D662" s="87" t="s">
        <v>1337</v>
      </c>
      <c r="E662" s="87" t="s">
        <v>1338</v>
      </c>
      <c r="F662" s="87">
        <v>33.091253338199998</v>
      </c>
      <c r="G662" s="87">
        <v>44.283606176299998</v>
      </c>
      <c r="H662" s="86">
        <v>6</v>
      </c>
      <c r="I662" s="86">
        <v>36</v>
      </c>
      <c r="J662" s="87">
        <v>2</v>
      </c>
      <c r="K662" s="87">
        <v>4</v>
      </c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>
        <v>2</v>
      </c>
      <c r="AD662" s="87"/>
      <c r="AE662" s="87"/>
      <c r="AF662" s="87"/>
      <c r="AG662" s="87"/>
      <c r="AH662" s="87">
        <v>4</v>
      </c>
      <c r="AI662" s="87"/>
      <c r="AJ662" s="87"/>
      <c r="AK662" s="87"/>
      <c r="AL662" s="87"/>
      <c r="AM662" s="87"/>
      <c r="AN662" s="87"/>
      <c r="AO662" s="87"/>
      <c r="AP662" s="87">
        <v>4</v>
      </c>
      <c r="AQ662" s="87">
        <v>2</v>
      </c>
      <c r="AR662" s="87"/>
      <c r="AS662" s="87"/>
      <c r="AT662" s="87"/>
      <c r="AU662" s="87"/>
      <c r="AV662" s="87"/>
      <c r="AW662" s="88" t="str">
        <f>HYPERLINK("http://www.openstreetmap.org/?mlat=33.0913&amp;mlon=44.2836&amp;zoom=12#map=12/33.0913/44.2836","Maplink1")</f>
        <v>Maplink1</v>
      </c>
      <c r="AX662" s="88" t="str">
        <f>HYPERLINK("https://www.google.iq/maps/search/+33.0913,44.2836/@33.0913,44.2836,14z?hl=en","Maplink2")</f>
        <v>Maplink2</v>
      </c>
      <c r="AY662" s="88" t="str">
        <f>HYPERLINK("http://www.bing.com/maps/?lvl=14&amp;sty=h&amp;cp=33.0913~44.2836&amp;sp=point.33.0913_44.2836","Maplink3")</f>
        <v>Maplink3</v>
      </c>
      <c r="AZ662" s="76"/>
    </row>
    <row r="663" spans="1:52" x14ac:dyDescent="0.25">
      <c r="A663" s="86">
        <v>21463</v>
      </c>
      <c r="B663" s="87" t="s">
        <v>14</v>
      </c>
      <c r="C663" s="87" t="s">
        <v>1316</v>
      </c>
      <c r="D663" s="87" t="s">
        <v>1339</v>
      </c>
      <c r="E663" s="87" t="s">
        <v>1340</v>
      </c>
      <c r="F663" s="87">
        <v>33.002012586100001</v>
      </c>
      <c r="G663" s="87">
        <v>44.365954260400002</v>
      </c>
      <c r="H663" s="86">
        <v>33</v>
      </c>
      <c r="I663" s="86">
        <v>198</v>
      </c>
      <c r="J663" s="87"/>
      <c r="K663" s="87">
        <v>33</v>
      </c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>
        <v>5</v>
      </c>
      <c r="AD663" s="87"/>
      <c r="AE663" s="87">
        <v>11</v>
      </c>
      <c r="AF663" s="87"/>
      <c r="AG663" s="87"/>
      <c r="AH663" s="87">
        <v>12</v>
      </c>
      <c r="AI663" s="87">
        <v>5</v>
      </c>
      <c r="AJ663" s="87"/>
      <c r="AK663" s="87"/>
      <c r="AL663" s="87"/>
      <c r="AM663" s="87"/>
      <c r="AN663" s="87"/>
      <c r="AO663" s="87"/>
      <c r="AP663" s="87">
        <v>33</v>
      </c>
      <c r="AQ663" s="87"/>
      <c r="AR663" s="87"/>
      <c r="AS663" s="87"/>
      <c r="AT663" s="87"/>
      <c r="AU663" s="87"/>
      <c r="AV663" s="87"/>
      <c r="AW663" s="88" t="str">
        <f>HYPERLINK("http://www.openstreetmap.org/?mlat=33.002&amp;mlon=44.366&amp;zoom=12#map=12/33.002/44.366","Maplink1")</f>
        <v>Maplink1</v>
      </c>
      <c r="AX663" s="88" t="str">
        <f>HYPERLINK("https://www.google.iq/maps/search/+33.002,44.366/@33.002,44.366,14z?hl=en","Maplink2")</f>
        <v>Maplink2</v>
      </c>
      <c r="AY663" s="88" t="str">
        <f>HYPERLINK("http://www.bing.com/maps/?lvl=14&amp;sty=h&amp;cp=33.002~44.366&amp;sp=point.33.002_44.366","Maplink3")</f>
        <v>Maplink3</v>
      </c>
      <c r="AZ663" s="76"/>
    </row>
    <row r="664" spans="1:52" x14ac:dyDescent="0.25">
      <c r="A664" s="86">
        <v>24121</v>
      </c>
      <c r="B664" s="87" t="s">
        <v>14</v>
      </c>
      <c r="C664" s="87" t="s">
        <v>1316</v>
      </c>
      <c r="D664" s="87" t="s">
        <v>1341</v>
      </c>
      <c r="E664" s="87" t="s">
        <v>1342</v>
      </c>
      <c r="F664" s="87">
        <v>33.063845059800002</v>
      </c>
      <c r="G664" s="87">
        <v>44.3599770294</v>
      </c>
      <c r="H664" s="86">
        <v>5</v>
      </c>
      <c r="I664" s="86">
        <v>30</v>
      </c>
      <c r="J664" s="87"/>
      <c r="K664" s="87">
        <v>2</v>
      </c>
      <c r="L664" s="87">
        <v>2</v>
      </c>
      <c r="M664" s="87"/>
      <c r="N664" s="87"/>
      <c r="O664" s="87"/>
      <c r="P664" s="87"/>
      <c r="Q664" s="87"/>
      <c r="R664" s="87"/>
      <c r="S664" s="87"/>
      <c r="T664" s="87"/>
      <c r="U664" s="87"/>
      <c r="V664" s="87">
        <v>1</v>
      </c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>
        <v>3</v>
      </c>
      <c r="AI664" s="87"/>
      <c r="AJ664" s="87"/>
      <c r="AK664" s="87"/>
      <c r="AL664" s="87">
        <v>2</v>
      </c>
      <c r="AM664" s="87"/>
      <c r="AN664" s="87"/>
      <c r="AO664" s="87">
        <v>1</v>
      </c>
      <c r="AP664" s="87"/>
      <c r="AQ664" s="87">
        <v>4</v>
      </c>
      <c r="AR664" s="87"/>
      <c r="AS664" s="87"/>
      <c r="AT664" s="87"/>
      <c r="AU664" s="87"/>
      <c r="AV664" s="87"/>
      <c r="AW664" s="88" t="str">
        <f>HYPERLINK("http://www.openstreetmap.org/?mlat=33.0638&amp;mlon=44.36&amp;zoom=12#map=12/33.0638/44.36","Maplink1")</f>
        <v>Maplink1</v>
      </c>
      <c r="AX664" s="88" t="str">
        <f>HYPERLINK("https://www.google.iq/maps/search/+33.0638,44.36/@33.0638,44.36,14z?hl=en","Maplink2")</f>
        <v>Maplink2</v>
      </c>
      <c r="AY664" s="88" t="str">
        <f>HYPERLINK("http://www.bing.com/maps/?lvl=14&amp;sty=h&amp;cp=33.0638~44.36&amp;sp=point.33.0638_44.36","Maplink3")</f>
        <v>Maplink3</v>
      </c>
      <c r="AZ664" s="76"/>
    </row>
    <row r="665" spans="1:52" x14ac:dyDescent="0.25">
      <c r="A665" s="86">
        <v>27252</v>
      </c>
      <c r="B665" s="87" t="s">
        <v>14</v>
      </c>
      <c r="C665" s="87" t="s">
        <v>1316</v>
      </c>
      <c r="D665" s="87" t="s">
        <v>1343</v>
      </c>
      <c r="E665" s="87" t="s">
        <v>206</v>
      </c>
      <c r="F665" s="87">
        <v>33.046675532499997</v>
      </c>
      <c r="G665" s="87">
        <v>44.358234232299999</v>
      </c>
      <c r="H665" s="86">
        <v>8</v>
      </c>
      <c r="I665" s="86">
        <v>48</v>
      </c>
      <c r="J665" s="87">
        <v>2</v>
      </c>
      <c r="K665" s="87">
        <v>1</v>
      </c>
      <c r="L665" s="87">
        <v>3</v>
      </c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>
        <v>2</v>
      </c>
      <c r="Y665" s="87"/>
      <c r="Z665" s="87"/>
      <c r="AA665" s="87"/>
      <c r="AB665" s="87"/>
      <c r="AC665" s="87"/>
      <c r="AD665" s="87"/>
      <c r="AE665" s="87"/>
      <c r="AF665" s="87"/>
      <c r="AG665" s="87"/>
      <c r="AH665" s="87">
        <v>5</v>
      </c>
      <c r="AI665" s="87"/>
      <c r="AJ665" s="87"/>
      <c r="AK665" s="87"/>
      <c r="AL665" s="87">
        <v>3</v>
      </c>
      <c r="AM665" s="87"/>
      <c r="AN665" s="87">
        <v>3</v>
      </c>
      <c r="AO665" s="87"/>
      <c r="AP665" s="87"/>
      <c r="AQ665" s="87">
        <v>1</v>
      </c>
      <c r="AR665" s="87">
        <v>4</v>
      </c>
      <c r="AS665" s="87"/>
      <c r="AT665" s="87"/>
      <c r="AU665" s="87"/>
      <c r="AV665" s="87"/>
      <c r="AW665" s="88" t="str">
        <f>HYPERLINK("http://www.openstreetmap.org/?mlat=33.0467&amp;mlon=44.3582&amp;zoom=12#map=12/33.0467/44.3582","Maplink1")</f>
        <v>Maplink1</v>
      </c>
      <c r="AX665" s="88" t="str">
        <f>HYPERLINK("https://www.google.iq/maps/search/+33.0467,44.3582/@33.0467,44.3582,14z?hl=en","Maplink2")</f>
        <v>Maplink2</v>
      </c>
      <c r="AY665" s="88" t="str">
        <f>HYPERLINK("http://www.bing.com/maps/?lvl=14&amp;sty=h&amp;cp=33.0467~44.3582&amp;sp=point.33.0467_44.3582","Maplink3")</f>
        <v>Maplink3</v>
      </c>
      <c r="AZ665" s="76"/>
    </row>
    <row r="666" spans="1:52" x14ac:dyDescent="0.25">
      <c r="A666" s="86">
        <v>29523</v>
      </c>
      <c r="B666" s="87" t="s">
        <v>14</v>
      </c>
      <c r="C666" s="87" t="s">
        <v>1316</v>
      </c>
      <c r="D666" s="87" t="s">
        <v>1344</v>
      </c>
      <c r="E666" s="87" t="s">
        <v>1345</v>
      </c>
      <c r="F666" s="87">
        <v>33.066633453000001</v>
      </c>
      <c r="G666" s="87">
        <v>44.233484474199997</v>
      </c>
      <c r="H666" s="86">
        <v>15</v>
      </c>
      <c r="I666" s="86">
        <v>90</v>
      </c>
      <c r="J666" s="87">
        <v>4</v>
      </c>
      <c r="K666" s="87">
        <v>11</v>
      </c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>
        <v>4</v>
      </c>
      <c r="AD666" s="87"/>
      <c r="AE666" s="87"/>
      <c r="AF666" s="87"/>
      <c r="AG666" s="87"/>
      <c r="AH666" s="87">
        <v>11</v>
      </c>
      <c r="AI666" s="87"/>
      <c r="AJ666" s="87"/>
      <c r="AK666" s="87"/>
      <c r="AL666" s="87"/>
      <c r="AM666" s="87"/>
      <c r="AN666" s="87">
        <v>11</v>
      </c>
      <c r="AO666" s="87"/>
      <c r="AP666" s="87"/>
      <c r="AQ666" s="87">
        <v>4</v>
      </c>
      <c r="AR666" s="87"/>
      <c r="AS666" s="87"/>
      <c r="AT666" s="87"/>
      <c r="AU666" s="87"/>
      <c r="AV666" s="87"/>
      <c r="AW666" s="88" t="str">
        <f>HYPERLINK("http://www.openstreetmap.org/?mlat=33.0666&amp;mlon=44.2335&amp;zoom=12#map=12/33.0666/44.2335","Maplink1")</f>
        <v>Maplink1</v>
      </c>
      <c r="AX666" s="88" t="str">
        <f>HYPERLINK("https://www.google.iq/maps/search/+33.0666,44.2335/@33.0666,44.2335,14z?hl=en","Maplink2")</f>
        <v>Maplink2</v>
      </c>
      <c r="AY666" s="88" t="str">
        <f>HYPERLINK("http://www.bing.com/maps/?lvl=14&amp;sty=h&amp;cp=33.0666~44.2335&amp;sp=point.33.0666_44.2335","Maplink3")</f>
        <v>Maplink3</v>
      </c>
      <c r="AZ666" s="76"/>
    </row>
    <row r="667" spans="1:52" x14ac:dyDescent="0.25">
      <c r="A667" s="86">
        <v>7733</v>
      </c>
      <c r="B667" s="87" t="s">
        <v>14</v>
      </c>
      <c r="C667" s="87" t="s">
        <v>1316</v>
      </c>
      <c r="D667" s="87" t="s">
        <v>1346</v>
      </c>
      <c r="E667" s="87" t="s">
        <v>147</v>
      </c>
      <c r="F667" s="87">
        <v>32.967338703599999</v>
      </c>
      <c r="G667" s="87">
        <v>44.363880381800001</v>
      </c>
      <c r="H667" s="86">
        <v>75</v>
      </c>
      <c r="I667" s="86">
        <v>450</v>
      </c>
      <c r="J667" s="87"/>
      <c r="K667" s="87">
        <v>69</v>
      </c>
      <c r="L667" s="87">
        <v>6</v>
      </c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>
        <v>12</v>
      </c>
      <c r="AD667" s="87"/>
      <c r="AE667" s="87">
        <v>30</v>
      </c>
      <c r="AF667" s="87"/>
      <c r="AG667" s="87"/>
      <c r="AH667" s="87">
        <v>21</v>
      </c>
      <c r="AI667" s="87">
        <v>12</v>
      </c>
      <c r="AJ667" s="87"/>
      <c r="AK667" s="87"/>
      <c r="AL667" s="87"/>
      <c r="AM667" s="87"/>
      <c r="AN667" s="87"/>
      <c r="AO667" s="87"/>
      <c r="AP667" s="87">
        <v>27</v>
      </c>
      <c r="AQ667" s="87">
        <v>48</v>
      </c>
      <c r="AR667" s="87"/>
      <c r="AS667" s="87"/>
      <c r="AT667" s="87"/>
      <c r="AU667" s="87"/>
      <c r="AV667" s="87"/>
      <c r="AW667" s="88" t="str">
        <f>HYPERLINK("http://www.openstreetmap.org/?mlat=32.9673&amp;mlon=44.3639&amp;zoom=12#map=12/32.9673/44.3639","Maplink1")</f>
        <v>Maplink1</v>
      </c>
      <c r="AX667" s="88" t="str">
        <f>HYPERLINK("https://www.google.iq/maps/search/+32.9673,44.3639/@32.9673,44.3639,14z?hl=en","Maplink2")</f>
        <v>Maplink2</v>
      </c>
      <c r="AY667" s="88" t="str">
        <f>HYPERLINK("http://www.bing.com/maps/?lvl=14&amp;sty=h&amp;cp=32.9673~44.3639&amp;sp=point.32.9673_44.3639","Maplink3")</f>
        <v>Maplink3</v>
      </c>
      <c r="AZ667" s="76"/>
    </row>
    <row r="668" spans="1:52" x14ac:dyDescent="0.25">
      <c r="A668" s="86">
        <v>7615</v>
      </c>
      <c r="B668" s="87" t="s">
        <v>14</v>
      </c>
      <c r="C668" s="87" t="s">
        <v>1316</v>
      </c>
      <c r="D668" s="87" t="s">
        <v>1347</v>
      </c>
      <c r="E668" s="87" t="s">
        <v>55</v>
      </c>
      <c r="F668" s="87">
        <v>33.0071134063</v>
      </c>
      <c r="G668" s="87">
        <v>44.366261674699999</v>
      </c>
      <c r="H668" s="86">
        <v>32</v>
      </c>
      <c r="I668" s="86">
        <v>192</v>
      </c>
      <c r="J668" s="87"/>
      <c r="K668" s="87">
        <v>32</v>
      </c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>
        <v>14</v>
      </c>
      <c r="AD668" s="87"/>
      <c r="AE668" s="87"/>
      <c r="AF668" s="87"/>
      <c r="AG668" s="87"/>
      <c r="AH668" s="87">
        <v>10</v>
      </c>
      <c r="AI668" s="87">
        <v>4</v>
      </c>
      <c r="AJ668" s="87"/>
      <c r="AK668" s="87"/>
      <c r="AL668" s="87">
        <v>4</v>
      </c>
      <c r="AM668" s="87"/>
      <c r="AN668" s="87"/>
      <c r="AO668" s="87">
        <v>5</v>
      </c>
      <c r="AP668" s="87">
        <v>10</v>
      </c>
      <c r="AQ668" s="87">
        <v>17</v>
      </c>
      <c r="AR668" s="87"/>
      <c r="AS668" s="87"/>
      <c r="AT668" s="87"/>
      <c r="AU668" s="87"/>
      <c r="AV668" s="87"/>
      <c r="AW668" s="88" t="str">
        <f>HYPERLINK("http://www.openstreetmap.org/?mlat=33.0071&amp;mlon=44.3663&amp;zoom=12#map=12/33.0071/44.3663","Maplink1")</f>
        <v>Maplink1</v>
      </c>
      <c r="AX668" s="88" t="str">
        <f>HYPERLINK("https://www.google.iq/maps/search/+33.0071,44.3663/@33.0071,44.3663,14z?hl=en","Maplink2")</f>
        <v>Maplink2</v>
      </c>
      <c r="AY668" s="88" t="str">
        <f>HYPERLINK("http://www.bing.com/maps/?lvl=14&amp;sty=h&amp;cp=33.0071~44.3663&amp;sp=point.33.0071_44.3663","Maplink3")</f>
        <v>Maplink3</v>
      </c>
      <c r="AZ668" s="76"/>
    </row>
    <row r="669" spans="1:52" x14ac:dyDescent="0.25">
      <c r="A669" s="86">
        <v>24091</v>
      </c>
      <c r="B669" s="87" t="s">
        <v>14</v>
      </c>
      <c r="C669" s="87" t="s">
        <v>1316</v>
      </c>
      <c r="D669" s="87" t="s">
        <v>1348</v>
      </c>
      <c r="E669" s="87" t="s">
        <v>1349</v>
      </c>
      <c r="F669" s="87">
        <v>33.052740878999998</v>
      </c>
      <c r="G669" s="87">
        <v>44.359177500500003</v>
      </c>
      <c r="H669" s="86">
        <v>8</v>
      </c>
      <c r="I669" s="86">
        <v>48</v>
      </c>
      <c r="J669" s="87">
        <v>3</v>
      </c>
      <c r="K669" s="87"/>
      <c r="L669" s="87">
        <v>2</v>
      </c>
      <c r="M669" s="87"/>
      <c r="N669" s="87"/>
      <c r="O669" s="87"/>
      <c r="P669" s="87"/>
      <c r="Q669" s="87"/>
      <c r="R669" s="87"/>
      <c r="S669" s="87"/>
      <c r="T669" s="87"/>
      <c r="U669" s="87"/>
      <c r="V669" s="87">
        <v>2</v>
      </c>
      <c r="W669" s="87"/>
      <c r="X669" s="87">
        <v>1</v>
      </c>
      <c r="Y669" s="87"/>
      <c r="Z669" s="87"/>
      <c r="AA669" s="87"/>
      <c r="AB669" s="87"/>
      <c r="AC669" s="87"/>
      <c r="AD669" s="87"/>
      <c r="AE669" s="87"/>
      <c r="AF669" s="87"/>
      <c r="AG669" s="87"/>
      <c r="AH669" s="87">
        <v>6</v>
      </c>
      <c r="AI669" s="87"/>
      <c r="AJ669" s="87"/>
      <c r="AK669" s="87"/>
      <c r="AL669" s="87">
        <v>2</v>
      </c>
      <c r="AM669" s="87"/>
      <c r="AN669" s="87"/>
      <c r="AO669" s="87">
        <v>2</v>
      </c>
      <c r="AP669" s="87">
        <v>2</v>
      </c>
      <c r="AQ669" s="87">
        <v>1</v>
      </c>
      <c r="AR669" s="87">
        <v>3</v>
      </c>
      <c r="AS669" s="87"/>
      <c r="AT669" s="87"/>
      <c r="AU669" s="87"/>
      <c r="AV669" s="87"/>
      <c r="AW669" s="88" t="str">
        <f>HYPERLINK("http://www.openstreetmap.org/?mlat=33.0527&amp;mlon=44.3592&amp;zoom=12#map=12/33.0527/44.3592","Maplink1")</f>
        <v>Maplink1</v>
      </c>
      <c r="AX669" s="88" t="str">
        <f>HYPERLINK("https://www.google.iq/maps/search/+33.0527,44.3592/@33.0527,44.3592,14z?hl=en","Maplink2")</f>
        <v>Maplink2</v>
      </c>
      <c r="AY669" s="88" t="str">
        <f>HYPERLINK("http://www.bing.com/maps/?lvl=14&amp;sty=h&amp;cp=33.0527~44.3592&amp;sp=point.33.0527_44.3592","Maplink3")</f>
        <v>Maplink3</v>
      </c>
      <c r="AZ669" s="76"/>
    </row>
    <row r="670" spans="1:52" x14ac:dyDescent="0.25">
      <c r="A670" s="86">
        <v>7616</v>
      </c>
      <c r="B670" s="87" t="s">
        <v>14</v>
      </c>
      <c r="C670" s="87" t="s">
        <v>1316</v>
      </c>
      <c r="D670" s="87" t="s">
        <v>1350</v>
      </c>
      <c r="E670" s="87" t="s">
        <v>1351</v>
      </c>
      <c r="F670" s="87">
        <v>33.0815855922</v>
      </c>
      <c r="G670" s="87">
        <v>44.252650574599997</v>
      </c>
      <c r="H670" s="86">
        <v>2</v>
      </c>
      <c r="I670" s="86">
        <v>12</v>
      </c>
      <c r="J670" s="87"/>
      <c r="K670" s="87">
        <v>2</v>
      </c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>
        <v>2</v>
      </c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>
        <v>2</v>
      </c>
      <c r="AO670" s="87"/>
      <c r="AP670" s="87"/>
      <c r="AQ670" s="87"/>
      <c r="AR670" s="87"/>
      <c r="AS670" s="87"/>
      <c r="AT670" s="87"/>
      <c r="AU670" s="87"/>
      <c r="AV670" s="87"/>
      <c r="AW670" s="88" t="str">
        <f>HYPERLINK("http://www.openstreetmap.org/?mlat=33.0816&amp;mlon=44.2527&amp;zoom=12#map=12/33.0816/44.2527","Maplink1")</f>
        <v>Maplink1</v>
      </c>
      <c r="AX670" s="88" t="str">
        <f>HYPERLINK("https://www.google.iq/maps/search/+33.0816,44.2527/@33.0816,44.2527,14z?hl=en","Maplink2")</f>
        <v>Maplink2</v>
      </c>
      <c r="AY670" s="88" t="str">
        <f>HYPERLINK("http://www.bing.com/maps/?lvl=14&amp;sty=h&amp;cp=33.0816~44.2527&amp;sp=point.33.0816_44.2527","Maplink3")</f>
        <v>Maplink3</v>
      </c>
      <c r="AZ670" s="76"/>
    </row>
    <row r="671" spans="1:52" x14ac:dyDescent="0.25">
      <c r="A671" s="86">
        <v>27321</v>
      </c>
      <c r="B671" s="87" t="s">
        <v>14</v>
      </c>
      <c r="C671" s="87" t="s">
        <v>1316</v>
      </c>
      <c r="D671" s="87" t="s">
        <v>1352</v>
      </c>
      <c r="E671" s="87" t="s">
        <v>1353</v>
      </c>
      <c r="F671" s="87">
        <v>33.115260638800002</v>
      </c>
      <c r="G671" s="87">
        <v>44.368359678899999</v>
      </c>
      <c r="H671" s="86">
        <v>6</v>
      </c>
      <c r="I671" s="86">
        <v>36</v>
      </c>
      <c r="J671" s="87"/>
      <c r="K671" s="87">
        <v>5</v>
      </c>
      <c r="L671" s="87">
        <v>1</v>
      </c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>
        <v>6</v>
      </c>
      <c r="AI671" s="87"/>
      <c r="AJ671" s="87"/>
      <c r="AK671" s="87"/>
      <c r="AL671" s="87"/>
      <c r="AM671" s="87"/>
      <c r="AN671" s="87"/>
      <c r="AO671" s="87"/>
      <c r="AP671" s="87">
        <v>6</v>
      </c>
      <c r="AQ671" s="87"/>
      <c r="AR671" s="87"/>
      <c r="AS671" s="87"/>
      <c r="AT671" s="87"/>
      <c r="AU671" s="87"/>
      <c r="AV671" s="87"/>
      <c r="AW671" s="88" t="str">
        <f>HYPERLINK("http://www.openstreetmap.org/?mlat=33.1153&amp;mlon=44.3684&amp;zoom=12#map=12/33.1153/44.3684","Maplink1")</f>
        <v>Maplink1</v>
      </c>
      <c r="AX671" s="88" t="str">
        <f>HYPERLINK("https://www.google.iq/maps/search/+33.1153,44.3684/@33.1153,44.3684,14z?hl=en","Maplink2")</f>
        <v>Maplink2</v>
      </c>
      <c r="AY671" s="88" t="str">
        <f>HYPERLINK("http://www.bing.com/maps/?lvl=14&amp;sty=h&amp;cp=33.1153~44.3684&amp;sp=point.33.1153_44.3684","Maplink3")</f>
        <v>Maplink3</v>
      </c>
      <c r="AZ671" s="76"/>
    </row>
    <row r="672" spans="1:52" x14ac:dyDescent="0.25">
      <c r="A672" s="86">
        <v>27322</v>
      </c>
      <c r="B672" s="87" t="s">
        <v>14</v>
      </c>
      <c r="C672" s="87" t="s">
        <v>1316</v>
      </c>
      <c r="D672" s="87" t="s">
        <v>1354</v>
      </c>
      <c r="E672" s="87" t="s">
        <v>1355</v>
      </c>
      <c r="F672" s="87">
        <v>33.124915077399997</v>
      </c>
      <c r="G672" s="87">
        <v>44.365637418699997</v>
      </c>
      <c r="H672" s="86">
        <v>1</v>
      </c>
      <c r="I672" s="86">
        <v>6</v>
      </c>
      <c r="J672" s="87"/>
      <c r="K672" s="87"/>
      <c r="L672" s="87">
        <v>1</v>
      </c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>
        <v>1</v>
      </c>
      <c r="AI672" s="87"/>
      <c r="AJ672" s="87"/>
      <c r="AK672" s="87"/>
      <c r="AL672" s="87"/>
      <c r="AM672" s="87"/>
      <c r="AN672" s="87"/>
      <c r="AO672" s="87"/>
      <c r="AP672" s="87"/>
      <c r="AQ672" s="87">
        <v>1</v>
      </c>
      <c r="AR672" s="87"/>
      <c r="AS672" s="87"/>
      <c r="AT672" s="87"/>
      <c r="AU672" s="87"/>
      <c r="AV672" s="87"/>
      <c r="AW672" s="88" t="str">
        <f>HYPERLINK("http://www.openstreetmap.org/?mlat=33.1249&amp;mlon=44.3656&amp;zoom=12#map=12/33.1249/44.3656","Maplink1")</f>
        <v>Maplink1</v>
      </c>
      <c r="AX672" s="88" t="str">
        <f>HYPERLINK("https://www.google.iq/maps/search/+33.1249,44.3656/@33.1249,44.3656,14z?hl=en","Maplink2")</f>
        <v>Maplink2</v>
      </c>
      <c r="AY672" s="88" t="str">
        <f>HYPERLINK("http://www.bing.com/maps/?lvl=14&amp;sty=h&amp;cp=33.1249~44.3656&amp;sp=point.33.1249_44.3656","Maplink3")</f>
        <v>Maplink3</v>
      </c>
      <c r="AZ672" s="76"/>
    </row>
    <row r="673" spans="1:52" x14ac:dyDescent="0.25">
      <c r="A673" s="86">
        <v>7758</v>
      </c>
      <c r="B673" s="87" t="s">
        <v>14</v>
      </c>
      <c r="C673" s="87" t="s">
        <v>1316</v>
      </c>
      <c r="D673" s="87" t="s">
        <v>1356</v>
      </c>
      <c r="E673" s="87" t="s">
        <v>1357</v>
      </c>
      <c r="F673" s="87">
        <v>33.0921367953</v>
      </c>
      <c r="G673" s="87">
        <v>44.369749361700002</v>
      </c>
      <c r="H673" s="86">
        <v>5</v>
      </c>
      <c r="I673" s="86">
        <v>30</v>
      </c>
      <c r="J673" s="87">
        <v>2</v>
      </c>
      <c r="K673" s="87">
        <v>1</v>
      </c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>
        <v>2</v>
      </c>
      <c r="Y673" s="87"/>
      <c r="Z673" s="87"/>
      <c r="AA673" s="87"/>
      <c r="AB673" s="87"/>
      <c r="AC673" s="87"/>
      <c r="AD673" s="87"/>
      <c r="AE673" s="87"/>
      <c r="AF673" s="87"/>
      <c r="AG673" s="87"/>
      <c r="AH673" s="87">
        <v>4</v>
      </c>
      <c r="AI673" s="87"/>
      <c r="AJ673" s="87"/>
      <c r="AK673" s="87"/>
      <c r="AL673" s="87">
        <v>1</v>
      </c>
      <c r="AM673" s="87"/>
      <c r="AN673" s="87">
        <v>2</v>
      </c>
      <c r="AO673" s="87"/>
      <c r="AP673" s="87"/>
      <c r="AQ673" s="87">
        <v>3</v>
      </c>
      <c r="AR673" s="87"/>
      <c r="AS673" s="87"/>
      <c r="AT673" s="87"/>
      <c r="AU673" s="87"/>
      <c r="AV673" s="87"/>
      <c r="AW673" s="88" t="str">
        <f>HYPERLINK("http://www.openstreetmap.org/?mlat=33.0921&amp;mlon=44.3697&amp;zoom=12#map=12/33.0921/44.3697","Maplink1")</f>
        <v>Maplink1</v>
      </c>
      <c r="AX673" s="88" t="str">
        <f>HYPERLINK("https://www.google.iq/maps/search/+33.0921,44.3697/@33.0921,44.3697,14z?hl=en","Maplink2")</f>
        <v>Maplink2</v>
      </c>
      <c r="AY673" s="88" t="str">
        <f>HYPERLINK("http://www.bing.com/maps/?lvl=14&amp;sty=h&amp;cp=33.0921~44.3697&amp;sp=point.33.0921_44.3697","Maplink3")</f>
        <v>Maplink3</v>
      </c>
      <c r="AZ673" s="76"/>
    </row>
    <row r="674" spans="1:52" x14ac:dyDescent="0.25">
      <c r="A674" s="86">
        <v>25152</v>
      </c>
      <c r="B674" s="87" t="s">
        <v>14</v>
      </c>
      <c r="C674" s="87" t="s">
        <v>1316</v>
      </c>
      <c r="D674" s="87" t="s">
        <v>1358</v>
      </c>
      <c r="E674" s="87" t="s">
        <v>1359</v>
      </c>
      <c r="F674" s="87">
        <v>32.963273407800003</v>
      </c>
      <c r="G674" s="87">
        <v>44.363061064599997</v>
      </c>
      <c r="H674" s="86">
        <v>170</v>
      </c>
      <c r="I674" s="86">
        <v>1020</v>
      </c>
      <c r="J674" s="87"/>
      <c r="K674" s="87">
        <v>170</v>
      </c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>
        <v>89</v>
      </c>
      <c r="AD674" s="87"/>
      <c r="AE674" s="87">
        <v>11</v>
      </c>
      <c r="AF674" s="87"/>
      <c r="AG674" s="87"/>
      <c r="AH674" s="87">
        <v>67</v>
      </c>
      <c r="AI674" s="87">
        <v>3</v>
      </c>
      <c r="AJ674" s="87"/>
      <c r="AK674" s="87"/>
      <c r="AL674" s="87"/>
      <c r="AM674" s="87"/>
      <c r="AN674" s="87"/>
      <c r="AO674" s="87"/>
      <c r="AP674" s="87">
        <v>112</v>
      </c>
      <c r="AQ674" s="87">
        <v>58</v>
      </c>
      <c r="AR674" s="87"/>
      <c r="AS674" s="87"/>
      <c r="AT674" s="87"/>
      <c r="AU674" s="87"/>
      <c r="AV674" s="87"/>
      <c r="AW674" s="88" t="str">
        <f>HYPERLINK("http://www.openstreetmap.org/?mlat=32.9633&amp;mlon=44.3631&amp;zoom=12#map=12/32.9633/44.3631","Maplink1")</f>
        <v>Maplink1</v>
      </c>
      <c r="AX674" s="88" t="str">
        <f>HYPERLINK("https://www.google.iq/maps/search/+32.9633,44.3631/@32.9633,44.3631,14z?hl=en","Maplink2")</f>
        <v>Maplink2</v>
      </c>
      <c r="AY674" s="88" t="str">
        <f>HYPERLINK("http://www.bing.com/maps/?lvl=14&amp;sty=h&amp;cp=32.9633~44.3631&amp;sp=point.32.9633_44.3631","Maplink3")</f>
        <v>Maplink3</v>
      </c>
      <c r="AZ674" s="76"/>
    </row>
    <row r="675" spans="1:52" x14ac:dyDescent="0.25">
      <c r="A675" s="86">
        <v>25154</v>
      </c>
      <c r="B675" s="87" t="s">
        <v>14</v>
      </c>
      <c r="C675" s="87" t="s">
        <v>1316</v>
      </c>
      <c r="D675" s="87" t="s">
        <v>1360</v>
      </c>
      <c r="E675" s="87" t="s">
        <v>1361</v>
      </c>
      <c r="F675" s="87">
        <v>32.948217467299997</v>
      </c>
      <c r="G675" s="87">
        <v>44.371063639100001</v>
      </c>
      <c r="H675" s="86">
        <v>14</v>
      </c>
      <c r="I675" s="86">
        <v>84</v>
      </c>
      <c r="J675" s="87"/>
      <c r="K675" s="87">
        <v>14</v>
      </c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>
        <v>14</v>
      </c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>
        <v>14</v>
      </c>
      <c r="AR675" s="87"/>
      <c r="AS675" s="87"/>
      <c r="AT675" s="87"/>
      <c r="AU675" s="87"/>
      <c r="AV675" s="87"/>
      <c r="AW675" s="88" t="str">
        <f>HYPERLINK("http://www.openstreetmap.org/?mlat=32.9482&amp;mlon=44.3711&amp;zoom=12#map=12/32.9482/44.3711","Maplink1")</f>
        <v>Maplink1</v>
      </c>
      <c r="AX675" s="88" t="str">
        <f>HYPERLINK("https://www.google.iq/maps/search/+32.9482,44.3711/@32.9482,44.3711,14z?hl=en","Maplink2")</f>
        <v>Maplink2</v>
      </c>
      <c r="AY675" s="88" t="str">
        <f>HYPERLINK("http://www.bing.com/maps/?lvl=14&amp;sty=h&amp;cp=32.9482~44.3711&amp;sp=point.32.9482_44.3711","Maplink3")</f>
        <v>Maplink3</v>
      </c>
      <c r="AZ675" s="76"/>
    </row>
    <row r="676" spans="1:52" x14ac:dyDescent="0.25">
      <c r="A676" s="86">
        <v>25153</v>
      </c>
      <c r="B676" s="87" t="s">
        <v>14</v>
      </c>
      <c r="C676" s="87" t="s">
        <v>1316</v>
      </c>
      <c r="D676" s="87" t="s">
        <v>1362</v>
      </c>
      <c r="E676" s="87" t="s">
        <v>1363</v>
      </c>
      <c r="F676" s="87">
        <v>32.917140766899998</v>
      </c>
      <c r="G676" s="87">
        <v>44.399668264799999</v>
      </c>
      <c r="H676" s="86">
        <v>6</v>
      </c>
      <c r="I676" s="86">
        <v>36</v>
      </c>
      <c r="J676" s="87"/>
      <c r="K676" s="87">
        <v>6</v>
      </c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>
        <v>6</v>
      </c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>
        <v>6</v>
      </c>
      <c r="AQ676" s="87"/>
      <c r="AR676" s="87"/>
      <c r="AS676" s="87"/>
      <c r="AT676" s="87"/>
      <c r="AU676" s="87"/>
      <c r="AV676" s="87"/>
      <c r="AW676" s="88" t="str">
        <f>HYPERLINK("http://www.openstreetmap.org/?mlat=32.9171&amp;mlon=44.3997&amp;zoom=12#map=12/32.9171/44.3997","Maplink1")</f>
        <v>Maplink1</v>
      </c>
      <c r="AX676" s="88" t="str">
        <f>HYPERLINK("https://www.google.iq/maps/search/+32.9171,44.3997/@32.9171,44.3997,14z?hl=en","Maplink2")</f>
        <v>Maplink2</v>
      </c>
      <c r="AY676" s="88" t="str">
        <f>HYPERLINK("http://www.bing.com/maps/?lvl=14&amp;sty=h&amp;cp=32.9171~44.3997&amp;sp=point.32.9171_44.3997","Maplink3")</f>
        <v>Maplink3</v>
      </c>
      <c r="AZ676" s="76"/>
    </row>
    <row r="677" spans="1:52" x14ac:dyDescent="0.25">
      <c r="A677" s="86">
        <v>29588</v>
      </c>
      <c r="B677" s="87" t="s">
        <v>14</v>
      </c>
      <c r="C677" s="87" t="s">
        <v>1316</v>
      </c>
      <c r="D677" s="87" t="s">
        <v>1364</v>
      </c>
      <c r="E677" s="87" t="s">
        <v>1365</v>
      </c>
      <c r="F677" s="87">
        <v>32.968751831299997</v>
      </c>
      <c r="G677" s="87">
        <v>44.351612843600002</v>
      </c>
      <c r="H677" s="86">
        <v>49</v>
      </c>
      <c r="I677" s="86">
        <v>294</v>
      </c>
      <c r="J677" s="87"/>
      <c r="K677" s="87">
        <v>49</v>
      </c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>
        <v>49</v>
      </c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>
        <v>49</v>
      </c>
      <c r="AQ677" s="87"/>
      <c r="AR677" s="87"/>
      <c r="AS677" s="87"/>
      <c r="AT677" s="87"/>
      <c r="AU677" s="87"/>
      <c r="AV677" s="87"/>
      <c r="AW677" s="88" t="str">
        <f>HYPERLINK("http://www.openstreetmap.org/?mlat=32.9688&amp;mlon=44.3516&amp;zoom=12#map=12/32.9688/44.3516","Maplink1")</f>
        <v>Maplink1</v>
      </c>
      <c r="AX677" s="88" t="str">
        <f>HYPERLINK("https://www.google.iq/maps/search/+32.9688,44.3516/@32.9688,44.3516,14z?hl=en","Maplink2")</f>
        <v>Maplink2</v>
      </c>
      <c r="AY677" s="88" t="str">
        <f>HYPERLINK("http://www.bing.com/maps/?lvl=14&amp;sty=h&amp;cp=32.9688~44.3516&amp;sp=point.32.9688_44.3516","Maplink3")</f>
        <v>Maplink3</v>
      </c>
      <c r="AZ677" s="76"/>
    </row>
    <row r="678" spans="1:52" x14ac:dyDescent="0.25">
      <c r="A678" s="86">
        <v>7364</v>
      </c>
      <c r="B678" s="87" t="s">
        <v>14</v>
      </c>
      <c r="C678" s="87" t="s">
        <v>1316</v>
      </c>
      <c r="D678" s="87" t="s">
        <v>1366</v>
      </c>
      <c r="E678" s="87" t="s">
        <v>1367</v>
      </c>
      <c r="F678" s="87">
        <v>33.111884291000003</v>
      </c>
      <c r="G678" s="87">
        <v>44.180987948899997</v>
      </c>
      <c r="H678" s="86">
        <v>21</v>
      </c>
      <c r="I678" s="86">
        <v>126</v>
      </c>
      <c r="J678" s="87">
        <v>14</v>
      </c>
      <c r="K678" s="87">
        <v>7</v>
      </c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>
        <v>10</v>
      </c>
      <c r="AD678" s="87"/>
      <c r="AE678" s="87"/>
      <c r="AF678" s="87"/>
      <c r="AG678" s="87"/>
      <c r="AH678" s="87">
        <v>11</v>
      </c>
      <c r="AI678" s="87"/>
      <c r="AJ678" s="87"/>
      <c r="AK678" s="87"/>
      <c r="AL678" s="87"/>
      <c r="AM678" s="87"/>
      <c r="AN678" s="87"/>
      <c r="AO678" s="87"/>
      <c r="AP678" s="87"/>
      <c r="AQ678" s="87"/>
      <c r="AR678" s="87">
        <v>21</v>
      </c>
      <c r="AS678" s="87"/>
      <c r="AT678" s="87"/>
      <c r="AU678" s="87"/>
      <c r="AV678" s="87"/>
      <c r="AW678" s="88" t="str">
        <f>HYPERLINK("http://www.openstreetmap.org/?mlat=33.1119&amp;mlon=44.181&amp;zoom=12#map=12/33.1119/44.181","Maplink1")</f>
        <v>Maplink1</v>
      </c>
      <c r="AX678" s="88" t="str">
        <f>HYPERLINK("https://www.google.iq/maps/search/+33.1119,44.181/@33.1119,44.181,14z?hl=en","Maplink2")</f>
        <v>Maplink2</v>
      </c>
      <c r="AY678" s="88" t="str">
        <f>HYPERLINK("http://www.bing.com/maps/?lvl=14&amp;sty=h&amp;cp=33.1119~44.181&amp;sp=point.33.1119_44.181","Maplink3")</f>
        <v>Maplink3</v>
      </c>
      <c r="AZ678" s="76"/>
    </row>
    <row r="679" spans="1:52" x14ac:dyDescent="0.25">
      <c r="A679" s="86">
        <v>25155</v>
      </c>
      <c r="B679" s="87" t="s">
        <v>14</v>
      </c>
      <c r="C679" s="87" t="s">
        <v>1316</v>
      </c>
      <c r="D679" s="87" t="s">
        <v>1368</v>
      </c>
      <c r="E679" s="87" t="s">
        <v>1369</v>
      </c>
      <c r="F679" s="87">
        <v>33.065538930999999</v>
      </c>
      <c r="G679" s="87">
        <v>44.497718137600003</v>
      </c>
      <c r="H679" s="86">
        <v>11</v>
      </c>
      <c r="I679" s="86">
        <v>66</v>
      </c>
      <c r="J679" s="87"/>
      <c r="K679" s="87">
        <v>11</v>
      </c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>
        <v>11</v>
      </c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>
        <v>11</v>
      </c>
      <c r="AQ679" s="87"/>
      <c r="AR679" s="87"/>
      <c r="AS679" s="87"/>
      <c r="AT679" s="87"/>
      <c r="AU679" s="87"/>
      <c r="AV679" s="87"/>
      <c r="AW679" s="88" t="str">
        <f>HYPERLINK("http://www.openstreetmap.org/?mlat=33.0655&amp;mlon=44.4977&amp;zoom=12#map=12/33.0655/44.4977","Maplink1")</f>
        <v>Maplink1</v>
      </c>
      <c r="AX679" s="88" t="str">
        <f>HYPERLINK("https://www.google.iq/maps/search/+33.0655,44.4977/@33.0655,44.4977,14z?hl=en","Maplink2")</f>
        <v>Maplink2</v>
      </c>
      <c r="AY679" s="88" t="str">
        <f>HYPERLINK("http://www.bing.com/maps/?lvl=14&amp;sty=h&amp;cp=33.0655~44.4977&amp;sp=point.33.0655_44.4977","Maplink3")</f>
        <v>Maplink3</v>
      </c>
      <c r="AZ679" s="76"/>
    </row>
    <row r="680" spans="1:52" x14ac:dyDescent="0.25">
      <c r="A680" s="86">
        <v>25427</v>
      </c>
      <c r="B680" s="87" t="s">
        <v>14</v>
      </c>
      <c r="C680" s="87" t="s">
        <v>1370</v>
      </c>
      <c r="D680" s="87" t="s">
        <v>1371</v>
      </c>
      <c r="E680" s="87" t="s">
        <v>1372</v>
      </c>
      <c r="F680" s="87">
        <v>33.702777262799998</v>
      </c>
      <c r="G680" s="87">
        <v>44.422967390700002</v>
      </c>
      <c r="H680" s="86">
        <v>30</v>
      </c>
      <c r="I680" s="86">
        <v>180</v>
      </c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>
        <v>30</v>
      </c>
      <c r="Y680" s="87"/>
      <c r="Z680" s="87"/>
      <c r="AA680" s="87"/>
      <c r="AB680" s="87"/>
      <c r="AC680" s="87">
        <v>12</v>
      </c>
      <c r="AD680" s="87"/>
      <c r="AE680" s="87"/>
      <c r="AF680" s="87"/>
      <c r="AG680" s="87"/>
      <c r="AH680" s="87">
        <v>14</v>
      </c>
      <c r="AI680" s="87">
        <v>4</v>
      </c>
      <c r="AJ680" s="87"/>
      <c r="AK680" s="87"/>
      <c r="AL680" s="87"/>
      <c r="AM680" s="87"/>
      <c r="AN680" s="87"/>
      <c r="AO680" s="87"/>
      <c r="AP680" s="87">
        <v>13</v>
      </c>
      <c r="AQ680" s="87">
        <v>9</v>
      </c>
      <c r="AR680" s="87">
        <v>8</v>
      </c>
      <c r="AS680" s="87"/>
      <c r="AT680" s="87"/>
      <c r="AU680" s="87"/>
      <c r="AV680" s="87"/>
      <c r="AW680" s="88" t="str">
        <f>HYPERLINK("http://www.openstreetmap.org/?mlat=33.7028&amp;mlon=44.423&amp;zoom=12#map=12/33.7028/44.423","Maplink1")</f>
        <v>Maplink1</v>
      </c>
      <c r="AX680" s="88" t="str">
        <f>HYPERLINK("https://www.google.iq/maps/search/+33.7028,44.423/@33.7028,44.423,14z?hl=en","Maplink2")</f>
        <v>Maplink2</v>
      </c>
      <c r="AY680" s="88" t="str">
        <f>HYPERLINK("http://www.bing.com/maps/?lvl=14&amp;sty=h&amp;cp=33.7028~44.423&amp;sp=point.33.7028_44.423","Maplink3")</f>
        <v>Maplink3</v>
      </c>
      <c r="AZ680" s="76"/>
    </row>
    <row r="681" spans="1:52" x14ac:dyDescent="0.25">
      <c r="A681" s="86">
        <v>25416</v>
      </c>
      <c r="B681" s="87" t="s">
        <v>14</v>
      </c>
      <c r="C681" s="87" t="s">
        <v>1370</v>
      </c>
      <c r="D681" s="87" t="s">
        <v>1373</v>
      </c>
      <c r="E681" s="87" t="s">
        <v>1374</v>
      </c>
      <c r="F681" s="87">
        <v>33.659107698</v>
      </c>
      <c r="G681" s="87">
        <v>44.388669741800001</v>
      </c>
      <c r="H681" s="86">
        <v>36</v>
      </c>
      <c r="I681" s="86">
        <v>216</v>
      </c>
      <c r="J681" s="87">
        <v>21</v>
      </c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>
        <v>15</v>
      </c>
      <c r="Y681" s="87"/>
      <c r="Z681" s="87"/>
      <c r="AA681" s="87"/>
      <c r="AB681" s="87"/>
      <c r="AC681" s="87">
        <v>16</v>
      </c>
      <c r="AD681" s="87"/>
      <c r="AE681" s="87"/>
      <c r="AF681" s="87"/>
      <c r="AG681" s="87"/>
      <c r="AH681" s="87">
        <v>15</v>
      </c>
      <c r="AI681" s="87">
        <v>5</v>
      </c>
      <c r="AJ681" s="87"/>
      <c r="AK681" s="87"/>
      <c r="AL681" s="87"/>
      <c r="AM681" s="87"/>
      <c r="AN681" s="87"/>
      <c r="AO681" s="87"/>
      <c r="AP681" s="87">
        <v>26</v>
      </c>
      <c r="AQ681" s="87">
        <v>10</v>
      </c>
      <c r="AR681" s="87"/>
      <c r="AS681" s="87"/>
      <c r="AT681" s="87"/>
      <c r="AU681" s="87"/>
      <c r="AV681" s="87"/>
      <c r="AW681" s="88" t="str">
        <f>HYPERLINK("http://www.openstreetmap.org/?mlat=33.6591&amp;mlon=44.3887&amp;zoom=12#map=12/33.6591/44.3887","Maplink1")</f>
        <v>Maplink1</v>
      </c>
      <c r="AX681" s="88" t="str">
        <f>HYPERLINK("https://www.google.iq/maps/search/+33.6591,44.3887/@33.6591,44.3887,14z?hl=en","Maplink2")</f>
        <v>Maplink2</v>
      </c>
      <c r="AY681" s="88" t="str">
        <f>HYPERLINK("http://www.bing.com/maps/?lvl=14&amp;sty=h&amp;cp=33.6591~44.3887&amp;sp=point.33.6591_44.3887","Maplink3")</f>
        <v>Maplink3</v>
      </c>
      <c r="AZ681" s="76"/>
    </row>
    <row r="682" spans="1:52" x14ac:dyDescent="0.25">
      <c r="A682" s="86">
        <v>25417</v>
      </c>
      <c r="B682" s="87" t="s">
        <v>14</v>
      </c>
      <c r="C682" s="87" t="s">
        <v>1370</v>
      </c>
      <c r="D682" s="87" t="s">
        <v>1375</v>
      </c>
      <c r="E682" s="87" t="s">
        <v>1376</v>
      </c>
      <c r="F682" s="87">
        <v>33.6618727217</v>
      </c>
      <c r="G682" s="87">
        <v>44.394084349300002</v>
      </c>
      <c r="H682" s="86">
        <v>31</v>
      </c>
      <c r="I682" s="86">
        <v>186</v>
      </c>
      <c r="J682" s="87">
        <v>31</v>
      </c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>
        <v>13</v>
      </c>
      <c r="AD682" s="87"/>
      <c r="AE682" s="87"/>
      <c r="AF682" s="87"/>
      <c r="AG682" s="87"/>
      <c r="AH682" s="87">
        <v>10</v>
      </c>
      <c r="AI682" s="87">
        <v>5</v>
      </c>
      <c r="AJ682" s="87"/>
      <c r="AK682" s="87"/>
      <c r="AL682" s="87">
        <v>3</v>
      </c>
      <c r="AM682" s="87"/>
      <c r="AN682" s="87">
        <v>12</v>
      </c>
      <c r="AO682" s="87"/>
      <c r="AP682" s="87">
        <v>8</v>
      </c>
      <c r="AQ682" s="87">
        <v>11</v>
      </c>
      <c r="AR682" s="87"/>
      <c r="AS682" s="87"/>
      <c r="AT682" s="87"/>
      <c r="AU682" s="87"/>
      <c r="AV682" s="87"/>
      <c r="AW682" s="88" t="str">
        <f>HYPERLINK("http://www.openstreetmap.org/?mlat=33.6619&amp;mlon=44.3941&amp;zoom=12#map=12/33.6619/44.3941","Maplink1")</f>
        <v>Maplink1</v>
      </c>
      <c r="AX682" s="88" t="str">
        <f>HYPERLINK("https://www.google.iq/maps/search/+33.6619,44.3941/@33.6619,44.3941,14z?hl=en","Maplink2")</f>
        <v>Maplink2</v>
      </c>
      <c r="AY682" s="88" t="str">
        <f>HYPERLINK("http://www.bing.com/maps/?lvl=14&amp;sty=h&amp;cp=33.6619~44.3941&amp;sp=point.33.6619_44.3941","Maplink3")</f>
        <v>Maplink3</v>
      </c>
      <c r="AZ682" s="76"/>
    </row>
    <row r="683" spans="1:52" x14ac:dyDescent="0.25">
      <c r="A683" s="86">
        <v>21685</v>
      </c>
      <c r="B683" s="87" t="s">
        <v>14</v>
      </c>
      <c r="C683" s="87" t="s">
        <v>1370</v>
      </c>
      <c r="D683" s="87" t="s">
        <v>1377</v>
      </c>
      <c r="E683" s="87" t="s">
        <v>1378</v>
      </c>
      <c r="F683" s="87">
        <v>33.676307770699999</v>
      </c>
      <c r="G683" s="87">
        <v>44.3729867367</v>
      </c>
      <c r="H683" s="86">
        <v>26</v>
      </c>
      <c r="I683" s="86">
        <v>156</v>
      </c>
      <c r="J683" s="87">
        <v>26</v>
      </c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>
        <v>9</v>
      </c>
      <c r="AD683" s="87"/>
      <c r="AE683" s="87"/>
      <c r="AF683" s="87"/>
      <c r="AG683" s="87"/>
      <c r="AH683" s="87">
        <v>15</v>
      </c>
      <c r="AI683" s="87"/>
      <c r="AJ683" s="87"/>
      <c r="AK683" s="87"/>
      <c r="AL683" s="87">
        <v>2</v>
      </c>
      <c r="AM683" s="87"/>
      <c r="AN683" s="87">
        <v>6</v>
      </c>
      <c r="AO683" s="87">
        <v>10</v>
      </c>
      <c r="AP683" s="87">
        <v>10</v>
      </c>
      <c r="AQ683" s="87"/>
      <c r="AR683" s="87"/>
      <c r="AS683" s="87"/>
      <c r="AT683" s="87"/>
      <c r="AU683" s="87"/>
      <c r="AV683" s="87"/>
      <c r="AW683" s="88" t="str">
        <f>HYPERLINK("http://www.openstreetmap.org/?mlat=33.6763&amp;mlon=44.373&amp;zoom=12#map=12/33.6763/44.373","Maplink1")</f>
        <v>Maplink1</v>
      </c>
      <c r="AX683" s="88" t="str">
        <f>HYPERLINK("https://www.google.iq/maps/search/+33.6763,44.373/@33.6763,44.373,14z?hl=en","Maplink2")</f>
        <v>Maplink2</v>
      </c>
      <c r="AY683" s="88" t="str">
        <f>HYPERLINK("http://www.bing.com/maps/?lvl=14&amp;sty=h&amp;cp=33.6763~44.373&amp;sp=point.33.6763_44.373","Maplink3")</f>
        <v>Maplink3</v>
      </c>
      <c r="AZ683" s="76"/>
    </row>
    <row r="684" spans="1:52" x14ac:dyDescent="0.25">
      <c r="A684" s="86">
        <v>23738</v>
      </c>
      <c r="B684" s="87" t="s">
        <v>14</v>
      </c>
      <c r="C684" s="87" t="s">
        <v>1370</v>
      </c>
      <c r="D684" s="87" t="s">
        <v>1379</v>
      </c>
      <c r="E684" s="87" t="s">
        <v>1380</v>
      </c>
      <c r="F684" s="87">
        <v>33.731363509700003</v>
      </c>
      <c r="G684" s="87">
        <v>44.259675988200001</v>
      </c>
      <c r="H684" s="86">
        <v>16</v>
      </c>
      <c r="I684" s="86">
        <v>96</v>
      </c>
      <c r="J684" s="87">
        <v>16</v>
      </c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>
        <v>9</v>
      </c>
      <c r="AD684" s="87"/>
      <c r="AE684" s="87">
        <v>5</v>
      </c>
      <c r="AF684" s="87"/>
      <c r="AG684" s="87"/>
      <c r="AH684" s="87"/>
      <c r="AI684" s="87"/>
      <c r="AJ684" s="87"/>
      <c r="AK684" s="87"/>
      <c r="AL684" s="87">
        <v>2</v>
      </c>
      <c r="AM684" s="87"/>
      <c r="AN684" s="87">
        <v>16</v>
      </c>
      <c r="AO684" s="87"/>
      <c r="AP684" s="87"/>
      <c r="AQ684" s="87"/>
      <c r="AR684" s="87"/>
      <c r="AS684" s="87"/>
      <c r="AT684" s="87"/>
      <c r="AU684" s="87"/>
      <c r="AV684" s="87"/>
      <c r="AW684" s="88" t="str">
        <f>HYPERLINK("http://www.openstreetmap.org/?mlat=33.7314&amp;mlon=44.2597&amp;zoom=12#map=12/33.7314/44.2597","Maplink1")</f>
        <v>Maplink1</v>
      </c>
      <c r="AX684" s="88" t="str">
        <f>HYPERLINK("https://www.google.iq/maps/search/+33.7314,44.2597/@33.7314,44.2597,14z?hl=en","Maplink2")</f>
        <v>Maplink2</v>
      </c>
      <c r="AY684" s="88" t="str">
        <f>HYPERLINK("http://www.bing.com/maps/?lvl=14&amp;sty=h&amp;cp=33.7314~44.2597&amp;sp=point.33.7314_44.2597","Maplink3")</f>
        <v>Maplink3</v>
      </c>
      <c r="AZ684" s="76"/>
    </row>
    <row r="685" spans="1:52" x14ac:dyDescent="0.25">
      <c r="A685" s="86">
        <v>24061</v>
      </c>
      <c r="B685" s="87" t="s">
        <v>14</v>
      </c>
      <c r="C685" s="87" t="s">
        <v>1370</v>
      </c>
      <c r="D685" s="87" t="s">
        <v>1381</v>
      </c>
      <c r="E685" s="87" t="s">
        <v>1382</v>
      </c>
      <c r="F685" s="87">
        <v>33.663721113299999</v>
      </c>
      <c r="G685" s="87">
        <v>44.398849651799999</v>
      </c>
      <c r="H685" s="86">
        <v>44</v>
      </c>
      <c r="I685" s="86">
        <v>264</v>
      </c>
      <c r="J685" s="87">
        <v>44</v>
      </c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>
        <v>18</v>
      </c>
      <c r="AD685" s="87"/>
      <c r="AE685" s="87"/>
      <c r="AF685" s="87"/>
      <c r="AG685" s="87"/>
      <c r="AH685" s="87">
        <v>23</v>
      </c>
      <c r="AI685" s="87">
        <v>3</v>
      </c>
      <c r="AJ685" s="87"/>
      <c r="AK685" s="87"/>
      <c r="AL685" s="87"/>
      <c r="AM685" s="87"/>
      <c r="AN685" s="87">
        <v>44</v>
      </c>
      <c r="AO685" s="87"/>
      <c r="AP685" s="87"/>
      <c r="AQ685" s="87"/>
      <c r="AR685" s="87"/>
      <c r="AS685" s="87"/>
      <c r="AT685" s="87"/>
      <c r="AU685" s="87"/>
      <c r="AV685" s="87"/>
      <c r="AW685" s="88" t="str">
        <f>HYPERLINK("http://www.openstreetmap.org/?mlat=33.6637&amp;mlon=44.3988&amp;zoom=12#map=12/33.6637/44.3988","Maplink1")</f>
        <v>Maplink1</v>
      </c>
      <c r="AX685" s="88" t="str">
        <f>HYPERLINK("https://www.google.iq/maps/search/+33.6637,44.3988/@33.6637,44.3988,14z?hl=en","Maplink2")</f>
        <v>Maplink2</v>
      </c>
      <c r="AY685" s="88" t="str">
        <f>HYPERLINK("http://www.bing.com/maps/?lvl=14&amp;sty=h&amp;cp=33.6637~44.3988&amp;sp=point.33.6637_44.3988","Maplink3")</f>
        <v>Maplink3</v>
      </c>
      <c r="AZ685" s="76"/>
    </row>
    <row r="686" spans="1:52" x14ac:dyDescent="0.25">
      <c r="A686" s="86">
        <v>24063</v>
      </c>
      <c r="B686" s="87" t="s">
        <v>14</v>
      </c>
      <c r="C686" s="87" t="s">
        <v>1370</v>
      </c>
      <c r="D686" s="87" t="s">
        <v>1383</v>
      </c>
      <c r="E686" s="87" t="s">
        <v>1384</v>
      </c>
      <c r="F686" s="87">
        <v>33.734871668700002</v>
      </c>
      <c r="G686" s="87">
        <v>44.392707926200003</v>
      </c>
      <c r="H686" s="86">
        <v>25</v>
      </c>
      <c r="I686" s="86">
        <v>150</v>
      </c>
      <c r="J686" s="87">
        <v>4</v>
      </c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>
        <v>21</v>
      </c>
      <c r="Y686" s="87"/>
      <c r="Z686" s="87"/>
      <c r="AA686" s="87"/>
      <c r="AB686" s="87"/>
      <c r="AC686" s="87">
        <v>6</v>
      </c>
      <c r="AD686" s="87"/>
      <c r="AE686" s="87"/>
      <c r="AF686" s="87"/>
      <c r="AG686" s="87"/>
      <c r="AH686" s="87">
        <v>16</v>
      </c>
      <c r="AI686" s="87"/>
      <c r="AJ686" s="87"/>
      <c r="AK686" s="87"/>
      <c r="AL686" s="87">
        <v>3</v>
      </c>
      <c r="AM686" s="87"/>
      <c r="AN686" s="87">
        <v>4</v>
      </c>
      <c r="AO686" s="87">
        <v>5</v>
      </c>
      <c r="AP686" s="87">
        <v>16</v>
      </c>
      <c r="AQ686" s="87"/>
      <c r="AR686" s="87"/>
      <c r="AS686" s="87"/>
      <c r="AT686" s="87"/>
      <c r="AU686" s="87"/>
      <c r="AV686" s="87"/>
      <c r="AW686" s="88" t="str">
        <f>HYPERLINK("http://www.openstreetmap.org/?mlat=33.7349&amp;mlon=44.3927&amp;zoom=12#map=12/33.7349/44.3927","Maplink1")</f>
        <v>Maplink1</v>
      </c>
      <c r="AX686" s="88" t="str">
        <f>HYPERLINK("https://www.google.iq/maps/search/+33.7349,44.3927/@33.7349,44.3927,14z?hl=en","Maplink2")</f>
        <v>Maplink2</v>
      </c>
      <c r="AY686" s="88" t="str">
        <f>HYPERLINK("http://www.bing.com/maps/?lvl=14&amp;sty=h&amp;cp=33.7349~44.3927&amp;sp=point.33.7349_44.3927","Maplink3")</f>
        <v>Maplink3</v>
      </c>
      <c r="AZ686" s="76"/>
    </row>
    <row r="687" spans="1:52" x14ac:dyDescent="0.25">
      <c r="A687" s="86">
        <v>24071</v>
      </c>
      <c r="B687" s="87" t="s">
        <v>14</v>
      </c>
      <c r="C687" s="87" t="s">
        <v>1370</v>
      </c>
      <c r="D687" s="87" t="s">
        <v>1385</v>
      </c>
      <c r="E687" s="87" t="s">
        <v>1386</v>
      </c>
      <c r="F687" s="87">
        <v>33.771173983799997</v>
      </c>
      <c r="G687" s="87">
        <v>44.3781218596</v>
      </c>
      <c r="H687" s="86">
        <v>20</v>
      </c>
      <c r="I687" s="86">
        <v>120</v>
      </c>
      <c r="J687" s="87">
        <v>4</v>
      </c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>
        <v>16</v>
      </c>
      <c r="Y687" s="87"/>
      <c r="Z687" s="87"/>
      <c r="AA687" s="87"/>
      <c r="AB687" s="87"/>
      <c r="AC687" s="87">
        <v>8</v>
      </c>
      <c r="AD687" s="87"/>
      <c r="AE687" s="87"/>
      <c r="AF687" s="87"/>
      <c r="AG687" s="87"/>
      <c r="AH687" s="87">
        <v>12</v>
      </c>
      <c r="AI687" s="87"/>
      <c r="AJ687" s="87"/>
      <c r="AK687" s="87"/>
      <c r="AL687" s="87"/>
      <c r="AM687" s="87"/>
      <c r="AN687" s="87">
        <v>4</v>
      </c>
      <c r="AO687" s="87"/>
      <c r="AP687" s="87">
        <v>5</v>
      </c>
      <c r="AQ687" s="87">
        <v>11</v>
      </c>
      <c r="AR687" s="87"/>
      <c r="AS687" s="87"/>
      <c r="AT687" s="87"/>
      <c r="AU687" s="87"/>
      <c r="AV687" s="87"/>
      <c r="AW687" s="88" t="str">
        <f>HYPERLINK("http://www.openstreetmap.org/?mlat=33.7712&amp;mlon=44.3781&amp;zoom=12#map=12/33.7712/44.3781","Maplink1")</f>
        <v>Maplink1</v>
      </c>
      <c r="AX687" s="88" t="str">
        <f>HYPERLINK("https://www.google.iq/maps/search/+33.7712,44.3781/@33.7712,44.3781,14z?hl=en","Maplink2")</f>
        <v>Maplink2</v>
      </c>
      <c r="AY687" s="88" t="str">
        <f>HYPERLINK("http://www.bing.com/maps/?lvl=14&amp;sty=h&amp;cp=33.7712~44.3781&amp;sp=point.33.7712_44.3781","Maplink3")</f>
        <v>Maplink3</v>
      </c>
      <c r="AZ687" s="76"/>
    </row>
    <row r="688" spans="1:52" x14ac:dyDescent="0.25">
      <c r="A688" s="86">
        <v>25419</v>
      </c>
      <c r="B688" s="87" t="s">
        <v>14</v>
      </c>
      <c r="C688" s="87" t="s">
        <v>1370</v>
      </c>
      <c r="D688" s="87" t="s">
        <v>1387</v>
      </c>
      <c r="E688" s="87" t="s">
        <v>1388</v>
      </c>
      <c r="F688" s="87">
        <v>33.664573212699999</v>
      </c>
      <c r="G688" s="87">
        <v>44.381498943799997</v>
      </c>
      <c r="H688" s="86">
        <v>40</v>
      </c>
      <c r="I688" s="86">
        <v>240</v>
      </c>
      <c r="J688" s="87">
        <v>23</v>
      </c>
      <c r="K688" s="87"/>
      <c r="L688" s="87"/>
      <c r="M688" s="87"/>
      <c r="N688" s="87"/>
      <c r="O688" s="87">
        <v>11</v>
      </c>
      <c r="P688" s="87"/>
      <c r="Q688" s="87"/>
      <c r="R688" s="87"/>
      <c r="S688" s="87"/>
      <c r="T688" s="87"/>
      <c r="U688" s="87"/>
      <c r="V688" s="87"/>
      <c r="W688" s="87"/>
      <c r="X688" s="87">
        <v>6</v>
      </c>
      <c r="Y688" s="87"/>
      <c r="Z688" s="87"/>
      <c r="AA688" s="87"/>
      <c r="AB688" s="87"/>
      <c r="AC688" s="87">
        <v>15</v>
      </c>
      <c r="AD688" s="87"/>
      <c r="AE688" s="87"/>
      <c r="AF688" s="87"/>
      <c r="AG688" s="87"/>
      <c r="AH688" s="87">
        <v>21</v>
      </c>
      <c r="AI688" s="87">
        <v>2</v>
      </c>
      <c r="AJ688" s="87"/>
      <c r="AK688" s="87"/>
      <c r="AL688" s="87">
        <v>2</v>
      </c>
      <c r="AM688" s="87"/>
      <c r="AN688" s="87">
        <v>17</v>
      </c>
      <c r="AO688" s="87"/>
      <c r="AP688" s="87">
        <v>23</v>
      </c>
      <c r="AQ688" s="87"/>
      <c r="AR688" s="87"/>
      <c r="AS688" s="87"/>
      <c r="AT688" s="87"/>
      <c r="AU688" s="87"/>
      <c r="AV688" s="87"/>
      <c r="AW688" s="88" t="str">
        <f>HYPERLINK("http://www.openstreetmap.org/?mlat=33.6646&amp;mlon=44.3815&amp;zoom=12#map=12/33.6646/44.3815","Maplink1")</f>
        <v>Maplink1</v>
      </c>
      <c r="AX688" s="88" t="str">
        <f>HYPERLINK("https://www.google.iq/maps/search/+33.6646,44.3815/@33.6646,44.3815,14z?hl=en","Maplink2")</f>
        <v>Maplink2</v>
      </c>
      <c r="AY688" s="88" t="str">
        <f>HYPERLINK("http://www.bing.com/maps/?lvl=14&amp;sty=h&amp;cp=33.6646~44.3815&amp;sp=point.33.6646_44.3815","Maplink3")</f>
        <v>Maplink3</v>
      </c>
      <c r="AZ688" s="76"/>
    </row>
    <row r="689" spans="1:52" x14ac:dyDescent="0.25">
      <c r="A689" s="86">
        <v>25423</v>
      </c>
      <c r="B689" s="87" t="s">
        <v>14</v>
      </c>
      <c r="C689" s="87" t="s">
        <v>1370</v>
      </c>
      <c r="D689" s="87" t="s">
        <v>1389</v>
      </c>
      <c r="E689" s="87" t="s">
        <v>1390</v>
      </c>
      <c r="F689" s="87">
        <v>33.6716716711</v>
      </c>
      <c r="G689" s="87">
        <v>44.379246579300002</v>
      </c>
      <c r="H689" s="86">
        <v>68</v>
      </c>
      <c r="I689" s="86">
        <v>408</v>
      </c>
      <c r="J689" s="87">
        <v>53</v>
      </c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>
        <v>15</v>
      </c>
      <c r="Y689" s="87"/>
      <c r="Z689" s="87"/>
      <c r="AA689" s="87"/>
      <c r="AB689" s="87"/>
      <c r="AC689" s="87">
        <v>19</v>
      </c>
      <c r="AD689" s="87"/>
      <c r="AE689" s="87"/>
      <c r="AF689" s="87"/>
      <c r="AG689" s="87"/>
      <c r="AH689" s="87">
        <v>34</v>
      </c>
      <c r="AI689" s="87">
        <v>8</v>
      </c>
      <c r="AJ689" s="87"/>
      <c r="AK689" s="87"/>
      <c r="AL689" s="87">
        <v>7</v>
      </c>
      <c r="AM689" s="87"/>
      <c r="AN689" s="87"/>
      <c r="AO689" s="87"/>
      <c r="AP689" s="87">
        <v>39</v>
      </c>
      <c r="AQ689" s="87">
        <v>29</v>
      </c>
      <c r="AR689" s="87"/>
      <c r="AS689" s="87"/>
      <c r="AT689" s="87"/>
      <c r="AU689" s="87"/>
      <c r="AV689" s="87"/>
      <c r="AW689" s="88" t="str">
        <f>HYPERLINK("http://www.openstreetmap.org/?mlat=33.6717&amp;mlon=44.3792&amp;zoom=12#map=12/33.6717/44.3792","Maplink1")</f>
        <v>Maplink1</v>
      </c>
      <c r="AX689" s="88" t="str">
        <f>HYPERLINK("https://www.google.iq/maps/search/+33.6717,44.3792/@33.6717,44.3792,14z?hl=en","Maplink2")</f>
        <v>Maplink2</v>
      </c>
      <c r="AY689" s="88" t="str">
        <f>HYPERLINK("http://www.bing.com/maps/?lvl=14&amp;sty=h&amp;cp=33.6717~44.3792&amp;sp=point.33.6717_44.3792","Maplink3")</f>
        <v>Maplink3</v>
      </c>
      <c r="AZ689" s="76"/>
    </row>
    <row r="690" spans="1:52" x14ac:dyDescent="0.25">
      <c r="A690" s="86">
        <v>25424</v>
      </c>
      <c r="B690" s="87" t="s">
        <v>14</v>
      </c>
      <c r="C690" s="87" t="s">
        <v>1370</v>
      </c>
      <c r="D690" s="87" t="s">
        <v>1391</v>
      </c>
      <c r="E690" s="87" t="s">
        <v>1392</v>
      </c>
      <c r="F690" s="87">
        <v>33.671531917199999</v>
      </c>
      <c r="G690" s="87">
        <v>44.371902477900001</v>
      </c>
      <c r="H690" s="86">
        <v>51</v>
      </c>
      <c r="I690" s="86">
        <v>306</v>
      </c>
      <c r="J690" s="87">
        <v>34</v>
      </c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>
        <v>17</v>
      </c>
      <c r="Y690" s="87"/>
      <c r="Z690" s="87"/>
      <c r="AA690" s="87"/>
      <c r="AB690" s="87"/>
      <c r="AC690" s="87">
        <v>16</v>
      </c>
      <c r="AD690" s="87"/>
      <c r="AE690" s="87"/>
      <c r="AF690" s="87"/>
      <c r="AG690" s="87"/>
      <c r="AH690" s="87">
        <v>26</v>
      </c>
      <c r="AI690" s="87">
        <v>2</v>
      </c>
      <c r="AJ690" s="87"/>
      <c r="AK690" s="87"/>
      <c r="AL690" s="87">
        <v>7</v>
      </c>
      <c r="AM690" s="87"/>
      <c r="AN690" s="87">
        <v>21</v>
      </c>
      <c r="AO690" s="87"/>
      <c r="AP690" s="87">
        <v>18</v>
      </c>
      <c r="AQ690" s="87">
        <v>12</v>
      </c>
      <c r="AR690" s="87"/>
      <c r="AS690" s="87"/>
      <c r="AT690" s="87"/>
      <c r="AU690" s="87"/>
      <c r="AV690" s="87"/>
      <c r="AW690" s="88" t="str">
        <f>HYPERLINK("http://www.openstreetmap.org/?mlat=33.6715&amp;mlon=44.3719&amp;zoom=12#map=12/33.6715/44.3719","Maplink1")</f>
        <v>Maplink1</v>
      </c>
      <c r="AX690" s="88" t="str">
        <f>HYPERLINK("https://www.google.iq/maps/search/+33.6715,44.3719/@33.6715,44.3719,14z?hl=en","Maplink2")</f>
        <v>Maplink2</v>
      </c>
      <c r="AY690" s="88" t="str">
        <f>HYPERLINK("http://www.bing.com/maps/?lvl=14&amp;sty=h&amp;cp=33.6715~44.3719&amp;sp=point.33.6715_44.3719","Maplink3")</f>
        <v>Maplink3</v>
      </c>
      <c r="AZ690" s="76"/>
    </row>
    <row r="691" spans="1:52" x14ac:dyDescent="0.25">
      <c r="A691" s="86">
        <v>25418</v>
      </c>
      <c r="B691" s="87" t="s">
        <v>14</v>
      </c>
      <c r="C691" s="87" t="s">
        <v>1370</v>
      </c>
      <c r="D691" s="87" t="s">
        <v>1393</v>
      </c>
      <c r="E691" s="87" t="s">
        <v>1394</v>
      </c>
      <c r="F691" s="87">
        <v>33.665635319300002</v>
      </c>
      <c r="G691" s="87">
        <v>44.393639303</v>
      </c>
      <c r="H691" s="86">
        <v>47</v>
      </c>
      <c r="I691" s="86">
        <v>282</v>
      </c>
      <c r="J691" s="87">
        <v>41</v>
      </c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>
        <v>6</v>
      </c>
      <c r="Y691" s="87"/>
      <c r="Z691" s="87"/>
      <c r="AA691" s="87"/>
      <c r="AB691" s="87"/>
      <c r="AC691" s="87">
        <v>12</v>
      </c>
      <c r="AD691" s="87"/>
      <c r="AE691" s="87"/>
      <c r="AF691" s="87"/>
      <c r="AG691" s="87"/>
      <c r="AH691" s="87">
        <v>31</v>
      </c>
      <c r="AI691" s="87">
        <v>4</v>
      </c>
      <c r="AJ691" s="87"/>
      <c r="AK691" s="87"/>
      <c r="AL691" s="87"/>
      <c r="AM691" s="87"/>
      <c r="AN691" s="87">
        <v>24</v>
      </c>
      <c r="AO691" s="87"/>
      <c r="AP691" s="87"/>
      <c r="AQ691" s="87">
        <v>23</v>
      </c>
      <c r="AR691" s="87"/>
      <c r="AS691" s="87"/>
      <c r="AT691" s="87"/>
      <c r="AU691" s="87"/>
      <c r="AV691" s="87"/>
      <c r="AW691" s="88" t="str">
        <f>HYPERLINK("http://www.openstreetmap.org/?mlat=33.6656&amp;mlon=44.3936&amp;zoom=12#map=12/33.6656/44.3936","Maplink1")</f>
        <v>Maplink1</v>
      </c>
      <c r="AX691" s="88" t="str">
        <f>HYPERLINK("https://www.google.iq/maps/search/+33.6656,44.3936/@33.6656,44.3936,14z?hl=en","Maplink2")</f>
        <v>Maplink2</v>
      </c>
      <c r="AY691" s="88" t="str">
        <f>HYPERLINK("http://www.bing.com/maps/?lvl=14&amp;sty=h&amp;cp=33.6656~44.3936&amp;sp=point.33.6656_44.3936","Maplink3")</f>
        <v>Maplink3</v>
      </c>
      <c r="AZ691" s="76"/>
    </row>
    <row r="692" spans="1:52" x14ac:dyDescent="0.25">
      <c r="A692" s="86">
        <v>25420</v>
      </c>
      <c r="B692" s="87" t="s">
        <v>14</v>
      </c>
      <c r="C692" s="87" t="s">
        <v>1370</v>
      </c>
      <c r="D692" s="87" t="s">
        <v>1395</v>
      </c>
      <c r="E692" s="87" t="s">
        <v>518</v>
      </c>
      <c r="F692" s="87">
        <v>33.663912703000001</v>
      </c>
      <c r="G692" s="87">
        <v>44.375623264799998</v>
      </c>
      <c r="H692" s="86">
        <v>42</v>
      </c>
      <c r="I692" s="86">
        <v>252</v>
      </c>
      <c r="J692" s="87">
        <v>37</v>
      </c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>
        <v>5</v>
      </c>
      <c r="Y692" s="87"/>
      <c r="Z692" s="87"/>
      <c r="AA692" s="87"/>
      <c r="AB692" s="87"/>
      <c r="AC692" s="87">
        <v>9</v>
      </c>
      <c r="AD692" s="87"/>
      <c r="AE692" s="87">
        <v>6</v>
      </c>
      <c r="AF692" s="87"/>
      <c r="AG692" s="87"/>
      <c r="AH692" s="87">
        <v>20</v>
      </c>
      <c r="AI692" s="87">
        <v>4</v>
      </c>
      <c r="AJ692" s="87"/>
      <c r="AK692" s="87"/>
      <c r="AL692" s="87">
        <v>3</v>
      </c>
      <c r="AM692" s="87"/>
      <c r="AN692" s="87"/>
      <c r="AO692" s="87"/>
      <c r="AP692" s="87">
        <v>18</v>
      </c>
      <c r="AQ692" s="87">
        <v>24</v>
      </c>
      <c r="AR692" s="87"/>
      <c r="AS692" s="87"/>
      <c r="AT692" s="87"/>
      <c r="AU692" s="87"/>
      <c r="AV692" s="87"/>
      <c r="AW692" s="88" t="str">
        <f>HYPERLINK("http://www.openstreetmap.org/?mlat=33.6639&amp;mlon=44.3756&amp;zoom=12#map=12/33.6639/44.3756","Maplink1")</f>
        <v>Maplink1</v>
      </c>
      <c r="AX692" s="88" t="str">
        <f>HYPERLINK("https://www.google.iq/maps/search/+33.6639,44.3756/@33.6639,44.3756,14z?hl=en","Maplink2")</f>
        <v>Maplink2</v>
      </c>
      <c r="AY692" s="88" t="str">
        <f>HYPERLINK("http://www.bing.com/maps/?lvl=14&amp;sty=h&amp;cp=33.6639~44.3756&amp;sp=point.33.6639_44.3756","Maplink3")</f>
        <v>Maplink3</v>
      </c>
      <c r="AZ692" s="76"/>
    </row>
    <row r="693" spans="1:52" x14ac:dyDescent="0.25">
      <c r="A693" s="86">
        <v>25422</v>
      </c>
      <c r="B693" s="87" t="s">
        <v>14</v>
      </c>
      <c r="C693" s="87" t="s">
        <v>1370</v>
      </c>
      <c r="D693" s="87" t="s">
        <v>1396</v>
      </c>
      <c r="E693" s="87" t="s">
        <v>1397</v>
      </c>
      <c r="F693" s="87">
        <v>33.663900045200002</v>
      </c>
      <c r="G693" s="87">
        <v>44.368200549100003</v>
      </c>
      <c r="H693" s="86">
        <v>41</v>
      </c>
      <c r="I693" s="86">
        <v>246</v>
      </c>
      <c r="J693" s="87">
        <v>26</v>
      </c>
      <c r="K693" s="87"/>
      <c r="L693" s="87"/>
      <c r="M693" s="87"/>
      <c r="N693" s="87"/>
      <c r="O693" s="87">
        <v>5</v>
      </c>
      <c r="P693" s="87"/>
      <c r="Q693" s="87"/>
      <c r="R693" s="87"/>
      <c r="S693" s="87"/>
      <c r="T693" s="87"/>
      <c r="U693" s="87"/>
      <c r="V693" s="87"/>
      <c r="W693" s="87"/>
      <c r="X693" s="87">
        <v>10</v>
      </c>
      <c r="Y693" s="87"/>
      <c r="Z693" s="87"/>
      <c r="AA693" s="87"/>
      <c r="AB693" s="87"/>
      <c r="AC693" s="87">
        <v>8</v>
      </c>
      <c r="AD693" s="87"/>
      <c r="AE693" s="87"/>
      <c r="AF693" s="87"/>
      <c r="AG693" s="87"/>
      <c r="AH693" s="87">
        <v>18</v>
      </c>
      <c r="AI693" s="87">
        <v>15</v>
      </c>
      <c r="AJ693" s="87"/>
      <c r="AK693" s="87"/>
      <c r="AL693" s="87"/>
      <c r="AM693" s="87"/>
      <c r="AN693" s="87">
        <v>10</v>
      </c>
      <c r="AO693" s="87">
        <v>26</v>
      </c>
      <c r="AP693" s="87"/>
      <c r="AQ693" s="87">
        <v>5</v>
      </c>
      <c r="AR693" s="87"/>
      <c r="AS693" s="87"/>
      <c r="AT693" s="87"/>
      <c r="AU693" s="87"/>
      <c r="AV693" s="87"/>
      <c r="AW693" s="88" t="str">
        <f>HYPERLINK("http://www.openstreetmap.org/?mlat=33.6639&amp;mlon=44.3682&amp;zoom=12#map=12/33.6639/44.3682","Maplink1")</f>
        <v>Maplink1</v>
      </c>
      <c r="AX693" s="88" t="str">
        <f>HYPERLINK("https://www.google.iq/maps/search/+33.6639,44.3682/@33.6639,44.3682,14z?hl=en","Maplink2")</f>
        <v>Maplink2</v>
      </c>
      <c r="AY693" s="88" t="str">
        <f>HYPERLINK("http://www.bing.com/maps/?lvl=14&amp;sty=h&amp;cp=33.6639~44.3682&amp;sp=point.33.6639_44.3682","Maplink3")</f>
        <v>Maplink3</v>
      </c>
      <c r="AZ693" s="76"/>
    </row>
    <row r="694" spans="1:52" x14ac:dyDescent="0.25">
      <c r="A694" s="86">
        <v>25421</v>
      </c>
      <c r="B694" s="87" t="s">
        <v>14</v>
      </c>
      <c r="C694" s="87" t="s">
        <v>1370</v>
      </c>
      <c r="D694" s="87" t="s">
        <v>1398</v>
      </c>
      <c r="E694" s="87" t="s">
        <v>1399</v>
      </c>
      <c r="F694" s="87">
        <v>33.668320491899998</v>
      </c>
      <c r="G694" s="87">
        <v>44.3844468781</v>
      </c>
      <c r="H694" s="86">
        <v>54</v>
      </c>
      <c r="I694" s="86">
        <v>324</v>
      </c>
      <c r="J694" s="87">
        <v>34</v>
      </c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>
        <v>20</v>
      </c>
      <c r="Y694" s="87"/>
      <c r="Z694" s="87"/>
      <c r="AA694" s="87"/>
      <c r="AB694" s="87"/>
      <c r="AC694" s="87">
        <v>27</v>
      </c>
      <c r="AD694" s="87"/>
      <c r="AE694" s="87"/>
      <c r="AF694" s="87"/>
      <c r="AG694" s="87"/>
      <c r="AH694" s="87">
        <v>24</v>
      </c>
      <c r="AI694" s="87">
        <v>3</v>
      </c>
      <c r="AJ694" s="87"/>
      <c r="AK694" s="87"/>
      <c r="AL694" s="87"/>
      <c r="AM694" s="87"/>
      <c r="AN694" s="87"/>
      <c r="AO694" s="87"/>
      <c r="AP694" s="87">
        <v>20</v>
      </c>
      <c r="AQ694" s="87">
        <v>34</v>
      </c>
      <c r="AR694" s="87"/>
      <c r="AS694" s="87"/>
      <c r="AT694" s="87"/>
      <c r="AU694" s="87"/>
      <c r="AV694" s="87"/>
      <c r="AW694" s="88" t="str">
        <f>HYPERLINK("http://www.openstreetmap.org/?mlat=33.6683&amp;mlon=44.3844&amp;zoom=12#map=12/33.6683/44.3844","Maplink1")</f>
        <v>Maplink1</v>
      </c>
      <c r="AX694" s="88" t="str">
        <f>HYPERLINK("https://www.google.iq/maps/search/+33.6683,44.3844/@33.6683,44.3844,14z?hl=en","Maplink2")</f>
        <v>Maplink2</v>
      </c>
      <c r="AY694" s="88" t="str">
        <f>HYPERLINK("http://www.bing.com/maps/?lvl=14&amp;sty=h&amp;cp=33.6683~44.3844&amp;sp=point.33.6683_44.3844","Maplink3")</f>
        <v>Maplink3</v>
      </c>
      <c r="AZ694" s="76"/>
    </row>
    <row r="695" spans="1:52" x14ac:dyDescent="0.25">
      <c r="A695" s="86">
        <v>25428</v>
      </c>
      <c r="B695" s="87" t="s">
        <v>14</v>
      </c>
      <c r="C695" s="87" t="s">
        <v>1370</v>
      </c>
      <c r="D695" s="87" t="s">
        <v>1400</v>
      </c>
      <c r="E695" s="87" t="s">
        <v>1401</v>
      </c>
      <c r="F695" s="87">
        <v>33.725549341300002</v>
      </c>
      <c r="G695" s="87">
        <v>44.393564345400002</v>
      </c>
      <c r="H695" s="86">
        <v>14</v>
      </c>
      <c r="I695" s="86">
        <v>84</v>
      </c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>
        <v>14</v>
      </c>
      <c r="Y695" s="87"/>
      <c r="Z695" s="87"/>
      <c r="AA695" s="87"/>
      <c r="AB695" s="87"/>
      <c r="AC695" s="87">
        <v>6</v>
      </c>
      <c r="AD695" s="87"/>
      <c r="AE695" s="87"/>
      <c r="AF695" s="87"/>
      <c r="AG695" s="87"/>
      <c r="AH695" s="87">
        <v>8</v>
      </c>
      <c r="AI695" s="87"/>
      <c r="AJ695" s="87"/>
      <c r="AK695" s="87"/>
      <c r="AL695" s="87"/>
      <c r="AM695" s="87"/>
      <c r="AN695" s="87">
        <v>4</v>
      </c>
      <c r="AO695" s="87"/>
      <c r="AP695" s="87">
        <v>5</v>
      </c>
      <c r="AQ695" s="87">
        <v>5</v>
      </c>
      <c r="AR695" s="87"/>
      <c r="AS695" s="87"/>
      <c r="AT695" s="87"/>
      <c r="AU695" s="87"/>
      <c r="AV695" s="87"/>
      <c r="AW695" s="88" t="str">
        <f>HYPERLINK("http://www.openstreetmap.org/?mlat=33.7255&amp;mlon=44.3936&amp;zoom=12#map=12/33.7255/44.3936","Maplink1")</f>
        <v>Maplink1</v>
      </c>
      <c r="AX695" s="88" t="str">
        <f>HYPERLINK("https://www.google.iq/maps/search/+33.7255,44.3936/@33.7255,44.3936,14z?hl=en","Maplink2")</f>
        <v>Maplink2</v>
      </c>
      <c r="AY695" s="88" t="str">
        <f>HYPERLINK("http://www.bing.com/maps/?lvl=14&amp;sty=h&amp;cp=33.7255~44.3936&amp;sp=point.33.7255_44.3936","Maplink3")</f>
        <v>Maplink3</v>
      </c>
      <c r="AZ695" s="76"/>
    </row>
    <row r="696" spans="1:52" x14ac:dyDescent="0.25">
      <c r="A696" s="86">
        <v>25425</v>
      </c>
      <c r="B696" s="87" t="s">
        <v>14</v>
      </c>
      <c r="C696" s="87" t="s">
        <v>1370</v>
      </c>
      <c r="D696" s="87" t="s">
        <v>1402</v>
      </c>
      <c r="E696" s="87" t="s">
        <v>1403</v>
      </c>
      <c r="F696" s="87">
        <v>33.586585085800003</v>
      </c>
      <c r="G696" s="87">
        <v>44.237565699000001</v>
      </c>
      <c r="H696" s="86">
        <v>25</v>
      </c>
      <c r="I696" s="86">
        <v>150</v>
      </c>
      <c r="J696" s="87">
        <v>16</v>
      </c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>
        <v>9</v>
      </c>
      <c r="Y696" s="87"/>
      <c r="Z696" s="87"/>
      <c r="AA696" s="87"/>
      <c r="AB696" s="87"/>
      <c r="AC696" s="87">
        <v>25</v>
      </c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>
        <v>9</v>
      </c>
      <c r="AP696" s="87">
        <v>12</v>
      </c>
      <c r="AQ696" s="87">
        <v>4</v>
      </c>
      <c r="AR696" s="87"/>
      <c r="AS696" s="87"/>
      <c r="AT696" s="87"/>
      <c r="AU696" s="87"/>
      <c r="AV696" s="87"/>
      <c r="AW696" s="88" t="str">
        <f>HYPERLINK("http://www.openstreetmap.org/?mlat=33.5866&amp;mlon=44.2376&amp;zoom=12#map=12/33.5866/44.2376","Maplink1")</f>
        <v>Maplink1</v>
      </c>
      <c r="AX696" s="88" t="str">
        <f>HYPERLINK("https://www.google.iq/maps/search/+33.5866,44.2376/@33.5866,44.2376,14z?hl=en","Maplink2")</f>
        <v>Maplink2</v>
      </c>
      <c r="AY696" s="88" t="str">
        <f>HYPERLINK("http://www.bing.com/maps/?lvl=14&amp;sty=h&amp;cp=33.5866~44.2376&amp;sp=point.33.5866_44.2376","Maplink3")</f>
        <v>Maplink3</v>
      </c>
      <c r="AZ696" s="76"/>
    </row>
    <row r="697" spans="1:52" x14ac:dyDescent="0.25">
      <c r="A697" s="86">
        <v>25426</v>
      </c>
      <c r="B697" s="87" t="s">
        <v>14</v>
      </c>
      <c r="C697" s="87" t="s">
        <v>1370</v>
      </c>
      <c r="D697" s="87" t="s">
        <v>1404</v>
      </c>
      <c r="E697" s="87" t="s">
        <v>1405</v>
      </c>
      <c r="F697" s="87">
        <v>33.590311974499997</v>
      </c>
      <c r="G697" s="87">
        <v>44.238834347500003</v>
      </c>
      <c r="H697" s="86">
        <v>23</v>
      </c>
      <c r="I697" s="86">
        <v>138</v>
      </c>
      <c r="J697" s="87"/>
      <c r="K697" s="87"/>
      <c r="L697" s="87"/>
      <c r="M697" s="87"/>
      <c r="N697" s="87"/>
      <c r="O697" s="87">
        <v>13</v>
      </c>
      <c r="P697" s="87"/>
      <c r="Q697" s="87"/>
      <c r="R697" s="87"/>
      <c r="S697" s="87"/>
      <c r="T697" s="87"/>
      <c r="U697" s="87"/>
      <c r="V697" s="87"/>
      <c r="W697" s="87"/>
      <c r="X697" s="87">
        <v>10</v>
      </c>
      <c r="Y697" s="87"/>
      <c r="Z697" s="87"/>
      <c r="AA697" s="87"/>
      <c r="AB697" s="87"/>
      <c r="AC697" s="87">
        <v>11</v>
      </c>
      <c r="AD697" s="87"/>
      <c r="AE697" s="87"/>
      <c r="AF697" s="87"/>
      <c r="AG697" s="87"/>
      <c r="AH697" s="87">
        <v>7</v>
      </c>
      <c r="AI697" s="87"/>
      <c r="AJ697" s="87"/>
      <c r="AK697" s="87"/>
      <c r="AL697" s="87">
        <v>5</v>
      </c>
      <c r="AM697" s="87"/>
      <c r="AN697" s="87"/>
      <c r="AO697" s="87"/>
      <c r="AP697" s="87">
        <v>13</v>
      </c>
      <c r="AQ697" s="87">
        <v>10</v>
      </c>
      <c r="AR697" s="87"/>
      <c r="AS697" s="87"/>
      <c r="AT697" s="87"/>
      <c r="AU697" s="87"/>
      <c r="AV697" s="87"/>
      <c r="AW697" s="88" t="str">
        <f>HYPERLINK("http://www.openstreetmap.org/?mlat=33.5903&amp;mlon=44.2388&amp;zoom=12#map=12/33.5903/44.2388","Maplink1")</f>
        <v>Maplink1</v>
      </c>
      <c r="AX697" s="88" t="str">
        <f>HYPERLINK("https://www.google.iq/maps/search/+33.5903,44.2388/@33.5903,44.2388,14z?hl=en","Maplink2")</f>
        <v>Maplink2</v>
      </c>
      <c r="AY697" s="88" t="str">
        <f>HYPERLINK("http://www.bing.com/maps/?lvl=14&amp;sty=h&amp;cp=33.5903~44.2388&amp;sp=point.33.5903_44.2388","Maplink3")</f>
        <v>Maplink3</v>
      </c>
      <c r="AZ697" s="76"/>
    </row>
    <row r="698" spans="1:52" x14ac:dyDescent="0.25">
      <c r="A698" s="86">
        <v>24736</v>
      </c>
      <c r="B698" s="87" t="s">
        <v>14</v>
      </c>
      <c r="C698" s="87" t="s">
        <v>1406</v>
      </c>
      <c r="D698" s="87" t="s">
        <v>1407</v>
      </c>
      <c r="E698" s="87" t="s">
        <v>1408</v>
      </c>
      <c r="F698" s="87">
        <v>33.373228137799998</v>
      </c>
      <c r="G698" s="87">
        <v>44.445511807400003</v>
      </c>
      <c r="H698" s="86">
        <v>4</v>
      </c>
      <c r="I698" s="86">
        <v>24</v>
      </c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>
        <v>4</v>
      </c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>
        <v>4</v>
      </c>
      <c r="AI698" s="87"/>
      <c r="AJ698" s="87"/>
      <c r="AK698" s="87"/>
      <c r="AL698" s="87"/>
      <c r="AM698" s="87"/>
      <c r="AN698" s="87"/>
      <c r="AO698" s="87"/>
      <c r="AP698" s="87">
        <v>4</v>
      </c>
      <c r="AQ698" s="87"/>
      <c r="AR698" s="87"/>
      <c r="AS698" s="87"/>
      <c r="AT698" s="87"/>
      <c r="AU698" s="87"/>
      <c r="AV698" s="87"/>
      <c r="AW698" s="88" t="str">
        <f>HYPERLINK("http://www.openstreetmap.org/?mlat=33.3732&amp;mlon=44.4455&amp;zoom=12#map=12/33.3732/44.4455","Maplink1")</f>
        <v>Maplink1</v>
      </c>
      <c r="AX698" s="88" t="str">
        <f>HYPERLINK("https://www.google.iq/maps/search/+33.3732,44.4455/@33.3732,44.4455,14z?hl=en","Maplink2")</f>
        <v>Maplink2</v>
      </c>
      <c r="AY698" s="88" t="str">
        <f>HYPERLINK("http://www.bing.com/maps/?lvl=14&amp;sty=h&amp;cp=33.3732~44.4455&amp;sp=point.33.3732_44.4455","Maplink3")</f>
        <v>Maplink3</v>
      </c>
      <c r="AZ698" s="76"/>
    </row>
    <row r="699" spans="1:52" x14ac:dyDescent="0.25">
      <c r="A699" s="86">
        <v>24503</v>
      </c>
      <c r="B699" s="87" t="s">
        <v>14</v>
      </c>
      <c r="C699" s="87" t="s">
        <v>1409</v>
      </c>
      <c r="D699" s="87" t="s">
        <v>1410</v>
      </c>
      <c r="E699" s="87" t="s">
        <v>1411</v>
      </c>
      <c r="F699" s="87">
        <v>33.356859072799999</v>
      </c>
      <c r="G699" s="87">
        <v>44.437941345200002</v>
      </c>
      <c r="H699" s="86">
        <v>3</v>
      </c>
      <c r="I699" s="86">
        <v>18</v>
      </c>
      <c r="J699" s="87"/>
      <c r="K699" s="87"/>
      <c r="L699" s="87"/>
      <c r="M699" s="87"/>
      <c r="N699" s="87"/>
      <c r="O699" s="87">
        <v>1</v>
      </c>
      <c r="P699" s="87"/>
      <c r="Q699" s="87"/>
      <c r="R699" s="87"/>
      <c r="S699" s="87"/>
      <c r="T699" s="87"/>
      <c r="U699" s="87"/>
      <c r="V699" s="87">
        <v>2</v>
      </c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>
        <v>3</v>
      </c>
      <c r="AI699" s="87"/>
      <c r="AJ699" s="87"/>
      <c r="AK699" s="87"/>
      <c r="AL699" s="87"/>
      <c r="AM699" s="87"/>
      <c r="AN699" s="87"/>
      <c r="AO699" s="87"/>
      <c r="AP699" s="87">
        <v>1</v>
      </c>
      <c r="AQ699" s="87"/>
      <c r="AR699" s="87"/>
      <c r="AS699" s="87"/>
      <c r="AT699" s="87">
        <v>2</v>
      </c>
      <c r="AU699" s="87"/>
      <c r="AV699" s="87"/>
      <c r="AW699" s="88" t="str">
        <f>HYPERLINK("http://www.openstreetmap.org/?mlat=33.3569&amp;mlon=44.4379&amp;zoom=12#map=12/33.3569/44.4379","Maplink1")</f>
        <v>Maplink1</v>
      </c>
      <c r="AX699" s="88" t="str">
        <f>HYPERLINK("https://www.google.iq/maps/search/+33.3569,44.4379/@33.3569,44.4379,14z?hl=en","Maplink2")</f>
        <v>Maplink2</v>
      </c>
      <c r="AY699" s="88" t="str">
        <f>HYPERLINK("http://www.bing.com/maps/?lvl=14&amp;sty=h&amp;cp=33.3569~44.4379&amp;sp=point.33.3569_44.4379","Maplink3")</f>
        <v>Maplink3</v>
      </c>
      <c r="AZ699" s="76"/>
    </row>
    <row r="700" spans="1:52" x14ac:dyDescent="0.25">
      <c r="A700" s="86">
        <v>24622</v>
      </c>
      <c r="B700" s="87" t="s">
        <v>14</v>
      </c>
      <c r="C700" s="87" t="s">
        <v>1409</v>
      </c>
      <c r="D700" s="87" t="s">
        <v>1412</v>
      </c>
      <c r="E700" s="87" t="s">
        <v>1413</v>
      </c>
      <c r="F700" s="87">
        <v>33.373948875499998</v>
      </c>
      <c r="G700" s="87">
        <v>44.418244214300003</v>
      </c>
      <c r="H700" s="86">
        <v>4</v>
      </c>
      <c r="I700" s="86">
        <v>24</v>
      </c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>
        <v>4</v>
      </c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>
        <v>4</v>
      </c>
      <c r="AI700" s="87"/>
      <c r="AJ700" s="87"/>
      <c r="AK700" s="87"/>
      <c r="AL700" s="87"/>
      <c r="AM700" s="87"/>
      <c r="AN700" s="87"/>
      <c r="AO700" s="87"/>
      <c r="AP700" s="87">
        <v>4</v>
      </c>
      <c r="AQ700" s="87"/>
      <c r="AR700" s="87"/>
      <c r="AS700" s="87"/>
      <c r="AT700" s="87"/>
      <c r="AU700" s="87"/>
      <c r="AV700" s="87"/>
      <c r="AW700" s="88" t="str">
        <f>HYPERLINK("http://www.openstreetmap.org/?mlat=33.3739&amp;mlon=44.4182&amp;zoom=12#map=12/33.3739/44.4182","Maplink1")</f>
        <v>Maplink1</v>
      </c>
      <c r="AX700" s="88" t="str">
        <f>HYPERLINK("https://www.google.iq/maps/search/+33.3739,44.4182/@33.3739,44.4182,14z?hl=en","Maplink2")</f>
        <v>Maplink2</v>
      </c>
      <c r="AY700" s="88" t="str">
        <f>HYPERLINK("http://www.bing.com/maps/?lvl=14&amp;sty=h&amp;cp=33.3739~44.4182&amp;sp=point.33.3739_44.4182","Maplink3")</f>
        <v>Maplink3</v>
      </c>
      <c r="AZ700" s="76"/>
    </row>
    <row r="701" spans="1:52" x14ac:dyDescent="0.25">
      <c r="A701" s="86">
        <v>24656</v>
      </c>
      <c r="B701" s="87" t="s">
        <v>14</v>
      </c>
      <c r="C701" s="87" t="s">
        <v>1409</v>
      </c>
      <c r="D701" s="87" t="s">
        <v>1414</v>
      </c>
      <c r="E701" s="87" t="s">
        <v>1415</v>
      </c>
      <c r="F701" s="87">
        <v>33.3650258849</v>
      </c>
      <c r="G701" s="87">
        <v>44.432321194300002</v>
      </c>
      <c r="H701" s="86">
        <v>4</v>
      </c>
      <c r="I701" s="86">
        <v>24</v>
      </c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>
        <v>4</v>
      </c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>
        <v>4</v>
      </c>
      <c r="AI701" s="87"/>
      <c r="AJ701" s="87"/>
      <c r="AK701" s="87"/>
      <c r="AL701" s="87"/>
      <c r="AM701" s="87"/>
      <c r="AN701" s="87"/>
      <c r="AO701" s="87">
        <v>4</v>
      </c>
      <c r="AP701" s="87"/>
      <c r="AQ701" s="87"/>
      <c r="AR701" s="87"/>
      <c r="AS701" s="87"/>
      <c r="AT701" s="87"/>
      <c r="AU701" s="87"/>
      <c r="AV701" s="87"/>
      <c r="AW701" s="88" t="str">
        <f>HYPERLINK("http://www.openstreetmap.org/?mlat=33.365&amp;mlon=44.4323&amp;zoom=12#map=12/33.365/44.4323","Maplink1")</f>
        <v>Maplink1</v>
      </c>
      <c r="AX701" s="88" t="str">
        <f>HYPERLINK("https://www.google.iq/maps/search/+33.365,44.4323/@33.365,44.4323,14z?hl=en","Maplink2")</f>
        <v>Maplink2</v>
      </c>
      <c r="AY701" s="88" t="str">
        <f>HYPERLINK("http://www.bing.com/maps/?lvl=14&amp;sty=h&amp;cp=33.365~44.4323&amp;sp=point.33.365_44.4323","Maplink3")</f>
        <v>Maplink3</v>
      </c>
      <c r="AZ701" s="76"/>
    </row>
    <row r="702" spans="1:52" x14ac:dyDescent="0.25">
      <c r="A702" s="86">
        <v>24655</v>
      </c>
      <c r="B702" s="87" t="s">
        <v>14</v>
      </c>
      <c r="C702" s="87" t="s">
        <v>1409</v>
      </c>
      <c r="D702" s="87" t="s">
        <v>1416</v>
      </c>
      <c r="E702" s="87" t="s">
        <v>1417</v>
      </c>
      <c r="F702" s="87">
        <v>33.360768931400003</v>
      </c>
      <c r="G702" s="87">
        <v>44.446029987300001</v>
      </c>
      <c r="H702" s="86">
        <v>3</v>
      </c>
      <c r="I702" s="86">
        <v>18</v>
      </c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>
        <v>3</v>
      </c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>
        <v>3</v>
      </c>
      <c r="AI702" s="87"/>
      <c r="AJ702" s="87"/>
      <c r="AK702" s="87"/>
      <c r="AL702" s="87"/>
      <c r="AM702" s="87"/>
      <c r="AN702" s="87"/>
      <c r="AO702" s="87"/>
      <c r="AP702" s="87">
        <v>3</v>
      </c>
      <c r="AQ702" s="87"/>
      <c r="AR702" s="87"/>
      <c r="AS702" s="87"/>
      <c r="AT702" s="87"/>
      <c r="AU702" s="87"/>
      <c r="AV702" s="87"/>
      <c r="AW702" s="88" t="str">
        <f>HYPERLINK("http://www.openstreetmap.org/?mlat=33.3608&amp;mlon=44.446&amp;zoom=12#map=12/33.3608/44.446","Maplink1")</f>
        <v>Maplink1</v>
      </c>
      <c r="AX702" s="88" t="str">
        <f>HYPERLINK("https://www.google.iq/maps/search/+33.3608,44.446/@33.3608,44.446,14z?hl=en","Maplink2")</f>
        <v>Maplink2</v>
      </c>
      <c r="AY702" s="88" t="str">
        <f>HYPERLINK("http://www.bing.com/maps/?lvl=14&amp;sty=h&amp;cp=33.3608~44.446&amp;sp=point.33.3608_44.446","Maplink3")</f>
        <v>Maplink3</v>
      </c>
      <c r="AZ702" s="76"/>
    </row>
    <row r="703" spans="1:52" x14ac:dyDescent="0.25">
      <c r="A703" s="86">
        <v>22883</v>
      </c>
      <c r="B703" s="87" t="s">
        <v>14</v>
      </c>
      <c r="C703" s="87" t="s">
        <v>1409</v>
      </c>
      <c r="D703" s="87" t="s">
        <v>1418</v>
      </c>
      <c r="E703" s="87" t="s">
        <v>1419</v>
      </c>
      <c r="F703" s="87">
        <v>33.375521804400002</v>
      </c>
      <c r="G703" s="87">
        <v>44.4249419629</v>
      </c>
      <c r="H703" s="86">
        <v>2</v>
      </c>
      <c r="I703" s="86">
        <v>12</v>
      </c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>
        <v>2</v>
      </c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>
        <v>2</v>
      </c>
      <c r="AI703" s="87"/>
      <c r="AJ703" s="87"/>
      <c r="AK703" s="87"/>
      <c r="AL703" s="87"/>
      <c r="AM703" s="87"/>
      <c r="AN703" s="87"/>
      <c r="AO703" s="87"/>
      <c r="AP703" s="87">
        <v>2</v>
      </c>
      <c r="AQ703" s="87"/>
      <c r="AR703" s="87"/>
      <c r="AS703" s="87"/>
      <c r="AT703" s="87"/>
      <c r="AU703" s="87"/>
      <c r="AV703" s="87"/>
      <c r="AW703" s="88" t="str">
        <f>HYPERLINK("http://www.openstreetmap.org/?mlat=33.3755&amp;mlon=44.4249&amp;zoom=12#map=12/33.3755/44.4249","Maplink1")</f>
        <v>Maplink1</v>
      </c>
      <c r="AX703" s="88" t="str">
        <f>HYPERLINK("https://www.google.iq/maps/search/+33.3755,44.4249/@33.3755,44.4249,14z?hl=en","Maplink2")</f>
        <v>Maplink2</v>
      </c>
      <c r="AY703" s="88" t="str">
        <f>HYPERLINK("http://www.bing.com/maps/?lvl=14&amp;sty=h&amp;cp=33.3755~44.4249&amp;sp=point.33.3755_44.4249","Maplink3")</f>
        <v>Maplink3</v>
      </c>
      <c r="AZ703" s="76"/>
    </row>
    <row r="704" spans="1:52" x14ac:dyDescent="0.25">
      <c r="A704" s="86">
        <v>24659</v>
      </c>
      <c r="B704" s="87" t="s">
        <v>14</v>
      </c>
      <c r="C704" s="87" t="s">
        <v>1409</v>
      </c>
      <c r="D704" s="87" t="s">
        <v>1420</v>
      </c>
      <c r="E704" s="87" t="s">
        <v>1421</v>
      </c>
      <c r="F704" s="87">
        <v>33.369254301200002</v>
      </c>
      <c r="G704" s="87">
        <v>44.441657233000001</v>
      </c>
      <c r="H704" s="86">
        <v>3</v>
      </c>
      <c r="I704" s="86">
        <v>18</v>
      </c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>
        <v>3</v>
      </c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>
        <v>3</v>
      </c>
      <c r="AI704" s="87"/>
      <c r="AJ704" s="87"/>
      <c r="AK704" s="87"/>
      <c r="AL704" s="87"/>
      <c r="AM704" s="87"/>
      <c r="AN704" s="87"/>
      <c r="AO704" s="87">
        <v>3</v>
      </c>
      <c r="AP704" s="87"/>
      <c r="AQ704" s="87"/>
      <c r="AR704" s="87"/>
      <c r="AS704" s="87"/>
      <c r="AT704" s="87"/>
      <c r="AU704" s="87"/>
      <c r="AV704" s="87"/>
      <c r="AW704" s="88" t="str">
        <f>HYPERLINK("http://www.openstreetmap.org/?mlat=33.3693&amp;mlon=44.4417&amp;zoom=12#map=12/33.3693/44.4417","Maplink1")</f>
        <v>Maplink1</v>
      </c>
      <c r="AX704" s="88" t="str">
        <f>HYPERLINK("https://www.google.iq/maps/search/+33.3693,44.4417/@33.3693,44.4417,14z?hl=en","Maplink2")</f>
        <v>Maplink2</v>
      </c>
      <c r="AY704" s="88" t="str">
        <f>HYPERLINK("http://www.bing.com/maps/?lvl=14&amp;sty=h&amp;cp=33.3693~44.4417&amp;sp=point.33.3693_44.4417","Maplink3")</f>
        <v>Maplink3</v>
      </c>
      <c r="AZ704" s="76"/>
    </row>
    <row r="705" spans="1:52" x14ac:dyDescent="0.25">
      <c r="A705" s="86">
        <v>22884</v>
      </c>
      <c r="B705" s="87" t="s">
        <v>14</v>
      </c>
      <c r="C705" s="87" t="s">
        <v>1409</v>
      </c>
      <c r="D705" s="87" t="s">
        <v>1422</v>
      </c>
      <c r="E705" s="87" t="s">
        <v>1423</v>
      </c>
      <c r="F705" s="87">
        <v>33.377998197300002</v>
      </c>
      <c r="G705" s="87">
        <v>44.421747341600003</v>
      </c>
      <c r="H705" s="86">
        <v>4</v>
      </c>
      <c r="I705" s="86">
        <v>24</v>
      </c>
      <c r="J705" s="87"/>
      <c r="K705" s="87"/>
      <c r="L705" s="87"/>
      <c r="M705" s="87"/>
      <c r="N705" s="87"/>
      <c r="O705" s="87">
        <v>1</v>
      </c>
      <c r="P705" s="87"/>
      <c r="Q705" s="87"/>
      <c r="R705" s="87"/>
      <c r="S705" s="87"/>
      <c r="T705" s="87"/>
      <c r="U705" s="87"/>
      <c r="V705" s="87">
        <v>3</v>
      </c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>
        <v>4</v>
      </c>
      <c r="AI705" s="87"/>
      <c r="AJ705" s="87"/>
      <c r="AK705" s="87"/>
      <c r="AL705" s="87"/>
      <c r="AM705" s="87"/>
      <c r="AN705" s="87"/>
      <c r="AO705" s="87">
        <v>3</v>
      </c>
      <c r="AP705" s="87">
        <v>1</v>
      </c>
      <c r="AQ705" s="87"/>
      <c r="AR705" s="87"/>
      <c r="AS705" s="87"/>
      <c r="AT705" s="87"/>
      <c r="AU705" s="87"/>
      <c r="AV705" s="87"/>
      <c r="AW705" s="88" t="str">
        <f>HYPERLINK("http://www.openstreetmap.org/?mlat=33.378&amp;mlon=44.4217&amp;zoom=12#map=12/33.378/44.4217","Maplink1")</f>
        <v>Maplink1</v>
      </c>
      <c r="AX705" s="88" t="str">
        <f>HYPERLINK("https://www.google.iq/maps/search/+33.378,44.4217/@33.378,44.4217,14z?hl=en","Maplink2")</f>
        <v>Maplink2</v>
      </c>
      <c r="AY705" s="88" t="str">
        <f>HYPERLINK("http://www.bing.com/maps/?lvl=14&amp;sty=h&amp;cp=33.378~44.4217&amp;sp=point.33.378_44.4217","Maplink3")</f>
        <v>Maplink3</v>
      </c>
      <c r="AZ705" s="76"/>
    </row>
    <row r="706" spans="1:52" x14ac:dyDescent="0.25">
      <c r="A706" s="86">
        <v>24658</v>
      </c>
      <c r="B706" s="87" t="s">
        <v>14</v>
      </c>
      <c r="C706" s="87" t="s">
        <v>1409</v>
      </c>
      <c r="D706" s="87" t="s">
        <v>1424</v>
      </c>
      <c r="E706" s="87" t="s">
        <v>1425</v>
      </c>
      <c r="F706" s="87">
        <v>33.378780539200001</v>
      </c>
      <c r="G706" s="87">
        <v>44.460485866799999</v>
      </c>
      <c r="H706" s="86">
        <v>3</v>
      </c>
      <c r="I706" s="86">
        <v>18</v>
      </c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>
        <v>3</v>
      </c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>
        <v>3</v>
      </c>
      <c r="AI706" s="87"/>
      <c r="AJ706" s="87"/>
      <c r="AK706" s="87"/>
      <c r="AL706" s="87"/>
      <c r="AM706" s="87"/>
      <c r="AN706" s="87"/>
      <c r="AO706" s="87"/>
      <c r="AP706" s="87">
        <v>3</v>
      </c>
      <c r="AQ706" s="87"/>
      <c r="AR706" s="87"/>
      <c r="AS706" s="87"/>
      <c r="AT706" s="87"/>
      <c r="AU706" s="87"/>
      <c r="AV706" s="87"/>
      <c r="AW706" s="88" t="str">
        <f>HYPERLINK("http://www.openstreetmap.org/?mlat=33.3788&amp;mlon=44.4605&amp;zoom=12#map=12/33.3788/44.4605","Maplink1")</f>
        <v>Maplink1</v>
      </c>
      <c r="AX706" s="88" t="str">
        <f>HYPERLINK("https://www.google.iq/maps/search/+33.3788,44.4605/@33.3788,44.4605,14z?hl=en","Maplink2")</f>
        <v>Maplink2</v>
      </c>
      <c r="AY706" s="88" t="str">
        <f>HYPERLINK("http://www.bing.com/maps/?lvl=14&amp;sty=h&amp;cp=33.3788~44.4605&amp;sp=point.33.3788_44.4605","Maplink3")</f>
        <v>Maplink3</v>
      </c>
      <c r="AZ706" s="76"/>
    </row>
    <row r="707" spans="1:52" x14ac:dyDescent="0.25">
      <c r="A707" s="86">
        <v>24657</v>
      </c>
      <c r="B707" s="87" t="s">
        <v>14</v>
      </c>
      <c r="C707" s="87" t="s">
        <v>1409</v>
      </c>
      <c r="D707" s="87" t="s">
        <v>1426</v>
      </c>
      <c r="E707" s="87" t="s">
        <v>1427</v>
      </c>
      <c r="F707" s="87">
        <v>33.386633175100002</v>
      </c>
      <c r="G707" s="87">
        <v>44.485409265400001</v>
      </c>
      <c r="H707" s="86">
        <v>3</v>
      </c>
      <c r="I707" s="86">
        <v>18</v>
      </c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>
        <v>3</v>
      </c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>
        <v>3</v>
      </c>
      <c r="AI707" s="87"/>
      <c r="AJ707" s="87"/>
      <c r="AK707" s="87"/>
      <c r="AL707" s="87"/>
      <c r="AM707" s="87"/>
      <c r="AN707" s="87"/>
      <c r="AO707" s="87">
        <v>3</v>
      </c>
      <c r="AP707" s="87"/>
      <c r="AQ707" s="87"/>
      <c r="AR707" s="87"/>
      <c r="AS707" s="87"/>
      <c r="AT707" s="87"/>
      <c r="AU707" s="87"/>
      <c r="AV707" s="87"/>
      <c r="AW707" s="88" t="str">
        <f>HYPERLINK("http://www.openstreetmap.org/?mlat=33.3866&amp;mlon=44.4854&amp;zoom=12#map=12/33.3866/44.4854","Maplink1")</f>
        <v>Maplink1</v>
      </c>
      <c r="AX707" s="88" t="str">
        <f>HYPERLINK("https://www.google.iq/maps/search/+33.3866,44.4854/@33.3866,44.4854,14z?hl=en","Maplink2")</f>
        <v>Maplink2</v>
      </c>
      <c r="AY707" s="88" t="str">
        <f>HYPERLINK("http://www.bing.com/maps/?lvl=14&amp;sty=h&amp;cp=33.3866~44.4854&amp;sp=point.33.3866_44.4854","Maplink3")</f>
        <v>Maplink3</v>
      </c>
      <c r="AZ707" s="76"/>
    </row>
    <row r="708" spans="1:52" x14ac:dyDescent="0.25">
      <c r="A708" s="86">
        <v>24504</v>
      </c>
      <c r="B708" s="87" t="s">
        <v>14</v>
      </c>
      <c r="C708" s="87" t="s">
        <v>1409</v>
      </c>
      <c r="D708" s="87" t="s">
        <v>1428</v>
      </c>
      <c r="E708" s="87" t="s">
        <v>1429</v>
      </c>
      <c r="F708" s="87">
        <v>33.375363367299997</v>
      </c>
      <c r="G708" s="87">
        <v>44.4659114301</v>
      </c>
      <c r="H708" s="86">
        <v>2</v>
      </c>
      <c r="I708" s="86">
        <v>12</v>
      </c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>
        <v>2</v>
      </c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>
        <v>2</v>
      </c>
      <c r="AI708" s="87"/>
      <c r="AJ708" s="87"/>
      <c r="AK708" s="87"/>
      <c r="AL708" s="87"/>
      <c r="AM708" s="87"/>
      <c r="AN708" s="87"/>
      <c r="AO708" s="87"/>
      <c r="AP708" s="87">
        <v>2</v>
      </c>
      <c r="AQ708" s="87"/>
      <c r="AR708" s="87"/>
      <c r="AS708" s="87"/>
      <c r="AT708" s="87"/>
      <c r="AU708" s="87"/>
      <c r="AV708" s="87"/>
      <c r="AW708" s="88" t="str">
        <f>HYPERLINK("http://www.openstreetmap.org/?mlat=33.3754&amp;mlon=44.4659&amp;zoom=12#map=12/33.3754/44.4659","Maplink1")</f>
        <v>Maplink1</v>
      </c>
      <c r="AX708" s="88" t="str">
        <f>HYPERLINK("https://www.google.iq/maps/search/+33.3754,44.4659/@33.3754,44.4659,14z?hl=en","Maplink2")</f>
        <v>Maplink2</v>
      </c>
      <c r="AY708" s="88" t="str">
        <f>HYPERLINK("http://www.bing.com/maps/?lvl=14&amp;sty=h&amp;cp=33.3754~44.4659&amp;sp=point.33.3754_44.4659","Maplink3")</f>
        <v>Maplink3</v>
      </c>
      <c r="AZ708" s="76"/>
    </row>
    <row r="709" spans="1:52" x14ac:dyDescent="0.25">
      <c r="A709" s="86">
        <v>22537</v>
      </c>
      <c r="B709" s="87" t="s">
        <v>14</v>
      </c>
      <c r="C709" s="87" t="s">
        <v>1409</v>
      </c>
      <c r="D709" s="87" t="s">
        <v>1430</v>
      </c>
      <c r="E709" s="87" t="s">
        <v>1431</v>
      </c>
      <c r="F709" s="87">
        <v>33.387768598500003</v>
      </c>
      <c r="G709" s="87">
        <v>44.437634188499999</v>
      </c>
      <c r="H709" s="86">
        <v>4</v>
      </c>
      <c r="I709" s="86">
        <v>24</v>
      </c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>
        <v>4</v>
      </c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>
        <v>4</v>
      </c>
      <c r="AI709" s="87"/>
      <c r="AJ709" s="87"/>
      <c r="AK709" s="87"/>
      <c r="AL709" s="87"/>
      <c r="AM709" s="87"/>
      <c r="AN709" s="87"/>
      <c r="AO709" s="87">
        <v>4</v>
      </c>
      <c r="AP709" s="87"/>
      <c r="AQ709" s="87"/>
      <c r="AR709" s="87"/>
      <c r="AS709" s="87"/>
      <c r="AT709" s="87"/>
      <c r="AU709" s="87"/>
      <c r="AV709" s="87"/>
      <c r="AW709" s="88" t="str">
        <f>HYPERLINK("http://www.openstreetmap.org/?mlat=33.3878&amp;mlon=44.4376&amp;zoom=12#map=12/33.3878/44.4376","Maplink1")</f>
        <v>Maplink1</v>
      </c>
      <c r="AX709" s="88" t="str">
        <f>HYPERLINK("https://www.google.iq/maps/search/+33.3878,44.4376/@33.3878,44.4376,14z?hl=en","Maplink2")</f>
        <v>Maplink2</v>
      </c>
      <c r="AY709" s="88" t="str">
        <f>HYPERLINK("http://www.bing.com/maps/?lvl=14&amp;sty=h&amp;cp=33.3878~44.4376&amp;sp=point.33.3878_44.4376","Maplink3")</f>
        <v>Maplink3</v>
      </c>
      <c r="AZ709" s="76"/>
    </row>
    <row r="710" spans="1:52" x14ac:dyDescent="0.25">
      <c r="A710" s="86">
        <v>24502</v>
      </c>
      <c r="B710" s="87" t="s">
        <v>14</v>
      </c>
      <c r="C710" s="87" t="s">
        <v>1409</v>
      </c>
      <c r="D710" s="87" t="s">
        <v>1432</v>
      </c>
      <c r="E710" s="87" t="s">
        <v>1433</v>
      </c>
      <c r="F710" s="87">
        <v>33.401142005700002</v>
      </c>
      <c r="G710" s="87">
        <v>44.453874973399998</v>
      </c>
      <c r="H710" s="86">
        <v>2</v>
      </c>
      <c r="I710" s="86">
        <v>12</v>
      </c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>
        <v>1</v>
      </c>
      <c r="W710" s="87"/>
      <c r="X710" s="87">
        <v>1</v>
      </c>
      <c r="Y710" s="87"/>
      <c r="Z710" s="87"/>
      <c r="AA710" s="87"/>
      <c r="AB710" s="87"/>
      <c r="AC710" s="87"/>
      <c r="AD710" s="87"/>
      <c r="AE710" s="87"/>
      <c r="AF710" s="87"/>
      <c r="AG710" s="87"/>
      <c r="AH710" s="87">
        <v>2</v>
      </c>
      <c r="AI710" s="87"/>
      <c r="AJ710" s="87"/>
      <c r="AK710" s="87"/>
      <c r="AL710" s="87"/>
      <c r="AM710" s="87"/>
      <c r="AN710" s="87"/>
      <c r="AO710" s="87">
        <v>1</v>
      </c>
      <c r="AP710" s="87"/>
      <c r="AQ710" s="87">
        <v>1</v>
      </c>
      <c r="AR710" s="87"/>
      <c r="AS710" s="87"/>
      <c r="AT710" s="87"/>
      <c r="AU710" s="87"/>
      <c r="AV710" s="87"/>
      <c r="AW710" s="88" t="str">
        <f>HYPERLINK("http://www.openstreetmap.org/?mlat=33.4011&amp;mlon=44.4539&amp;zoom=12#map=12/33.4011/44.4539","Maplink1")</f>
        <v>Maplink1</v>
      </c>
      <c r="AX710" s="88" t="str">
        <f>HYPERLINK("https://www.google.iq/maps/search/+33.4011,44.4539/@33.4011,44.4539,14z?hl=en","Maplink2")</f>
        <v>Maplink2</v>
      </c>
      <c r="AY710" s="88" t="str">
        <f>HYPERLINK("http://www.bing.com/maps/?lvl=14&amp;sty=h&amp;cp=33.4011~44.4539&amp;sp=point.33.4011_44.4539","Maplink3")</f>
        <v>Maplink3</v>
      </c>
      <c r="AZ710" s="76"/>
    </row>
    <row r="711" spans="1:52" x14ac:dyDescent="0.25">
      <c r="A711" s="86">
        <v>24932</v>
      </c>
      <c r="B711" s="87" t="s">
        <v>14</v>
      </c>
      <c r="C711" s="87" t="s">
        <v>1409</v>
      </c>
      <c r="D711" s="87" t="s">
        <v>1434</v>
      </c>
      <c r="E711" s="87" t="s">
        <v>1435</v>
      </c>
      <c r="F711" s="87">
        <v>33.360180109700003</v>
      </c>
      <c r="G711" s="87">
        <v>44.455446003200002</v>
      </c>
      <c r="H711" s="86">
        <v>4</v>
      </c>
      <c r="I711" s="86">
        <v>24</v>
      </c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>
        <v>4</v>
      </c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>
        <v>4</v>
      </c>
      <c r="AI711" s="87"/>
      <c r="AJ711" s="87"/>
      <c r="AK711" s="87"/>
      <c r="AL711" s="87"/>
      <c r="AM711" s="87"/>
      <c r="AN711" s="87"/>
      <c r="AO711" s="87">
        <v>4</v>
      </c>
      <c r="AP711" s="87"/>
      <c r="AQ711" s="87"/>
      <c r="AR711" s="87"/>
      <c r="AS711" s="87"/>
      <c r="AT711" s="87"/>
      <c r="AU711" s="87"/>
      <c r="AV711" s="87"/>
      <c r="AW711" s="88" t="str">
        <f>HYPERLINK("http://www.openstreetmap.org/?mlat=33.3602&amp;mlon=44.4554&amp;zoom=12#map=12/33.3602/44.4554","Maplink1")</f>
        <v>Maplink1</v>
      </c>
      <c r="AX711" s="88" t="str">
        <f>HYPERLINK("https://www.google.iq/maps/search/+33.3602,44.4554/@33.3602,44.4554,14z?hl=en","Maplink2")</f>
        <v>Maplink2</v>
      </c>
      <c r="AY711" s="88" t="str">
        <f>HYPERLINK("http://www.bing.com/maps/?lvl=14&amp;sty=h&amp;cp=33.3602~44.4554&amp;sp=point.33.3602_44.4554","Maplink3")</f>
        <v>Maplink3</v>
      </c>
      <c r="AZ711" s="76"/>
    </row>
    <row r="712" spans="1:52" x14ac:dyDescent="0.25">
      <c r="A712" s="86">
        <v>24584</v>
      </c>
      <c r="B712" s="87" t="s">
        <v>14</v>
      </c>
      <c r="C712" s="87" t="s">
        <v>1409</v>
      </c>
      <c r="D712" s="87" t="s">
        <v>1436</v>
      </c>
      <c r="E712" s="87" t="s">
        <v>1437</v>
      </c>
      <c r="F712" s="87">
        <v>33.363169323100003</v>
      </c>
      <c r="G712" s="87">
        <v>44.456867023000001</v>
      </c>
      <c r="H712" s="86">
        <v>3</v>
      </c>
      <c r="I712" s="86">
        <v>18</v>
      </c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>
        <v>3</v>
      </c>
      <c r="W712" s="87"/>
      <c r="X712" s="87"/>
      <c r="Y712" s="87"/>
      <c r="Z712" s="87"/>
      <c r="AA712" s="87"/>
      <c r="AB712" s="87"/>
      <c r="AC712" s="87">
        <v>3</v>
      </c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>
        <v>3</v>
      </c>
      <c r="AQ712" s="87"/>
      <c r="AR712" s="87"/>
      <c r="AS712" s="87"/>
      <c r="AT712" s="87"/>
      <c r="AU712" s="87"/>
      <c r="AV712" s="87"/>
      <c r="AW712" s="88" t="str">
        <f>HYPERLINK("http://www.openstreetmap.org/?mlat=33.3632&amp;mlon=44.4569&amp;zoom=12#map=12/33.3632/44.4569","Maplink1")</f>
        <v>Maplink1</v>
      </c>
      <c r="AX712" s="88" t="str">
        <f>HYPERLINK("https://www.google.iq/maps/search/+33.3632,44.4569/@33.3632,44.4569,14z?hl=en","Maplink2")</f>
        <v>Maplink2</v>
      </c>
      <c r="AY712" s="88" t="str">
        <f>HYPERLINK("http://www.bing.com/maps/?lvl=14&amp;sty=h&amp;cp=33.3632~44.4569&amp;sp=point.33.3632_44.4569","Maplink3")</f>
        <v>Maplink3</v>
      </c>
      <c r="AZ712" s="76"/>
    </row>
    <row r="713" spans="1:52" x14ac:dyDescent="0.25">
      <c r="A713" s="86">
        <v>24933</v>
      </c>
      <c r="B713" s="87" t="s">
        <v>14</v>
      </c>
      <c r="C713" s="87" t="s">
        <v>1409</v>
      </c>
      <c r="D713" s="87" t="s">
        <v>1438</v>
      </c>
      <c r="E713" s="87" t="s">
        <v>1439</v>
      </c>
      <c r="F713" s="87">
        <v>33.3805178828</v>
      </c>
      <c r="G713" s="87">
        <v>44.460499350299997</v>
      </c>
      <c r="H713" s="86">
        <v>2</v>
      </c>
      <c r="I713" s="86">
        <v>12</v>
      </c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>
        <v>2</v>
      </c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>
        <v>2</v>
      </c>
      <c r="AI713" s="87"/>
      <c r="AJ713" s="87"/>
      <c r="AK713" s="87"/>
      <c r="AL713" s="87"/>
      <c r="AM713" s="87"/>
      <c r="AN713" s="87"/>
      <c r="AO713" s="87">
        <v>2</v>
      </c>
      <c r="AP713" s="87"/>
      <c r="AQ713" s="87"/>
      <c r="AR713" s="87"/>
      <c r="AS713" s="87"/>
      <c r="AT713" s="87"/>
      <c r="AU713" s="87"/>
      <c r="AV713" s="87"/>
      <c r="AW713" s="88" t="str">
        <f>HYPERLINK("http://www.openstreetmap.org/?mlat=33.3805&amp;mlon=44.4605&amp;zoom=12#map=12/33.3805/44.4605","Maplink1")</f>
        <v>Maplink1</v>
      </c>
      <c r="AX713" s="88" t="str">
        <f>HYPERLINK("https://www.google.iq/maps/search/+33.3805,44.4605/@33.3805,44.4605,14z?hl=en","Maplink2")</f>
        <v>Maplink2</v>
      </c>
      <c r="AY713" s="88" t="str">
        <f>HYPERLINK("http://www.bing.com/maps/?lvl=14&amp;sty=h&amp;cp=33.3805~44.4605&amp;sp=point.33.3805_44.4605","Maplink3")</f>
        <v>Maplink3</v>
      </c>
      <c r="AZ713" s="76"/>
    </row>
    <row r="714" spans="1:52" x14ac:dyDescent="0.25">
      <c r="A714" s="86">
        <v>24585</v>
      </c>
      <c r="B714" s="87" t="s">
        <v>14</v>
      </c>
      <c r="C714" s="87" t="s">
        <v>1409</v>
      </c>
      <c r="D714" s="87" t="s">
        <v>1440</v>
      </c>
      <c r="E714" s="87" t="s">
        <v>1441</v>
      </c>
      <c r="F714" s="87">
        <v>33.3800346381</v>
      </c>
      <c r="G714" s="87">
        <v>44.443928530400001</v>
      </c>
      <c r="H714" s="86">
        <v>1</v>
      </c>
      <c r="I714" s="86">
        <v>6</v>
      </c>
      <c r="J714" s="87"/>
      <c r="K714" s="87"/>
      <c r="L714" s="87"/>
      <c r="M714" s="87"/>
      <c r="N714" s="87"/>
      <c r="O714" s="87">
        <v>1</v>
      </c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>
        <v>1</v>
      </c>
      <c r="AI714" s="87"/>
      <c r="AJ714" s="87"/>
      <c r="AK714" s="87"/>
      <c r="AL714" s="87"/>
      <c r="AM714" s="87"/>
      <c r="AN714" s="87"/>
      <c r="AO714" s="87"/>
      <c r="AP714" s="87">
        <v>1</v>
      </c>
      <c r="AQ714" s="87"/>
      <c r="AR714" s="87"/>
      <c r="AS714" s="87"/>
      <c r="AT714" s="87"/>
      <c r="AU714" s="87"/>
      <c r="AV714" s="87"/>
      <c r="AW714" s="88" t="str">
        <f>HYPERLINK("http://www.openstreetmap.org/?mlat=33.38&amp;mlon=44.4439&amp;zoom=12#map=12/33.38/44.4439","Maplink1")</f>
        <v>Maplink1</v>
      </c>
      <c r="AX714" s="88" t="str">
        <f>HYPERLINK("https://www.google.iq/maps/search/+33.38,44.4439/@33.38,44.4439,14z?hl=en","Maplink2")</f>
        <v>Maplink2</v>
      </c>
      <c r="AY714" s="88" t="str">
        <f>HYPERLINK("http://www.bing.com/maps/?lvl=14&amp;sty=h&amp;cp=33.38~44.4439&amp;sp=point.33.38_44.4439","Maplink3")</f>
        <v>Maplink3</v>
      </c>
      <c r="AZ714" s="76"/>
    </row>
    <row r="715" spans="1:52" x14ac:dyDescent="0.25">
      <c r="A715" s="86">
        <v>24586</v>
      </c>
      <c r="B715" s="87" t="s">
        <v>14</v>
      </c>
      <c r="C715" s="87" t="s">
        <v>1409</v>
      </c>
      <c r="D715" s="87" t="s">
        <v>1442</v>
      </c>
      <c r="E715" s="87" t="s">
        <v>1443</v>
      </c>
      <c r="F715" s="87">
        <v>33.383495600300002</v>
      </c>
      <c r="G715" s="87">
        <v>44.439622803600002</v>
      </c>
      <c r="H715" s="86">
        <v>2</v>
      </c>
      <c r="I715" s="86">
        <v>12</v>
      </c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>
        <v>2</v>
      </c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>
        <v>2</v>
      </c>
      <c r="AI715" s="87"/>
      <c r="AJ715" s="87"/>
      <c r="AK715" s="87"/>
      <c r="AL715" s="87"/>
      <c r="AM715" s="87"/>
      <c r="AN715" s="87"/>
      <c r="AO715" s="87">
        <v>2</v>
      </c>
      <c r="AP715" s="87"/>
      <c r="AQ715" s="87"/>
      <c r="AR715" s="87"/>
      <c r="AS715" s="87"/>
      <c r="AT715" s="87"/>
      <c r="AU715" s="87"/>
      <c r="AV715" s="87"/>
      <c r="AW715" s="88" t="str">
        <f>HYPERLINK("http://www.openstreetmap.org/?mlat=33.3835&amp;mlon=44.4396&amp;zoom=12#map=12/33.3835/44.4396","Maplink1")</f>
        <v>Maplink1</v>
      </c>
      <c r="AX715" s="88" t="str">
        <f>HYPERLINK("https://www.google.iq/maps/search/+33.3835,44.4396/@33.3835,44.4396,14z?hl=en","Maplink2")</f>
        <v>Maplink2</v>
      </c>
      <c r="AY715" s="88" t="str">
        <f>HYPERLINK("http://www.bing.com/maps/?lvl=14&amp;sty=h&amp;cp=33.3835~44.4396&amp;sp=point.33.3835_44.4396","Maplink3")</f>
        <v>Maplink3</v>
      </c>
      <c r="AZ715" s="76"/>
    </row>
    <row r="716" spans="1:52" x14ac:dyDescent="0.25">
      <c r="A716" s="86">
        <v>24587</v>
      </c>
      <c r="B716" s="87" t="s">
        <v>14</v>
      </c>
      <c r="C716" s="87" t="s">
        <v>1409</v>
      </c>
      <c r="D716" s="87" t="s">
        <v>1444</v>
      </c>
      <c r="E716" s="87" t="s">
        <v>1445</v>
      </c>
      <c r="F716" s="87">
        <v>33.391497191699997</v>
      </c>
      <c r="G716" s="87">
        <v>44.433038676800003</v>
      </c>
      <c r="H716" s="86">
        <v>2</v>
      </c>
      <c r="I716" s="86">
        <v>12</v>
      </c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>
        <v>1</v>
      </c>
      <c r="W716" s="87"/>
      <c r="X716" s="87">
        <v>1</v>
      </c>
      <c r="Y716" s="87"/>
      <c r="Z716" s="87"/>
      <c r="AA716" s="87"/>
      <c r="AB716" s="87"/>
      <c r="AC716" s="87"/>
      <c r="AD716" s="87"/>
      <c r="AE716" s="87"/>
      <c r="AF716" s="87"/>
      <c r="AG716" s="87"/>
      <c r="AH716" s="87">
        <v>2</v>
      </c>
      <c r="AI716" s="87"/>
      <c r="AJ716" s="87"/>
      <c r="AK716" s="87"/>
      <c r="AL716" s="87"/>
      <c r="AM716" s="87"/>
      <c r="AN716" s="87"/>
      <c r="AO716" s="87">
        <v>1</v>
      </c>
      <c r="AP716" s="87"/>
      <c r="AQ716" s="87"/>
      <c r="AR716" s="87">
        <v>1</v>
      </c>
      <c r="AS716" s="87"/>
      <c r="AT716" s="87"/>
      <c r="AU716" s="87"/>
      <c r="AV716" s="87"/>
      <c r="AW716" s="88" t="str">
        <f>HYPERLINK("http://www.openstreetmap.org/?mlat=33.3915&amp;mlon=44.433&amp;zoom=12#map=12/33.3915/44.433","Maplink1")</f>
        <v>Maplink1</v>
      </c>
      <c r="AX716" s="88" t="str">
        <f>HYPERLINK("https://www.google.iq/maps/search/+33.3915,44.433/@33.3915,44.433,14z?hl=en","Maplink2")</f>
        <v>Maplink2</v>
      </c>
      <c r="AY716" s="88" t="str">
        <f>HYPERLINK("http://www.bing.com/maps/?lvl=14&amp;sty=h&amp;cp=33.3915~44.433&amp;sp=point.33.3915_44.433","Maplink3")</f>
        <v>Maplink3</v>
      </c>
      <c r="AZ716" s="76"/>
    </row>
    <row r="717" spans="1:52" x14ac:dyDescent="0.25">
      <c r="A717" s="86">
        <v>24588</v>
      </c>
      <c r="B717" s="87" t="s">
        <v>14</v>
      </c>
      <c r="C717" s="87" t="s">
        <v>1409</v>
      </c>
      <c r="D717" s="87" t="s">
        <v>1446</v>
      </c>
      <c r="E717" s="87" t="s">
        <v>1447</v>
      </c>
      <c r="F717" s="87">
        <v>33.385669408399998</v>
      </c>
      <c r="G717" s="87">
        <v>44.449749713199999</v>
      </c>
      <c r="H717" s="86">
        <v>2</v>
      </c>
      <c r="I717" s="86">
        <v>12</v>
      </c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>
        <v>2</v>
      </c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>
        <v>2</v>
      </c>
      <c r="AI717" s="87"/>
      <c r="AJ717" s="87"/>
      <c r="AK717" s="87"/>
      <c r="AL717" s="87"/>
      <c r="AM717" s="87"/>
      <c r="AN717" s="87"/>
      <c r="AO717" s="87">
        <v>2</v>
      </c>
      <c r="AP717" s="87"/>
      <c r="AQ717" s="87"/>
      <c r="AR717" s="87"/>
      <c r="AS717" s="87"/>
      <c r="AT717" s="87"/>
      <c r="AU717" s="87"/>
      <c r="AV717" s="87"/>
      <c r="AW717" s="88" t="str">
        <f>HYPERLINK("http://www.openstreetmap.org/?mlat=33.3857&amp;mlon=44.4497&amp;zoom=12#map=12/33.3857/44.4497","Maplink1")</f>
        <v>Maplink1</v>
      </c>
      <c r="AX717" s="88" t="str">
        <f>HYPERLINK("https://www.google.iq/maps/search/+33.3857,44.4497/@33.3857,44.4497,14z?hl=en","Maplink2")</f>
        <v>Maplink2</v>
      </c>
      <c r="AY717" s="88" t="str">
        <f>HYPERLINK("http://www.bing.com/maps/?lvl=14&amp;sty=h&amp;cp=33.3857~44.4497&amp;sp=point.33.3857_44.4497","Maplink3")</f>
        <v>Maplink3</v>
      </c>
      <c r="AZ717" s="76"/>
    </row>
    <row r="718" spans="1:52" x14ac:dyDescent="0.25">
      <c r="A718" s="86">
        <v>25721</v>
      </c>
      <c r="B718" s="87" t="s">
        <v>14</v>
      </c>
      <c r="C718" s="87" t="s">
        <v>1409</v>
      </c>
      <c r="D718" s="87" t="s">
        <v>1448</v>
      </c>
      <c r="E718" s="87" t="s">
        <v>1449</v>
      </c>
      <c r="F718" s="87">
        <v>33.395514314700002</v>
      </c>
      <c r="G718" s="87">
        <v>44.496255684300003</v>
      </c>
      <c r="H718" s="86">
        <v>6</v>
      </c>
      <c r="I718" s="86">
        <v>36</v>
      </c>
      <c r="J718" s="87">
        <v>3</v>
      </c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>
        <v>3</v>
      </c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>
        <v>5</v>
      </c>
      <c r="AI718" s="87">
        <v>1</v>
      </c>
      <c r="AJ718" s="87"/>
      <c r="AK718" s="87"/>
      <c r="AL718" s="87"/>
      <c r="AM718" s="87"/>
      <c r="AN718" s="87"/>
      <c r="AO718" s="87">
        <v>3</v>
      </c>
      <c r="AP718" s="87"/>
      <c r="AQ718" s="87"/>
      <c r="AR718" s="87"/>
      <c r="AS718" s="87"/>
      <c r="AT718" s="87">
        <v>3</v>
      </c>
      <c r="AU718" s="87"/>
      <c r="AV718" s="87"/>
      <c r="AW718" s="88" t="str">
        <f>HYPERLINK("http://www.openstreetmap.org/?mlat=33.3955&amp;mlon=44.4963&amp;zoom=12#map=12/33.3955/44.4963","Maplink1")</f>
        <v>Maplink1</v>
      </c>
      <c r="AX718" s="88" t="str">
        <f>HYPERLINK("https://www.google.iq/maps/search/+33.3955,44.4963/@33.3955,44.4963,14z?hl=en","Maplink2")</f>
        <v>Maplink2</v>
      </c>
      <c r="AY718" s="88" t="str">
        <f>HYPERLINK("http://www.bing.com/maps/?lvl=14&amp;sty=h&amp;cp=33.3955~44.4963&amp;sp=point.33.3955_44.4963","Maplink3")</f>
        <v>Maplink3</v>
      </c>
      <c r="AZ718" s="76"/>
    </row>
    <row r="719" spans="1:52" x14ac:dyDescent="0.25">
      <c r="A719" s="86">
        <v>23039</v>
      </c>
      <c r="B719" s="87" t="s">
        <v>14</v>
      </c>
      <c r="C719" s="87" t="s">
        <v>1409</v>
      </c>
      <c r="D719" s="87" t="s">
        <v>1450</v>
      </c>
      <c r="E719" s="87" t="s">
        <v>1451</v>
      </c>
      <c r="F719" s="87">
        <v>33.401486162700003</v>
      </c>
      <c r="G719" s="87">
        <v>44.499602308299998</v>
      </c>
      <c r="H719" s="86">
        <v>6</v>
      </c>
      <c r="I719" s="86">
        <v>36</v>
      </c>
      <c r="J719" s="87">
        <v>2</v>
      </c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>
        <v>2</v>
      </c>
      <c r="W719" s="87"/>
      <c r="X719" s="87">
        <v>2</v>
      </c>
      <c r="Y719" s="87"/>
      <c r="Z719" s="87"/>
      <c r="AA719" s="87"/>
      <c r="AB719" s="87"/>
      <c r="AC719" s="87"/>
      <c r="AD719" s="87"/>
      <c r="AE719" s="87"/>
      <c r="AF719" s="87"/>
      <c r="AG719" s="87"/>
      <c r="AH719" s="87">
        <v>4</v>
      </c>
      <c r="AI719" s="87">
        <v>2</v>
      </c>
      <c r="AJ719" s="87"/>
      <c r="AK719" s="87"/>
      <c r="AL719" s="87"/>
      <c r="AM719" s="87"/>
      <c r="AN719" s="87"/>
      <c r="AO719" s="87"/>
      <c r="AP719" s="87">
        <v>2</v>
      </c>
      <c r="AQ719" s="87">
        <v>4</v>
      </c>
      <c r="AR719" s="87"/>
      <c r="AS719" s="87"/>
      <c r="AT719" s="87"/>
      <c r="AU719" s="87"/>
      <c r="AV719" s="87"/>
      <c r="AW719" s="88" t="str">
        <f>HYPERLINK("http://www.openstreetmap.org/?mlat=33.4015&amp;mlon=44.4996&amp;zoom=12#map=12/33.4015/44.4996","Maplink1")</f>
        <v>Maplink1</v>
      </c>
      <c r="AX719" s="88" t="str">
        <f>HYPERLINK("https://www.google.iq/maps/search/+33.4015,44.4996/@33.4015,44.4996,14z?hl=en","Maplink2")</f>
        <v>Maplink2</v>
      </c>
      <c r="AY719" s="88" t="str">
        <f>HYPERLINK("http://www.bing.com/maps/?lvl=14&amp;sty=h&amp;cp=33.4015~44.4996&amp;sp=point.33.4015_44.4996","Maplink3")</f>
        <v>Maplink3</v>
      </c>
      <c r="AZ719" s="76"/>
    </row>
    <row r="720" spans="1:52" x14ac:dyDescent="0.25">
      <c r="A720" s="86">
        <v>24591</v>
      </c>
      <c r="B720" s="87" t="s">
        <v>14</v>
      </c>
      <c r="C720" s="87" t="s">
        <v>1409</v>
      </c>
      <c r="D720" s="87" t="s">
        <v>1452</v>
      </c>
      <c r="E720" s="87" t="s">
        <v>1453</v>
      </c>
      <c r="F720" s="87">
        <v>33.393991755899997</v>
      </c>
      <c r="G720" s="87">
        <v>44.443351331599999</v>
      </c>
      <c r="H720" s="86">
        <v>3</v>
      </c>
      <c r="I720" s="86">
        <v>18</v>
      </c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>
        <v>3</v>
      </c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>
        <v>3</v>
      </c>
      <c r="AI720" s="87"/>
      <c r="AJ720" s="87"/>
      <c r="AK720" s="87"/>
      <c r="AL720" s="87"/>
      <c r="AM720" s="87"/>
      <c r="AN720" s="87"/>
      <c r="AO720" s="87">
        <v>3</v>
      </c>
      <c r="AP720" s="87"/>
      <c r="AQ720" s="87"/>
      <c r="AR720" s="87"/>
      <c r="AS720" s="87"/>
      <c r="AT720" s="87"/>
      <c r="AU720" s="87"/>
      <c r="AV720" s="87"/>
      <c r="AW720" s="88" t="str">
        <f>HYPERLINK("http://www.openstreetmap.org/?mlat=33.394&amp;mlon=44.4434&amp;zoom=12#map=12/33.394/44.4434","Maplink1")</f>
        <v>Maplink1</v>
      </c>
      <c r="AX720" s="88" t="str">
        <f>HYPERLINK("https://www.google.iq/maps/search/+33.394,44.4434/@33.394,44.4434,14z?hl=en","Maplink2")</f>
        <v>Maplink2</v>
      </c>
      <c r="AY720" s="88" t="str">
        <f>HYPERLINK("http://www.bing.com/maps/?lvl=14&amp;sty=h&amp;cp=33.394~44.4434&amp;sp=point.33.394_44.4434","Maplink3")</f>
        <v>Maplink3</v>
      </c>
      <c r="AZ720" s="76"/>
    </row>
    <row r="721" spans="1:52" x14ac:dyDescent="0.25">
      <c r="A721" s="86">
        <v>24589</v>
      </c>
      <c r="B721" s="87" t="s">
        <v>14</v>
      </c>
      <c r="C721" s="87" t="s">
        <v>1409</v>
      </c>
      <c r="D721" s="87" t="s">
        <v>1454</v>
      </c>
      <c r="E721" s="87" t="s">
        <v>1455</v>
      </c>
      <c r="F721" s="87">
        <v>33.397467012</v>
      </c>
      <c r="G721" s="87">
        <v>44.453095047399998</v>
      </c>
      <c r="H721" s="86">
        <v>3</v>
      </c>
      <c r="I721" s="86">
        <v>18</v>
      </c>
      <c r="J721" s="87">
        <v>1</v>
      </c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>
        <v>2</v>
      </c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>
        <v>3</v>
      </c>
      <c r="AI721" s="87"/>
      <c r="AJ721" s="87"/>
      <c r="AK721" s="87"/>
      <c r="AL721" s="87"/>
      <c r="AM721" s="87"/>
      <c r="AN721" s="87"/>
      <c r="AO721" s="87"/>
      <c r="AP721" s="87">
        <v>1</v>
      </c>
      <c r="AQ721" s="87">
        <v>1</v>
      </c>
      <c r="AR721" s="87">
        <v>1</v>
      </c>
      <c r="AS721" s="87"/>
      <c r="AT721" s="87"/>
      <c r="AU721" s="87"/>
      <c r="AV721" s="87"/>
      <c r="AW721" s="88" t="str">
        <f>HYPERLINK("http://www.openstreetmap.org/?mlat=33.3975&amp;mlon=44.4531&amp;zoom=12#map=12/33.3975/44.4531","Maplink1")</f>
        <v>Maplink1</v>
      </c>
      <c r="AX721" s="88" t="str">
        <f>HYPERLINK("https://www.google.iq/maps/search/+33.3975,44.4531/@33.3975,44.4531,14z?hl=en","Maplink2")</f>
        <v>Maplink2</v>
      </c>
      <c r="AY721" s="88" t="str">
        <f>HYPERLINK("http://www.bing.com/maps/?lvl=14&amp;sty=h&amp;cp=33.3975~44.4531&amp;sp=point.33.3975_44.4531","Maplink3")</f>
        <v>Maplink3</v>
      </c>
      <c r="AZ721" s="76"/>
    </row>
    <row r="722" spans="1:52" x14ac:dyDescent="0.25">
      <c r="A722" s="86">
        <v>24228</v>
      </c>
      <c r="B722" s="87" t="s">
        <v>15</v>
      </c>
      <c r="C722" s="87" t="s">
        <v>1456</v>
      </c>
      <c r="D722" s="87" t="s">
        <v>1457</v>
      </c>
      <c r="E722" s="87" t="s">
        <v>1458</v>
      </c>
      <c r="F722" s="87">
        <v>30.481936390000001</v>
      </c>
      <c r="G722" s="87">
        <v>47.862526701299998</v>
      </c>
      <c r="H722" s="86">
        <v>1</v>
      </c>
      <c r="I722" s="86">
        <v>6</v>
      </c>
      <c r="J722" s="87">
        <v>1</v>
      </c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>
        <v>1</v>
      </c>
      <c r="AI722" s="87"/>
      <c r="AJ722" s="87"/>
      <c r="AK722" s="87"/>
      <c r="AL722" s="87"/>
      <c r="AM722" s="87"/>
      <c r="AN722" s="87"/>
      <c r="AO722" s="87">
        <v>1</v>
      </c>
      <c r="AP722" s="87"/>
      <c r="AQ722" s="87"/>
      <c r="AR722" s="87"/>
      <c r="AS722" s="87"/>
      <c r="AT722" s="87"/>
      <c r="AU722" s="87"/>
      <c r="AV722" s="87"/>
      <c r="AW722" s="88" t="str">
        <f>HYPERLINK("http://www.openstreetmap.org/?mlat=30.4819&amp;mlon=47.8625&amp;zoom=12#map=12/30.4819/47.8625","Maplink1")</f>
        <v>Maplink1</v>
      </c>
      <c r="AX722" s="88" t="str">
        <f>HYPERLINK("https://www.google.iq/maps/search/+30.4819,47.8625/@30.4819,47.8625,14z?hl=en","Maplink2")</f>
        <v>Maplink2</v>
      </c>
      <c r="AY722" s="88" t="str">
        <f>HYPERLINK("http://www.bing.com/maps/?lvl=14&amp;sty=h&amp;cp=30.4819~47.8625&amp;sp=point.30.4819_47.8625","Maplink3")</f>
        <v>Maplink3</v>
      </c>
      <c r="AZ722" s="76"/>
    </row>
    <row r="723" spans="1:52" x14ac:dyDescent="0.25">
      <c r="A723" s="86">
        <v>792</v>
      </c>
      <c r="B723" s="87" t="s">
        <v>15</v>
      </c>
      <c r="C723" s="87" t="s">
        <v>1456</v>
      </c>
      <c r="D723" s="87" t="s">
        <v>1459</v>
      </c>
      <c r="E723" s="87" t="s">
        <v>1460</v>
      </c>
      <c r="F723" s="87">
        <v>30.441110778700001</v>
      </c>
      <c r="G723" s="87">
        <v>48.013710792200001</v>
      </c>
      <c r="H723" s="86">
        <v>2</v>
      </c>
      <c r="I723" s="86">
        <v>12</v>
      </c>
      <c r="J723" s="87">
        <v>2</v>
      </c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>
        <v>1</v>
      </c>
      <c r="AD723" s="87"/>
      <c r="AE723" s="87"/>
      <c r="AF723" s="87"/>
      <c r="AG723" s="87"/>
      <c r="AH723" s="87">
        <v>1</v>
      </c>
      <c r="AI723" s="87"/>
      <c r="AJ723" s="87"/>
      <c r="AK723" s="87"/>
      <c r="AL723" s="87"/>
      <c r="AM723" s="87"/>
      <c r="AN723" s="87">
        <v>2</v>
      </c>
      <c r="AO723" s="87"/>
      <c r="AP723" s="87"/>
      <c r="AQ723" s="87"/>
      <c r="AR723" s="87"/>
      <c r="AS723" s="87"/>
      <c r="AT723" s="87"/>
      <c r="AU723" s="87"/>
      <c r="AV723" s="87"/>
      <c r="AW723" s="88" t="str">
        <f>HYPERLINK("http://www.openstreetmap.org/?mlat=30.4411&amp;mlon=48.0137&amp;zoom=12#map=12/30.4411/48.0137","Maplink1")</f>
        <v>Maplink1</v>
      </c>
      <c r="AX723" s="88" t="str">
        <f>HYPERLINK("https://www.google.iq/maps/search/+30.4411,48.0137/@30.4411,48.0137,14z?hl=en","Maplink2")</f>
        <v>Maplink2</v>
      </c>
      <c r="AY723" s="88" t="str">
        <f>HYPERLINK("http://www.bing.com/maps/?lvl=14&amp;sty=h&amp;cp=30.4411~48.0137&amp;sp=point.30.4411_48.0137","Maplink3")</f>
        <v>Maplink3</v>
      </c>
      <c r="AZ723" s="76"/>
    </row>
    <row r="724" spans="1:52" x14ac:dyDescent="0.25">
      <c r="A724" s="86">
        <v>25540</v>
      </c>
      <c r="B724" s="87" t="s">
        <v>15</v>
      </c>
      <c r="C724" s="87" t="s">
        <v>1456</v>
      </c>
      <c r="D724" s="87" t="s">
        <v>1461</v>
      </c>
      <c r="E724" s="87" t="s">
        <v>1462</v>
      </c>
      <c r="F724" s="87">
        <v>30.4417453525</v>
      </c>
      <c r="G724" s="87">
        <v>47.959488926500001</v>
      </c>
      <c r="H724" s="86">
        <v>6</v>
      </c>
      <c r="I724" s="86">
        <v>36</v>
      </c>
      <c r="J724" s="87">
        <v>3</v>
      </c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>
        <v>3</v>
      </c>
      <c r="Y724" s="87"/>
      <c r="Z724" s="87"/>
      <c r="AA724" s="87"/>
      <c r="AB724" s="87"/>
      <c r="AC724" s="87">
        <v>3</v>
      </c>
      <c r="AD724" s="87"/>
      <c r="AE724" s="87"/>
      <c r="AF724" s="87"/>
      <c r="AG724" s="87"/>
      <c r="AH724" s="87">
        <v>3</v>
      </c>
      <c r="AI724" s="87"/>
      <c r="AJ724" s="87"/>
      <c r="AK724" s="87"/>
      <c r="AL724" s="87"/>
      <c r="AM724" s="87"/>
      <c r="AN724" s="87">
        <v>2</v>
      </c>
      <c r="AO724" s="87">
        <v>1</v>
      </c>
      <c r="AP724" s="87"/>
      <c r="AQ724" s="87">
        <v>2</v>
      </c>
      <c r="AR724" s="87"/>
      <c r="AS724" s="87"/>
      <c r="AT724" s="87">
        <v>1</v>
      </c>
      <c r="AU724" s="87"/>
      <c r="AV724" s="87"/>
      <c r="AW724" s="88" t="str">
        <f>HYPERLINK("http://www.openstreetmap.org/?mlat=30.4417&amp;mlon=47.9595&amp;zoom=12#map=12/30.4417/47.9595","Maplink1")</f>
        <v>Maplink1</v>
      </c>
      <c r="AX724" s="88" t="str">
        <f>HYPERLINK("https://www.google.iq/maps/search/+30.4417,47.9595/@30.4417,47.9595,14z?hl=en","Maplink2")</f>
        <v>Maplink2</v>
      </c>
      <c r="AY724" s="88" t="str">
        <f>HYPERLINK("http://www.bing.com/maps/?lvl=14&amp;sty=h&amp;cp=30.4417~47.9595&amp;sp=point.30.4417_47.9595","Maplink3")</f>
        <v>Maplink3</v>
      </c>
      <c r="AZ724" s="76"/>
    </row>
    <row r="725" spans="1:52" x14ac:dyDescent="0.25">
      <c r="A725" s="86">
        <v>601</v>
      </c>
      <c r="B725" s="87" t="s">
        <v>15</v>
      </c>
      <c r="C725" s="87" t="s">
        <v>1456</v>
      </c>
      <c r="D725" s="87" t="s">
        <v>1463</v>
      </c>
      <c r="E725" s="87" t="s">
        <v>1464</v>
      </c>
      <c r="F725" s="87">
        <v>30.460605471200001</v>
      </c>
      <c r="G725" s="87">
        <v>47.961241397599998</v>
      </c>
      <c r="H725" s="86">
        <v>3</v>
      </c>
      <c r="I725" s="86">
        <v>18</v>
      </c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>
        <v>3</v>
      </c>
      <c r="Y725" s="87"/>
      <c r="Z725" s="87"/>
      <c r="AA725" s="87"/>
      <c r="AB725" s="87"/>
      <c r="AC725" s="87">
        <v>3</v>
      </c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>
        <v>3</v>
      </c>
      <c r="AP725" s="87"/>
      <c r="AQ725" s="87"/>
      <c r="AR725" s="87"/>
      <c r="AS725" s="87"/>
      <c r="AT725" s="87"/>
      <c r="AU725" s="87"/>
      <c r="AV725" s="87"/>
      <c r="AW725" s="88" t="str">
        <f>HYPERLINK("http://www.openstreetmap.org/?mlat=30.4606&amp;mlon=47.9612&amp;zoom=12#map=12/30.4606/47.9612","Maplink1")</f>
        <v>Maplink1</v>
      </c>
      <c r="AX725" s="88" t="str">
        <f>HYPERLINK("https://www.google.iq/maps/search/+30.4606,47.9612/@30.4606,47.9612,14z?hl=en","Maplink2")</f>
        <v>Maplink2</v>
      </c>
      <c r="AY725" s="88" t="str">
        <f>HYPERLINK("http://www.bing.com/maps/?lvl=14&amp;sty=h&amp;cp=30.4606~47.9612&amp;sp=point.30.4606_47.9612","Maplink3")</f>
        <v>Maplink3</v>
      </c>
      <c r="AZ725" s="76"/>
    </row>
    <row r="726" spans="1:52" x14ac:dyDescent="0.25">
      <c r="A726" s="86">
        <v>25970</v>
      </c>
      <c r="B726" s="87" t="s">
        <v>15</v>
      </c>
      <c r="C726" s="87" t="s">
        <v>1456</v>
      </c>
      <c r="D726" s="87" t="s">
        <v>1465</v>
      </c>
      <c r="E726" s="87" t="s">
        <v>1466</v>
      </c>
      <c r="F726" s="87">
        <v>30.4496837503</v>
      </c>
      <c r="G726" s="87">
        <v>47.986187424999997</v>
      </c>
      <c r="H726" s="86">
        <v>7</v>
      </c>
      <c r="I726" s="86">
        <v>42</v>
      </c>
      <c r="J726" s="87">
        <v>2</v>
      </c>
      <c r="K726" s="87"/>
      <c r="L726" s="87"/>
      <c r="M726" s="87"/>
      <c r="N726" s="87"/>
      <c r="O726" s="87">
        <v>1</v>
      </c>
      <c r="P726" s="87"/>
      <c r="Q726" s="87"/>
      <c r="R726" s="87">
        <v>1</v>
      </c>
      <c r="S726" s="87"/>
      <c r="T726" s="87"/>
      <c r="U726" s="87"/>
      <c r="V726" s="87">
        <v>2</v>
      </c>
      <c r="W726" s="87"/>
      <c r="X726" s="87">
        <v>1</v>
      </c>
      <c r="Y726" s="87"/>
      <c r="Z726" s="87"/>
      <c r="AA726" s="87"/>
      <c r="AB726" s="87"/>
      <c r="AC726" s="87">
        <v>1</v>
      </c>
      <c r="AD726" s="87"/>
      <c r="AE726" s="87"/>
      <c r="AF726" s="87"/>
      <c r="AG726" s="87"/>
      <c r="AH726" s="87">
        <v>6</v>
      </c>
      <c r="AI726" s="87"/>
      <c r="AJ726" s="87"/>
      <c r="AK726" s="87"/>
      <c r="AL726" s="87"/>
      <c r="AM726" s="87"/>
      <c r="AN726" s="87"/>
      <c r="AO726" s="87">
        <v>4</v>
      </c>
      <c r="AP726" s="87">
        <v>1</v>
      </c>
      <c r="AQ726" s="87">
        <v>1</v>
      </c>
      <c r="AR726" s="87">
        <v>1</v>
      </c>
      <c r="AS726" s="87"/>
      <c r="AT726" s="87"/>
      <c r="AU726" s="87"/>
      <c r="AV726" s="87"/>
      <c r="AW726" s="88" t="str">
        <f>HYPERLINK("http://www.openstreetmap.org/?mlat=30.4497&amp;mlon=47.9862&amp;zoom=12#map=12/30.4497/47.9862","Maplink1")</f>
        <v>Maplink1</v>
      </c>
      <c r="AX726" s="88" t="str">
        <f>HYPERLINK("https://www.google.iq/maps/search/+30.4497,47.9862/@30.4497,47.9862,14z?hl=en","Maplink2")</f>
        <v>Maplink2</v>
      </c>
      <c r="AY726" s="88" t="str">
        <f>HYPERLINK("http://www.bing.com/maps/?lvl=14&amp;sty=h&amp;cp=30.4497~47.9862&amp;sp=point.30.4497_47.9862","Maplink3")</f>
        <v>Maplink3</v>
      </c>
      <c r="AZ726" s="76"/>
    </row>
    <row r="727" spans="1:52" x14ac:dyDescent="0.25">
      <c r="A727" s="86">
        <v>23896</v>
      </c>
      <c r="B727" s="87" t="s">
        <v>15</v>
      </c>
      <c r="C727" s="87" t="s">
        <v>1456</v>
      </c>
      <c r="D727" s="87" t="s">
        <v>1467</v>
      </c>
      <c r="E727" s="87" t="s">
        <v>1468</v>
      </c>
      <c r="F727" s="87">
        <v>30.476333864699999</v>
      </c>
      <c r="G727" s="87">
        <v>47.866218139700003</v>
      </c>
      <c r="H727" s="86">
        <v>2</v>
      </c>
      <c r="I727" s="86">
        <v>12</v>
      </c>
      <c r="J727" s="87">
        <v>2</v>
      </c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>
        <v>2</v>
      </c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>
        <v>2</v>
      </c>
      <c r="AO727" s="87"/>
      <c r="AP727" s="87"/>
      <c r="AQ727" s="87"/>
      <c r="AR727" s="87"/>
      <c r="AS727" s="87"/>
      <c r="AT727" s="87"/>
      <c r="AU727" s="87"/>
      <c r="AV727" s="87"/>
      <c r="AW727" s="88" t="str">
        <f>HYPERLINK("http://www.openstreetmap.org/?mlat=30.4763&amp;mlon=47.8662&amp;zoom=12#map=12/30.4763/47.8662","Maplink1")</f>
        <v>Maplink1</v>
      </c>
      <c r="AX727" s="88" t="str">
        <f>HYPERLINK("https://www.google.iq/maps/search/+30.4763,47.8662/@30.4763,47.8662,14z?hl=en","Maplink2")</f>
        <v>Maplink2</v>
      </c>
      <c r="AY727" s="88" t="str">
        <f>HYPERLINK("http://www.bing.com/maps/?lvl=14&amp;sty=h&amp;cp=30.4763~47.8662&amp;sp=point.30.4763_47.8662","Maplink3")</f>
        <v>Maplink3</v>
      </c>
      <c r="AZ727" s="76"/>
    </row>
    <row r="728" spans="1:52" x14ac:dyDescent="0.25">
      <c r="A728" s="86">
        <v>23895</v>
      </c>
      <c r="B728" s="87" t="s">
        <v>15</v>
      </c>
      <c r="C728" s="87" t="s">
        <v>1456</v>
      </c>
      <c r="D728" s="87" t="s">
        <v>1469</v>
      </c>
      <c r="E728" s="87" t="s">
        <v>1470</v>
      </c>
      <c r="F728" s="87">
        <v>30.433843587999998</v>
      </c>
      <c r="G728" s="87">
        <v>47.964932397699997</v>
      </c>
      <c r="H728" s="86">
        <v>5</v>
      </c>
      <c r="I728" s="86">
        <v>30</v>
      </c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>
        <v>2</v>
      </c>
      <c r="W728" s="87"/>
      <c r="X728" s="87">
        <v>3</v>
      </c>
      <c r="Y728" s="87"/>
      <c r="Z728" s="87"/>
      <c r="AA728" s="87"/>
      <c r="AB728" s="87"/>
      <c r="AC728" s="87">
        <v>3</v>
      </c>
      <c r="AD728" s="87"/>
      <c r="AE728" s="87"/>
      <c r="AF728" s="87"/>
      <c r="AG728" s="87"/>
      <c r="AH728" s="87">
        <v>2</v>
      </c>
      <c r="AI728" s="87"/>
      <c r="AJ728" s="87"/>
      <c r="AK728" s="87"/>
      <c r="AL728" s="87"/>
      <c r="AM728" s="87"/>
      <c r="AN728" s="87"/>
      <c r="AO728" s="87">
        <v>2</v>
      </c>
      <c r="AP728" s="87">
        <v>1</v>
      </c>
      <c r="AQ728" s="87">
        <v>1</v>
      </c>
      <c r="AR728" s="87"/>
      <c r="AS728" s="87"/>
      <c r="AT728" s="87">
        <v>1</v>
      </c>
      <c r="AU728" s="87"/>
      <c r="AV728" s="87"/>
      <c r="AW728" s="88" t="str">
        <f>HYPERLINK("http://www.openstreetmap.org/?mlat=30.4338&amp;mlon=47.9649&amp;zoom=12#map=12/30.4338/47.9649","Maplink1")</f>
        <v>Maplink1</v>
      </c>
      <c r="AX728" s="88" t="str">
        <f>HYPERLINK("https://www.google.iq/maps/search/+30.4338,47.9649/@30.4338,47.9649,14z?hl=en","Maplink2")</f>
        <v>Maplink2</v>
      </c>
      <c r="AY728" s="88" t="str">
        <f>HYPERLINK("http://www.bing.com/maps/?lvl=14&amp;sty=h&amp;cp=30.4338~47.9649&amp;sp=point.30.4338_47.9649","Maplink3")</f>
        <v>Maplink3</v>
      </c>
      <c r="AZ728" s="76"/>
    </row>
    <row r="729" spans="1:52" x14ac:dyDescent="0.25">
      <c r="A729" s="86">
        <v>587</v>
      </c>
      <c r="B729" s="87" t="s">
        <v>15</v>
      </c>
      <c r="C729" s="87" t="s">
        <v>1456</v>
      </c>
      <c r="D729" s="87" t="s">
        <v>1471</v>
      </c>
      <c r="E729" s="87" t="s">
        <v>1472</v>
      </c>
      <c r="F729" s="87">
        <v>30.472263840499998</v>
      </c>
      <c r="G729" s="87">
        <v>47.867014550999997</v>
      </c>
      <c r="H729" s="86">
        <v>6</v>
      </c>
      <c r="I729" s="86">
        <v>36</v>
      </c>
      <c r="J729" s="87"/>
      <c r="K729" s="87"/>
      <c r="L729" s="87"/>
      <c r="M729" s="87"/>
      <c r="N729" s="87"/>
      <c r="O729" s="87">
        <v>1</v>
      </c>
      <c r="P729" s="87"/>
      <c r="Q729" s="87"/>
      <c r="R729" s="87">
        <v>3</v>
      </c>
      <c r="S729" s="87"/>
      <c r="T729" s="87"/>
      <c r="U729" s="87"/>
      <c r="V729" s="87">
        <v>2</v>
      </c>
      <c r="W729" s="87"/>
      <c r="X729" s="87"/>
      <c r="Y729" s="87"/>
      <c r="Z729" s="87"/>
      <c r="AA729" s="87"/>
      <c r="AB729" s="87"/>
      <c r="AC729" s="87">
        <v>1</v>
      </c>
      <c r="AD729" s="87"/>
      <c r="AE729" s="87"/>
      <c r="AF729" s="87"/>
      <c r="AG729" s="87"/>
      <c r="AH729" s="87">
        <v>5</v>
      </c>
      <c r="AI729" s="87"/>
      <c r="AJ729" s="87"/>
      <c r="AK729" s="87"/>
      <c r="AL729" s="87"/>
      <c r="AM729" s="87"/>
      <c r="AN729" s="87"/>
      <c r="AO729" s="87"/>
      <c r="AP729" s="87">
        <v>2</v>
      </c>
      <c r="AQ729" s="87">
        <v>1</v>
      </c>
      <c r="AR729" s="87"/>
      <c r="AS729" s="87">
        <v>1</v>
      </c>
      <c r="AT729" s="87">
        <v>2</v>
      </c>
      <c r="AU729" s="87"/>
      <c r="AV729" s="87"/>
      <c r="AW729" s="88" t="str">
        <f>HYPERLINK("http://www.openstreetmap.org/?mlat=30.4723&amp;mlon=47.867&amp;zoom=12#map=12/30.4723/47.867","Maplink1")</f>
        <v>Maplink1</v>
      </c>
      <c r="AX729" s="88" t="str">
        <f>HYPERLINK("https://www.google.iq/maps/search/+30.4723,47.867/@30.4723,47.867,14z?hl=en","Maplink2")</f>
        <v>Maplink2</v>
      </c>
      <c r="AY729" s="88" t="str">
        <f>HYPERLINK("http://www.bing.com/maps/?lvl=14&amp;sty=h&amp;cp=30.4723~47.867&amp;sp=point.30.4723_47.867","Maplink3")</f>
        <v>Maplink3</v>
      </c>
      <c r="AZ729" s="76"/>
    </row>
    <row r="730" spans="1:52" x14ac:dyDescent="0.25">
      <c r="A730" s="86">
        <v>780</v>
      </c>
      <c r="B730" s="87" t="s">
        <v>15</v>
      </c>
      <c r="C730" s="87" t="s">
        <v>1456</v>
      </c>
      <c r="D730" s="87" t="s">
        <v>1473</v>
      </c>
      <c r="E730" s="87" t="s">
        <v>1474</v>
      </c>
      <c r="F730" s="87">
        <v>30.432722058700001</v>
      </c>
      <c r="G730" s="87">
        <v>47.970389224199998</v>
      </c>
      <c r="H730" s="86">
        <v>5</v>
      </c>
      <c r="I730" s="86">
        <v>30</v>
      </c>
      <c r="J730" s="87">
        <v>5</v>
      </c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>
        <v>1</v>
      </c>
      <c r="AD730" s="87"/>
      <c r="AE730" s="87"/>
      <c r="AF730" s="87"/>
      <c r="AG730" s="87"/>
      <c r="AH730" s="87">
        <v>4</v>
      </c>
      <c r="AI730" s="87"/>
      <c r="AJ730" s="87"/>
      <c r="AK730" s="87"/>
      <c r="AL730" s="87"/>
      <c r="AM730" s="87"/>
      <c r="AN730" s="87"/>
      <c r="AO730" s="87">
        <v>4</v>
      </c>
      <c r="AP730" s="87"/>
      <c r="AQ730" s="87">
        <v>1</v>
      </c>
      <c r="AR730" s="87"/>
      <c r="AS730" s="87"/>
      <c r="AT730" s="87"/>
      <c r="AU730" s="87"/>
      <c r="AV730" s="87"/>
      <c r="AW730" s="88" t="str">
        <f>HYPERLINK("http://www.openstreetmap.org/?mlat=30.4327&amp;mlon=47.9704&amp;zoom=12#map=12/30.4327/47.9704","Maplink1")</f>
        <v>Maplink1</v>
      </c>
      <c r="AX730" s="88" t="str">
        <f>HYPERLINK("https://www.google.iq/maps/search/+30.4327,47.9704/@30.4327,47.9704,14z?hl=en","Maplink2")</f>
        <v>Maplink2</v>
      </c>
      <c r="AY730" s="88" t="str">
        <f>HYPERLINK("http://www.bing.com/maps/?lvl=14&amp;sty=h&amp;cp=30.4327~47.9704&amp;sp=point.30.4327_47.9704","Maplink3")</f>
        <v>Maplink3</v>
      </c>
      <c r="AZ730" s="76"/>
    </row>
    <row r="731" spans="1:52" x14ac:dyDescent="0.25">
      <c r="A731" s="86">
        <v>820</v>
      </c>
      <c r="B731" s="87" t="s">
        <v>15</v>
      </c>
      <c r="C731" s="87" t="s">
        <v>1456</v>
      </c>
      <c r="D731" s="87" t="s">
        <v>1475</v>
      </c>
      <c r="E731" s="87" t="s">
        <v>1476</v>
      </c>
      <c r="F731" s="87">
        <v>30.450760814399999</v>
      </c>
      <c r="G731" s="87">
        <v>47.904263766200003</v>
      </c>
      <c r="H731" s="86">
        <v>5</v>
      </c>
      <c r="I731" s="86">
        <v>30</v>
      </c>
      <c r="J731" s="87">
        <v>2</v>
      </c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>
        <v>2</v>
      </c>
      <c r="W731" s="87"/>
      <c r="X731" s="87">
        <v>1</v>
      </c>
      <c r="Y731" s="87"/>
      <c r="Z731" s="87"/>
      <c r="AA731" s="87"/>
      <c r="AB731" s="87"/>
      <c r="AC731" s="87">
        <v>1</v>
      </c>
      <c r="AD731" s="87"/>
      <c r="AE731" s="87"/>
      <c r="AF731" s="87"/>
      <c r="AG731" s="87"/>
      <c r="AH731" s="87">
        <v>4</v>
      </c>
      <c r="AI731" s="87"/>
      <c r="AJ731" s="87"/>
      <c r="AK731" s="87"/>
      <c r="AL731" s="87"/>
      <c r="AM731" s="87"/>
      <c r="AN731" s="87"/>
      <c r="AO731" s="87"/>
      <c r="AP731" s="87"/>
      <c r="AQ731" s="87">
        <v>5</v>
      </c>
      <c r="AR731" s="87"/>
      <c r="AS731" s="87"/>
      <c r="AT731" s="87"/>
      <c r="AU731" s="87"/>
      <c r="AV731" s="87"/>
      <c r="AW731" s="88" t="str">
        <f>HYPERLINK("http://www.openstreetmap.org/?mlat=30.4508&amp;mlon=47.9043&amp;zoom=12#map=12/30.4508/47.9043","Maplink1")</f>
        <v>Maplink1</v>
      </c>
      <c r="AX731" s="88" t="str">
        <f>HYPERLINK("https://www.google.iq/maps/search/+30.4508,47.9043/@30.4508,47.9043,14z?hl=en","Maplink2")</f>
        <v>Maplink2</v>
      </c>
      <c r="AY731" s="88" t="str">
        <f>HYPERLINK("http://www.bing.com/maps/?lvl=14&amp;sty=h&amp;cp=30.4508~47.9043&amp;sp=point.30.4508_47.9043","Maplink3")</f>
        <v>Maplink3</v>
      </c>
      <c r="AZ731" s="76"/>
    </row>
    <row r="732" spans="1:52" x14ac:dyDescent="0.25">
      <c r="A732" s="86">
        <v>793</v>
      </c>
      <c r="B732" s="87" t="s">
        <v>15</v>
      </c>
      <c r="C732" s="87" t="s">
        <v>1456</v>
      </c>
      <c r="D732" s="87" t="s">
        <v>1477</v>
      </c>
      <c r="E732" s="87" t="s">
        <v>1478</v>
      </c>
      <c r="F732" s="87">
        <v>30.437180962700001</v>
      </c>
      <c r="G732" s="87">
        <v>47.977312265499997</v>
      </c>
      <c r="H732" s="86">
        <v>4</v>
      </c>
      <c r="I732" s="86">
        <v>24</v>
      </c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>
        <v>2</v>
      </c>
      <c r="W732" s="87"/>
      <c r="X732" s="87">
        <v>2</v>
      </c>
      <c r="Y732" s="87"/>
      <c r="Z732" s="87"/>
      <c r="AA732" s="87"/>
      <c r="AB732" s="87"/>
      <c r="AC732" s="87">
        <v>1</v>
      </c>
      <c r="AD732" s="87"/>
      <c r="AE732" s="87"/>
      <c r="AF732" s="87"/>
      <c r="AG732" s="87"/>
      <c r="AH732" s="87">
        <v>3</v>
      </c>
      <c r="AI732" s="87"/>
      <c r="AJ732" s="87"/>
      <c r="AK732" s="87"/>
      <c r="AL732" s="87"/>
      <c r="AM732" s="87"/>
      <c r="AN732" s="87"/>
      <c r="AO732" s="87"/>
      <c r="AP732" s="87"/>
      <c r="AQ732" s="87"/>
      <c r="AR732" s="87">
        <v>3</v>
      </c>
      <c r="AS732" s="87"/>
      <c r="AT732" s="87"/>
      <c r="AU732" s="87">
        <v>1</v>
      </c>
      <c r="AV732" s="87"/>
      <c r="AW732" s="88" t="str">
        <f>HYPERLINK("http://www.openstreetmap.org/?mlat=30.4372&amp;mlon=47.9773&amp;zoom=12#map=12/30.4372/47.9773","Maplink1")</f>
        <v>Maplink1</v>
      </c>
      <c r="AX732" s="88" t="str">
        <f>HYPERLINK("https://www.google.iq/maps/search/+30.4372,47.9773/@30.4372,47.9773,14z?hl=en","Maplink2")</f>
        <v>Maplink2</v>
      </c>
      <c r="AY732" s="88" t="str">
        <f>HYPERLINK("http://www.bing.com/maps/?lvl=14&amp;sty=h&amp;cp=30.4372~47.9773&amp;sp=point.30.4372_47.9773","Maplink3")</f>
        <v>Maplink3</v>
      </c>
      <c r="AZ732" s="76"/>
    </row>
    <row r="733" spans="1:52" x14ac:dyDescent="0.25">
      <c r="A733" s="86">
        <v>834</v>
      </c>
      <c r="B733" s="87" t="s">
        <v>15</v>
      </c>
      <c r="C733" s="87" t="s">
        <v>1456</v>
      </c>
      <c r="D733" s="87" t="s">
        <v>1479</v>
      </c>
      <c r="E733" s="87" t="s">
        <v>1480</v>
      </c>
      <c r="F733" s="87">
        <v>30.457054810100001</v>
      </c>
      <c r="G733" s="87">
        <v>47.9166111352</v>
      </c>
      <c r="H733" s="86">
        <v>6</v>
      </c>
      <c r="I733" s="86">
        <v>36</v>
      </c>
      <c r="J733" s="87">
        <v>3</v>
      </c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>
        <v>3</v>
      </c>
      <c r="Y733" s="87"/>
      <c r="Z733" s="87"/>
      <c r="AA733" s="87"/>
      <c r="AB733" s="87"/>
      <c r="AC733" s="87">
        <v>3</v>
      </c>
      <c r="AD733" s="87"/>
      <c r="AE733" s="87"/>
      <c r="AF733" s="87"/>
      <c r="AG733" s="87"/>
      <c r="AH733" s="87">
        <v>3</v>
      </c>
      <c r="AI733" s="87"/>
      <c r="AJ733" s="87"/>
      <c r="AK733" s="87"/>
      <c r="AL733" s="87"/>
      <c r="AM733" s="87"/>
      <c r="AN733" s="87"/>
      <c r="AO733" s="87">
        <v>1</v>
      </c>
      <c r="AP733" s="87"/>
      <c r="AQ733" s="87">
        <v>5</v>
      </c>
      <c r="AR733" s="87"/>
      <c r="AS733" s="87"/>
      <c r="AT733" s="87"/>
      <c r="AU733" s="87"/>
      <c r="AV733" s="87"/>
      <c r="AW733" s="88" t="str">
        <f>HYPERLINK("http://www.openstreetmap.org/?mlat=30.4571&amp;mlon=47.9166&amp;zoom=12#map=12/30.4571/47.9166","Maplink1")</f>
        <v>Maplink1</v>
      </c>
      <c r="AX733" s="88" t="str">
        <f>HYPERLINK("https://www.google.iq/maps/search/+30.4571,47.9166/@30.4571,47.9166,14z?hl=en","Maplink2")</f>
        <v>Maplink2</v>
      </c>
      <c r="AY733" s="88" t="str">
        <f>HYPERLINK("http://www.bing.com/maps/?lvl=14&amp;sty=h&amp;cp=30.4571~47.9166&amp;sp=point.30.4571_47.9166","Maplink3")</f>
        <v>Maplink3</v>
      </c>
      <c r="AZ733" s="76"/>
    </row>
    <row r="734" spans="1:52" x14ac:dyDescent="0.25">
      <c r="A734" s="86">
        <v>607</v>
      </c>
      <c r="B734" s="87" t="s">
        <v>15</v>
      </c>
      <c r="C734" s="87" t="s">
        <v>1456</v>
      </c>
      <c r="D734" s="87" t="s">
        <v>1481</v>
      </c>
      <c r="E734" s="87" t="s">
        <v>1482</v>
      </c>
      <c r="F734" s="87">
        <v>30.4642247367</v>
      </c>
      <c r="G734" s="87">
        <v>47.941258058599999</v>
      </c>
      <c r="H734" s="86">
        <v>4</v>
      </c>
      <c r="I734" s="86">
        <v>24</v>
      </c>
      <c r="J734" s="87">
        <v>1</v>
      </c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>
        <v>1</v>
      </c>
      <c r="W734" s="87"/>
      <c r="X734" s="87">
        <v>2</v>
      </c>
      <c r="Y734" s="87"/>
      <c r="Z734" s="87"/>
      <c r="AA734" s="87"/>
      <c r="AB734" s="87"/>
      <c r="AC734" s="87">
        <v>2</v>
      </c>
      <c r="AD734" s="87"/>
      <c r="AE734" s="87"/>
      <c r="AF734" s="87"/>
      <c r="AG734" s="87"/>
      <c r="AH734" s="87">
        <v>2</v>
      </c>
      <c r="AI734" s="87"/>
      <c r="AJ734" s="87"/>
      <c r="AK734" s="87"/>
      <c r="AL734" s="87"/>
      <c r="AM734" s="87"/>
      <c r="AN734" s="87"/>
      <c r="AO734" s="87"/>
      <c r="AP734" s="87">
        <v>1</v>
      </c>
      <c r="AQ734" s="87">
        <v>3</v>
      </c>
      <c r="AR734" s="87"/>
      <c r="AS734" s="87"/>
      <c r="AT734" s="87"/>
      <c r="AU734" s="87"/>
      <c r="AV734" s="87"/>
      <c r="AW734" s="88" t="str">
        <f>HYPERLINK("http://www.openstreetmap.org/?mlat=30.4642&amp;mlon=47.9413&amp;zoom=12#map=12/30.4642/47.9413","Maplink1")</f>
        <v>Maplink1</v>
      </c>
      <c r="AX734" s="88" t="str">
        <f>HYPERLINK("https://www.google.iq/maps/search/+30.4642,47.9413/@30.4642,47.9413,14z?hl=en","Maplink2")</f>
        <v>Maplink2</v>
      </c>
      <c r="AY734" s="88" t="str">
        <f>HYPERLINK("http://www.bing.com/maps/?lvl=14&amp;sty=h&amp;cp=30.4642~47.9413&amp;sp=point.30.4642_47.9413","Maplink3")</f>
        <v>Maplink3</v>
      </c>
      <c r="AZ734" s="76"/>
    </row>
    <row r="735" spans="1:52" x14ac:dyDescent="0.25">
      <c r="A735" s="86">
        <v>1307</v>
      </c>
      <c r="B735" s="87" t="s">
        <v>15</v>
      </c>
      <c r="C735" s="87" t="s">
        <v>1456</v>
      </c>
      <c r="D735" s="87" t="s">
        <v>1483</v>
      </c>
      <c r="E735" s="87" t="s">
        <v>1484</v>
      </c>
      <c r="F735" s="87">
        <v>30.457114598</v>
      </c>
      <c r="G735" s="87">
        <v>47.950649070399997</v>
      </c>
      <c r="H735" s="86">
        <v>6</v>
      </c>
      <c r="I735" s="86">
        <v>36</v>
      </c>
      <c r="J735" s="87">
        <v>1</v>
      </c>
      <c r="K735" s="87"/>
      <c r="L735" s="87">
        <v>1</v>
      </c>
      <c r="M735" s="87"/>
      <c r="N735" s="87"/>
      <c r="O735" s="87">
        <v>1</v>
      </c>
      <c r="P735" s="87"/>
      <c r="Q735" s="87"/>
      <c r="R735" s="87"/>
      <c r="S735" s="87"/>
      <c r="T735" s="87"/>
      <c r="U735" s="87"/>
      <c r="V735" s="87">
        <v>2</v>
      </c>
      <c r="W735" s="87"/>
      <c r="X735" s="87">
        <v>1</v>
      </c>
      <c r="Y735" s="87"/>
      <c r="Z735" s="87"/>
      <c r="AA735" s="87"/>
      <c r="AB735" s="87"/>
      <c r="AC735" s="87">
        <v>3</v>
      </c>
      <c r="AD735" s="87"/>
      <c r="AE735" s="87"/>
      <c r="AF735" s="87"/>
      <c r="AG735" s="87"/>
      <c r="AH735" s="87">
        <v>3</v>
      </c>
      <c r="AI735" s="87"/>
      <c r="AJ735" s="87"/>
      <c r="AK735" s="87"/>
      <c r="AL735" s="87"/>
      <c r="AM735" s="87"/>
      <c r="AN735" s="87"/>
      <c r="AO735" s="87"/>
      <c r="AP735" s="87"/>
      <c r="AQ735" s="87">
        <v>4</v>
      </c>
      <c r="AR735" s="87"/>
      <c r="AS735" s="87"/>
      <c r="AT735" s="87">
        <v>2</v>
      </c>
      <c r="AU735" s="87"/>
      <c r="AV735" s="87"/>
      <c r="AW735" s="88" t="str">
        <f>HYPERLINK("http://www.openstreetmap.org/?mlat=30.4571&amp;mlon=47.9506&amp;zoom=12#map=12/30.4571/47.9506","Maplink1")</f>
        <v>Maplink1</v>
      </c>
      <c r="AX735" s="88" t="str">
        <f>HYPERLINK("https://www.google.iq/maps/search/+30.4571,47.9506/@30.4571,47.9506,14z?hl=en","Maplink2")</f>
        <v>Maplink2</v>
      </c>
      <c r="AY735" s="88" t="str">
        <f>HYPERLINK("http://www.bing.com/maps/?lvl=14&amp;sty=h&amp;cp=30.4571~47.9506&amp;sp=point.30.4571_47.9506","Maplink3")</f>
        <v>Maplink3</v>
      </c>
      <c r="AZ735" s="76"/>
    </row>
    <row r="736" spans="1:52" x14ac:dyDescent="0.25">
      <c r="A736" s="86">
        <v>841</v>
      </c>
      <c r="B736" s="87" t="s">
        <v>15</v>
      </c>
      <c r="C736" s="87" t="s">
        <v>1456</v>
      </c>
      <c r="D736" s="87" t="s">
        <v>1485</v>
      </c>
      <c r="E736" s="87" t="s">
        <v>1486</v>
      </c>
      <c r="F736" s="87">
        <v>30.484694556800001</v>
      </c>
      <c r="G736" s="87">
        <v>47.857077880799999</v>
      </c>
      <c r="H736" s="86">
        <v>9</v>
      </c>
      <c r="I736" s="86">
        <v>54</v>
      </c>
      <c r="J736" s="87">
        <v>2</v>
      </c>
      <c r="K736" s="87"/>
      <c r="L736" s="87"/>
      <c r="M736" s="87"/>
      <c r="N736" s="87"/>
      <c r="O736" s="87">
        <v>2</v>
      </c>
      <c r="P736" s="87"/>
      <c r="Q736" s="87"/>
      <c r="R736" s="87">
        <v>1</v>
      </c>
      <c r="S736" s="87"/>
      <c r="T736" s="87"/>
      <c r="U736" s="87"/>
      <c r="V736" s="87">
        <v>4</v>
      </c>
      <c r="W736" s="87"/>
      <c r="X736" s="87"/>
      <c r="Y736" s="87"/>
      <c r="Z736" s="87"/>
      <c r="AA736" s="87"/>
      <c r="AB736" s="87"/>
      <c r="AC736" s="87">
        <v>7</v>
      </c>
      <c r="AD736" s="87"/>
      <c r="AE736" s="87"/>
      <c r="AF736" s="87"/>
      <c r="AG736" s="87"/>
      <c r="AH736" s="87">
        <v>2</v>
      </c>
      <c r="AI736" s="87"/>
      <c r="AJ736" s="87"/>
      <c r="AK736" s="87"/>
      <c r="AL736" s="87"/>
      <c r="AM736" s="87"/>
      <c r="AN736" s="87"/>
      <c r="AO736" s="87"/>
      <c r="AP736" s="87">
        <v>3</v>
      </c>
      <c r="AQ736" s="87">
        <v>4</v>
      </c>
      <c r="AR736" s="87"/>
      <c r="AS736" s="87"/>
      <c r="AT736" s="87">
        <v>2</v>
      </c>
      <c r="AU736" s="87"/>
      <c r="AV736" s="87"/>
      <c r="AW736" s="88" t="str">
        <f>HYPERLINK("http://www.openstreetmap.org/?mlat=30.4847&amp;mlon=47.8571&amp;zoom=12#map=12/30.4847/47.8571","Maplink1")</f>
        <v>Maplink1</v>
      </c>
      <c r="AX736" s="88" t="str">
        <f>HYPERLINK("https://www.google.iq/maps/search/+30.4847,47.8571/@30.4847,47.8571,14z?hl=en","Maplink2")</f>
        <v>Maplink2</v>
      </c>
      <c r="AY736" s="88" t="str">
        <f>HYPERLINK("http://www.bing.com/maps/?lvl=14&amp;sty=h&amp;cp=30.4847~47.8571&amp;sp=point.30.4847_47.8571","Maplink3")</f>
        <v>Maplink3</v>
      </c>
      <c r="AZ736" s="76"/>
    </row>
    <row r="737" spans="1:52" x14ac:dyDescent="0.25">
      <c r="A737" s="86">
        <v>809</v>
      </c>
      <c r="B737" s="87" t="s">
        <v>15</v>
      </c>
      <c r="C737" s="87" t="s">
        <v>1456</v>
      </c>
      <c r="D737" s="87" t="s">
        <v>1487</v>
      </c>
      <c r="E737" s="87" t="s">
        <v>1488</v>
      </c>
      <c r="F737" s="87">
        <v>30.445104901400001</v>
      </c>
      <c r="G737" s="87">
        <v>47.995388753</v>
      </c>
      <c r="H737" s="86">
        <v>6</v>
      </c>
      <c r="I737" s="86">
        <v>36</v>
      </c>
      <c r="J737" s="87">
        <v>1</v>
      </c>
      <c r="K737" s="87"/>
      <c r="L737" s="87"/>
      <c r="M737" s="87"/>
      <c r="N737" s="87"/>
      <c r="O737" s="87"/>
      <c r="P737" s="87"/>
      <c r="Q737" s="87"/>
      <c r="R737" s="87">
        <v>3</v>
      </c>
      <c r="S737" s="87"/>
      <c r="T737" s="87"/>
      <c r="U737" s="87"/>
      <c r="V737" s="87">
        <v>1</v>
      </c>
      <c r="W737" s="87"/>
      <c r="X737" s="87">
        <v>1</v>
      </c>
      <c r="Y737" s="87"/>
      <c r="Z737" s="87"/>
      <c r="AA737" s="87"/>
      <c r="AB737" s="87"/>
      <c r="AC737" s="87">
        <v>5</v>
      </c>
      <c r="AD737" s="87"/>
      <c r="AE737" s="87"/>
      <c r="AF737" s="87"/>
      <c r="AG737" s="87"/>
      <c r="AH737" s="87">
        <v>1</v>
      </c>
      <c r="AI737" s="87"/>
      <c r="AJ737" s="87"/>
      <c r="AK737" s="87"/>
      <c r="AL737" s="87"/>
      <c r="AM737" s="87"/>
      <c r="AN737" s="87"/>
      <c r="AO737" s="87">
        <v>4</v>
      </c>
      <c r="AP737" s="87"/>
      <c r="AQ737" s="87"/>
      <c r="AR737" s="87">
        <v>2</v>
      </c>
      <c r="AS737" s="87"/>
      <c r="AT737" s="87"/>
      <c r="AU737" s="87"/>
      <c r="AV737" s="87"/>
      <c r="AW737" s="88" t="str">
        <f>HYPERLINK("http://www.openstreetmap.org/?mlat=30.4451&amp;mlon=47.9954&amp;zoom=12#map=12/30.4451/47.9954","Maplink1")</f>
        <v>Maplink1</v>
      </c>
      <c r="AX737" s="88" t="str">
        <f>HYPERLINK("https://www.google.iq/maps/search/+30.4451,47.9954/@30.4451,47.9954,14z?hl=en","Maplink2")</f>
        <v>Maplink2</v>
      </c>
      <c r="AY737" s="88" t="str">
        <f>HYPERLINK("http://www.bing.com/maps/?lvl=14&amp;sty=h&amp;cp=30.4451~47.9954&amp;sp=point.30.4451_47.9954","Maplink3")</f>
        <v>Maplink3</v>
      </c>
      <c r="AZ737" s="76"/>
    </row>
    <row r="738" spans="1:52" x14ac:dyDescent="0.25">
      <c r="A738" s="86">
        <v>512</v>
      </c>
      <c r="B738" s="87" t="s">
        <v>15</v>
      </c>
      <c r="C738" s="87" t="s">
        <v>1456</v>
      </c>
      <c r="D738" s="87" t="s">
        <v>1489</v>
      </c>
      <c r="E738" s="87" t="s">
        <v>1490</v>
      </c>
      <c r="F738" s="87">
        <v>30.456742668499999</v>
      </c>
      <c r="G738" s="87">
        <v>47.994095724200001</v>
      </c>
      <c r="H738" s="86">
        <v>9</v>
      </c>
      <c r="I738" s="86">
        <v>54</v>
      </c>
      <c r="J738" s="87">
        <v>2</v>
      </c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>
        <v>2</v>
      </c>
      <c r="W738" s="87"/>
      <c r="X738" s="87">
        <v>5</v>
      </c>
      <c r="Y738" s="87"/>
      <c r="Z738" s="87"/>
      <c r="AA738" s="87"/>
      <c r="AB738" s="87"/>
      <c r="AC738" s="87"/>
      <c r="AD738" s="87"/>
      <c r="AE738" s="87"/>
      <c r="AF738" s="87"/>
      <c r="AG738" s="87"/>
      <c r="AH738" s="87">
        <v>9</v>
      </c>
      <c r="AI738" s="87"/>
      <c r="AJ738" s="87"/>
      <c r="AK738" s="87"/>
      <c r="AL738" s="87"/>
      <c r="AM738" s="87"/>
      <c r="AN738" s="87"/>
      <c r="AO738" s="87">
        <v>5</v>
      </c>
      <c r="AP738" s="87"/>
      <c r="AQ738" s="87">
        <v>3</v>
      </c>
      <c r="AR738" s="87">
        <v>1</v>
      </c>
      <c r="AS738" s="87"/>
      <c r="AT738" s="87"/>
      <c r="AU738" s="87"/>
      <c r="AV738" s="87"/>
      <c r="AW738" s="88" t="str">
        <f>HYPERLINK("http://www.openstreetmap.org/?mlat=30.4567&amp;mlon=47.9941&amp;zoom=12#map=12/30.4567/47.9941","Maplink1")</f>
        <v>Maplink1</v>
      </c>
      <c r="AX738" s="88" t="str">
        <f>HYPERLINK("https://www.google.iq/maps/search/+30.4567,47.9941/@30.4567,47.9941,14z?hl=en","Maplink2")</f>
        <v>Maplink2</v>
      </c>
      <c r="AY738" s="88" t="str">
        <f>HYPERLINK("http://www.bing.com/maps/?lvl=14&amp;sty=h&amp;cp=30.4567~47.9941&amp;sp=point.30.4567_47.9941","Maplink3")</f>
        <v>Maplink3</v>
      </c>
      <c r="AZ738" s="76"/>
    </row>
    <row r="739" spans="1:52" x14ac:dyDescent="0.25">
      <c r="A739" s="86">
        <v>811</v>
      </c>
      <c r="B739" s="87" t="s">
        <v>15</v>
      </c>
      <c r="C739" s="87" t="s">
        <v>1456</v>
      </c>
      <c r="D739" s="87" t="s">
        <v>1491</v>
      </c>
      <c r="E739" s="87" t="s">
        <v>1492</v>
      </c>
      <c r="F739" s="87">
        <v>30.4492257884</v>
      </c>
      <c r="G739" s="87">
        <v>47.997116687999998</v>
      </c>
      <c r="H739" s="86">
        <v>11</v>
      </c>
      <c r="I739" s="86">
        <v>66</v>
      </c>
      <c r="J739" s="87">
        <v>2</v>
      </c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>
        <v>9</v>
      </c>
      <c r="Y739" s="87"/>
      <c r="Z739" s="87"/>
      <c r="AA739" s="87"/>
      <c r="AB739" s="87"/>
      <c r="AC739" s="87">
        <v>4</v>
      </c>
      <c r="AD739" s="87"/>
      <c r="AE739" s="87"/>
      <c r="AF739" s="87"/>
      <c r="AG739" s="87"/>
      <c r="AH739" s="87">
        <v>7</v>
      </c>
      <c r="AI739" s="87"/>
      <c r="AJ739" s="87"/>
      <c r="AK739" s="87"/>
      <c r="AL739" s="87"/>
      <c r="AM739" s="87"/>
      <c r="AN739" s="87">
        <v>2</v>
      </c>
      <c r="AO739" s="87">
        <v>2</v>
      </c>
      <c r="AP739" s="87">
        <v>2</v>
      </c>
      <c r="AQ739" s="87">
        <v>4</v>
      </c>
      <c r="AR739" s="87">
        <v>1</v>
      </c>
      <c r="AS739" s="87"/>
      <c r="AT739" s="87"/>
      <c r="AU739" s="87"/>
      <c r="AV739" s="87"/>
      <c r="AW739" s="88" t="str">
        <f>HYPERLINK("http://www.openstreetmap.org/?mlat=30.4492&amp;mlon=47.9971&amp;zoom=12#map=12/30.4492/47.9971","Maplink1")</f>
        <v>Maplink1</v>
      </c>
      <c r="AX739" s="88" t="str">
        <f>HYPERLINK("https://www.google.iq/maps/search/+30.4492,47.9971/@30.4492,47.9971,14z?hl=en","Maplink2")</f>
        <v>Maplink2</v>
      </c>
      <c r="AY739" s="88" t="str">
        <f>HYPERLINK("http://www.bing.com/maps/?lvl=14&amp;sty=h&amp;cp=30.4492~47.9971&amp;sp=point.30.4492_47.9971","Maplink3")</f>
        <v>Maplink3</v>
      </c>
      <c r="AZ739" s="76"/>
    </row>
    <row r="740" spans="1:52" x14ac:dyDescent="0.25">
      <c r="A740" s="86">
        <v>797</v>
      </c>
      <c r="B740" s="87" t="s">
        <v>15</v>
      </c>
      <c r="C740" s="87" t="s">
        <v>1456</v>
      </c>
      <c r="D740" s="87" t="s">
        <v>1493</v>
      </c>
      <c r="E740" s="87" t="s">
        <v>1494</v>
      </c>
      <c r="F740" s="87">
        <v>30.438631277199999</v>
      </c>
      <c r="G740" s="87">
        <v>47.987052485200003</v>
      </c>
      <c r="H740" s="86">
        <v>3</v>
      </c>
      <c r="I740" s="86">
        <v>18</v>
      </c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>
        <v>1</v>
      </c>
      <c r="W740" s="87"/>
      <c r="X740" s="87">
        <v>2</v>
      </c>
      <c r="Y740" s="87"/>
      <c r="Z740" s="87"/>
      <c r="AA740" s="87"/>
      <c r="AB740" s="87"/>
      <c r="AC740" s="87">
        <v>2</v>
      </c>
      <c r="AD740" s="87"/>
      <c r="AE740" s="87"/>
      <c r="AF740" s="87"/>
      <c r="AG740" s="87"/>
      <c r="AH740" s="87">
        <v>1</v>
      </c>
      <c r="AI740" s="87"/>
      <c r="AJ740" s="87"/>
      <c r="AK740" s="87"/>
      <c r="AL740" s="87"/>
      <c r="AM740" s="87"/>
      <c r="AN740" s="87"/>
      <c r="AO740" s="87"/>
      <c r="AP740" s="87"/>
      <c r="AQ740" s="87">
        <v>2</v>
      </c>
      <c r="AR740" s="87"/>
      <c r="AS740" s="87"/>
      <c r="AT740" s="87"/>
      <c r="AU740" s="87">
        <v>1</v>
      </c>
      <c r="AV740" s="87"/>
      <c r="AW740" s="88" t="str">
        <f>HYPERLINK("http://www.openstreetmap.org/?mlat=30.4386&amp;mlon=47.9871&amp;zoom=12#map=12/30.4386/47.9871","Maplink1")</f>
        <v>Maplink1</v>
      </c>
      <c r="AX740" s="88" t="str">
        <f>HYPERLINK("https://www.google.iq/maps/search/+30.4386,47.9871/@30.4386,47.9871,14z?hl=en","Maplink2")</f>
        <v>Maplink2</v>
      </c>
      <c r="AY740" s="88" t="str">
        <f>HYPERLINK("http://www.bing.com/maps/?lvl=14&amp;sty=h&amp;cp=30.4386~47.9871&amp;sp=point.30.4386_47.9871","Maplink3")</f>
        <v>Maplink3</v>
      </c>
      <c r="AZ740" s="76"/>
    </row>
    <row r="741" spans="1:52" x14ac:dyDescent="0.25">
      <c r="A741" s="86">
        <v>20783</v>
      </c>
      <c r="B741" s="87" t="s">
        <v>15</v>
      </c>
      <c r="C741" s="87" t="s">
        <v>1456</v>
      </c>
      <c r="D741" s="87" t="s">
        <v>1495</v>
      </c>
      <c r="E741" s="87" t="s">
        <v>1496</v>
      </c>
      <c r="F741" s="87">
        <v>30.4535116554</v>
      </c>
      <c r="G741" s="87">
        <v>47.989429757700002</v>
      </c>
      <c r="H741" s="86">
        <v>2</v>
      </c>
      <c r="I741" s="86">
        <v>12</v>
      </c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>
        <v>2</v>
      </c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>
        <v>2</v>
      </c>
      <c r="AI741" s="87"/>
      <c r="AJ741" s="87"/>
      <c r="AK741" s="87"/>
      <c r="AL741" s="87"/>
      <c r="AM741" s="87"/>
      <c r="AN741" s="87"/>
      <c r="AO741" s="87">
        <v>2</v>
      </c>
      <c r="AP741" s="87"/>
      <c r="AQ741" s="87"/>
      <c r="AR741" s="87"/>
      <c r="AS741" s="87"/>
      <c r="AT741" s="87"/>
      <c r="AU741" s="87"/>
      <c r="AV741" s="87"/>
      <c r="AW741" s="88" t="str">
        <f>HYPERLINK("http://www.openstreetmap.org/?mlat=30.4535&amp;mlon=47.9894&amp;zoom=12#map=12/30.4535/47.9894","Maplink1")</f>
        <v>Maplink1</v>
      </c>
      <c r="AX741" s="88" t="str">
        <f>HYPERLINK("https://www.google.iq/maps/search/+30.4535,47.9894/@30.4535,47.9894,14z?hl=en","Maplink2")</f>
        <v>Maplink2</v>
      </c>
      <c r="AY741" s="88" t="str">
        <f>HYPERLINK("http://www.bing.com/maps/?lvl=14&amp;sty=h&amp;cp=30.4535~47.9894&amp;sp=point.30.4535_47.9894","Maplink3")</f>
        <v>Maplink3</v>
      </c>
      <c r="AZ741" s="76"/>
    </row>
    <row r="742" spans="1:52" x14ac:dyDescent="0.25">
      <c r="A742" s="86">
        <v>592</v>
      </c>
      <c r="B742" s="87" t="s">
        <v>15</v>
      </c>
      <c r="C742" s="87" t="s">
        <v>1456</v>
      </c>
      <c r="D742" s="87" t="s">
        <v>1497</v>
      </c>
      <c r="E742" s="87" t="s">
        <v>1498</v>
      </c>
      <c r="F742" s="87">
        <v>30.454881619599998</v>
      </c>
      <c r="G742" s="87">
        <v>47.979118498200002</v>
      </c>
      <c r="H742" s="86">
        <v>1</v>
      </c>
      <c r="I742" s="86">
        <v>6</v>
      </c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>
        <v>1</v>
      </c>
      <c r="W742" s="87"/>
      <c r="X742" s="87"/>
      <c r="Y742" s="87"/>
      <c r="Z742" s="87"/>
      <c r="AA742" s="87"/>
      <c r="AB742" s="87"/>
      <c r="AC742" s="87">
        <v>1</v>
      </c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>
        <v>1</v>
      </c>
      <c r="AR742" s="87"/>
      <c r="AS742" s="87"/>
      <c r="AT742" s="87"/>
      <c r="AU742" s="87"/>
      <c r="AV742" s="87"/>
      <c r="AW742" s="88" t="str">
        <f>HYPERLINK("http://www.openstreetmap.org/?mlat=30.4549&amp;mlon=47.9791&amp;zoom=12#map=12/30.4549/47.9791","Maplink1")</f>
        <v>Maplink1</v>
      </c>
      <c r="AX742" s="88" t="str">
        <f>HYPERLINK("https://www.google.iq/maps/search/+30.4549,47.9791/@30.4549,47.9791,14z?hl=en","Maplink2")</f>
        <v>Maplink2</v>
      </c>
      <c r="AY742" s="88" t="str">
        <f>HYPERLINK("http://www.bing.com/maps/?lvl=14&amp;sty=h&amp;cp=30.4549~47.9791&amp;sp=point.30.4549_47.9791","Maplink3")</f>
        <v>Maplink3</v>
      </c>
      <c r="AZ742" s="76"/>
    </row>
    <row r="743" spans="1:52" x14ac:dyDescent="0.25">
      <c r="A743" s="86">
        <v>24480</v>
      </c>
      <c r="B743" s="87" t="s">
        <v>15</v>
      </c>
      <c r="C743" s="87" t="s">
        <v>1456</v>
      </c>
      <c r="D743" s="87" t="s">
        <v>1499</v>
      </c>
      <c r="E743" s="87" t="s">
        <v>1500</v>
      </c>
      <c r="F743" s="87">
        <v>30.4445509462</v>
      </c>
      <c r="G743" s="87">
        <v>48.0251211868</v>
      </c>
      <c r="H743" s="86">
        <v>1</v>
      </c>
      <c r="I743" s="86">
        <v>6</v>
      </c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>
        <v>1</v>
      </c>
      <c r="Y743" s="87"/>
      <c r="Z743" s="87"/>
      <c r="AA743" s="87"/>
      <c r="AB743" s="87"/>
      <c r="AC743" s="87"/>
      <c r="AD743" s="87"/>
      <c r="AE743" s="87"/>
      <c r="AF743" s="87"/>
      <c r="AG743" s="87"/>
      <c r="AH743" s="87">
        <v>1</v>
      </c>
      <c r="AI743" s="87"/>
      <c r="AJ743" s="87"/>
      <c r="AK743" s="87"/>
      <c r="AL743" s="87"/>
      <c r="AM743" s="87"/>
      <c r="AN743" s="87"/>
      <c r="AO743" s="87"/>
      <c r="AP743" s="87">
        <v>1</v>
      </c>
      <c r="AQ743" s="87"/>
      <c r="AR743" s="87"/>
      <c r="AS743" s="87"/>
      <c r="AT743" s="87"/>
      <c r="AU743" s="87"/>
      <c r="AV743" s="87"/>
      <c r="AW743" s="88" t="str">
        <f>HYPERLINK("http://www.openstreetmap.org/?mlat=30.4446&amp;mlon=48.0251&amp;zoom=12#map=12/30.4446/48.0251","Maplink1")</f>
        <v>Maplink1</v>
      </c>
      <c r="AX743" s="88" t="str">
        <f>HYPERLINK("https://www.google.iq/maps/search/+30.4446,48.0251/@30.4446,48.0251,14z?hl=en","Maplink2")</f>
        <v>Maplink2</v>
      </c>
      <c r="AY743" s="88" t="str">
        <f>HYPERLINK("http://www.bing.com/maps/?lvl=14&amp;sty=h&amp;cp=30.4446~48.0251&amp;sp=point.30.4446_48.0251","Maplink3")</f>
        <v>Maplink3</v>
      </c>
      <c r="AZ743" s="76"/>
    </row>
    <row r="744" spans="1:52" x14ac:dyDescent="0.25">
      <c r="A744" s="86">
        <v>381</v>
      </c>
      <c r="B744" s="87" t="s">
        <v>15</v>
      </c>
      <c r="C744" s="87" t="s">
        <v>1456</v>
      </c>
      <c r="D744" s="87" t="s">
        <v>1501</v>
      </c>
      <c r="E744" s="87" t="s">
        <v>1502</v>
      </c>
      <c r="F744" s="87">
        <v>30.456778641100001</v>
      </c>
      <c r="G744" s="87">
        <v>47.891802576899998</v>
      </c>
      <c r="H744" s="86">
        <v>36</v>
      </c>
      <c r="I744" s="86">
        <v>216</v>
      </c>
      <c r="J744" s="87">
        <v>9</v>
      </c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>
        <v>13</v>
      </c>
      <c r="W744" s="87"/>
      <c r="X744" s="87">
        <v>14</v>
      </c>
      <c r="Y744" s="87"/>
      <c r="Z744" s="87"/>
      <c r="AA744" s="87"/>
      <c r="AB744" s="87"/>
      <c r="AC744" s="87">
        <v>13</v>
      </c>
      <c r="AD744" s="87"/>
      <c r="AE744" s="87"/>
      <c r="AF744" s="87"/>
      <c r="AG744" s="87"/>
      <c r="AH744" s="87">
        <v>23</v>
      </c>
      <c r="AI744" s="87"/>
      <c r="AJ744" s="87"/>
      <c r="AK744" s="87"/>
      <c r="AL744" s="87"/>
      <c r="AM744" s="87"/>
      <c r="AN744" s="87"/>
      <c r="AO744" s="87">
        <v>22</v>
      </c>
      <c r="AP744" s="87">
        <v>4</v>
      </c>
      <c r="AQ744" s="87">
        <v>6</v>
      </c>
      <c r="AR744" s="87">
        <v>2</v>
      </c>
      <c r="AS744" s="87"/>
      <c r="AT744" s="87">
        <v>2</v>
      </c>
      <c r="AU744" s="87"/>
      <c r="AV744" s="87"/>
      <c r="AW744" s="88" t="str">
        <f>HYPERLINK("http://www.openstreetmap.org/?mlat=30.4568&amp;mlon=47.8918&amp;zoom=12#map=12/30.4568/47.8918","Maplink1")</f>
        <v>Maplink1</v>
      </c>
      <c r="AX744" s="88" t="str">
        <f>HYPERLINK("https://www.google.iq/maps/search/+30.4568,47.8918/@30.4568,47.8918,14z?hl=en","Maplink2")</f>
        <v>Maplink2</v>
      </c>
      <c r="AY744" s="88" t="str">
        <f>HYPERLINK("http://www.bing.com/maps/?lvl=14&amp;sty=h&amp;cp=30.4568~47.8918&amp;sp=point.30.4568_47.8918","Maplink3")</f>
        <v>Maplink3</v>
      </c>
      <c r="AZ744" s="76"/>
    </row>
    <row r="745" spans="1:52" x14ac:dyDescent="0.25">
      <c r="A745" s="86">
        <v>505</v>
      </c>
      <c r="B745" s="87" t="s">
        <v>15</v>
      </c>
      <c r="C745" s="87" t="s">
        <v>1456</v>
      </c>
      <c r="D745" s="87" t="s">
        <v>1503</v>
      </c>
      <c r="E745" s="87" t="s">
        <v>1504</v>
      </c>
      <c r="F745" s="87">
        <v>30.440313872800001</v>
      </c>
      <c r="G745" s="87">
        <v>47.942408477100003</v>
      </c>
      <c r="H745" s="86">
        <v>17</v>
      </c>
      <c r="I745" s="86">
        <v>102</v>
      </c>
      <c r="J745" s="87">
        <v>4</v>
      </c>
      <c r="K745" s="87"/>
      <c r="L745" s="87"/>
      <c r="M745" s="87"/>
      <c r="N745" s="87"/>
      <c r="O745" s="87"/>
      <c r="P745" s="87"/>
      <c r="Q745" s="87"/>
      <c r="R745" s="87">
        <v>8</v>
      </c>
      <c r="S745" s="87"/>
      <c r="T745" s="87"/>
      <c r="U745" s="87"/>
      <c r="V745" s="87"/>
      <c r="W745" s="87"/>
      <c r="X745" s="87">
        <v>5</v>
      </c>
      <c r="Y745" s="87"/>
      <c r="Z745" s="87"/>
      <c r="AA745" s="87"/>
      <c r="AB745" s="87"/>
      <c r="AC745" s="87">
        <v>3</v>
      </c>
      <c r="AD745" s="87"/>
      <c r="AE745" s="87"/>
      <c r="AF745" s="87"/>
      <c r="AG745" s="87"/>
      <c r="AH745" s="87">
        <v>14</v>
      </c>
      <c r="AI745" s="87"/>
      <c r="AJ745" s="87"/>
      <c r="AK745" s="87"/>
      <c r="AL745" s="87"/>
      <c r="AM745" s="87"/>
      <c r="AN745" s="87">
        <v>1</v>
      </c>
      <c r="AO745" s="87">
        <v>7</v>
      </c>
      <c r="AP745" s="87">
        <v>1</v>
      </c>
      <c r="AQ745" s="87">
        <v>6</v>
      </c>
      <c r="AR745" s="87">
        <v>2</v>
      </c>
      <c r="AS745" s="87"/>
      <c r="AT745" s="87"/>
      <c r="AU745" s="87"/>
      <c r="AV745" s="87"/>
      <c r="AW745" s="88" t="str">
        <f>HYPERLINK("http://www.openstreetmap.org/?mlat=30.4403&amp;mlon=47.9424&amp;zoom=12#map=12/30.4403/47.9424","Maplink1")</f>
        <v>Maplink1</v>
      </c>
      <c r="AX745" s="88" t="str">
        <f>HYPERLINK("https://www.google.iq/maps/search/+30.4403,47.9424/@30.4403,47.9424,14z?hl=en","Maplink2")</f>
        <v>Maplink2</v>
      </c>
      <c r="AY745" s="88" t="str">
        <f>HYPERLINK("http://www.bing.com/maps/?lvl=14&amp;sty=h&amp;cp=30.4403~47.9424&amp;sp=point.30.4403_47.9424","Maplink3")</f>
        <v>Maplink3</v>
      </c>
      <c r="AZ745" s="76"/>
    </row>
    <row r="746" spans="1:52" x14ac:dyDescent="0.25">
      <c r="A746" s="86">
        <v>835</v>
      </c>
      <c r="B746" s="87" t="s">
        <v>15</v>
      </c>
      <c r="C746" s="87" t="s">
        <v>1456</v>
      </c>
      <c r="D746" s="87" t="s">
        <v>1505</v>
      </c>
      <c r="E746" s="87" t="s">
        <v>1506</v>
      </c>
      <c r="F746" s="87">
        <v>30.453705714400002</v>
      </c>
      <c r="G746" s="87">
        <v>48.003661196000003</v>
      </c>
      <c r="H746" s="86">
        <v>1</v>
      </c>
      <c r="I746" s="86">
        <v>6</v>
      </c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>
        <v>1</v>
      </c>
      <c r="Y746" s="87"/>
      <c r="Z746" s="87"/>
      <c r="AA746" s="87"/>
      <c r="AB746" s="87"/>
      <c r="AC746" s="87"/>
      <c r="AD746" s="87"/>
      <c r="AE746" s="87"/>
      <c r="AF746" s="87"/>
      <c r="AG746" s="87"/>
      <c r="AH746" s="87">
        <v>1</v>
      </c>
      <c r="AI746" s="87"/>
      <c r="AJ746" s="87"/>
      <c r="AK746" s="87"/>
      <c r="AL746" s="87"/>
      <c r="AM746" s="87"/>
      <c r="AN746" s="87"/>
      <c r="AO746" s="87">
        <v>1</v>
      </c>
      <c r="AP746" s="87"/>
      <c r="AQ746" s="87"/>
      <c r="AR746" s="87"/>
      <c r="AS746" s="87"/>
      <c r="AT746" s="87"/>
      <c r="AU746" s="87"/>
      <c r="AV746" s="87"/>
      <c r="AW746" s="88" t="str">
        <f>HYPERLINK("http://www.openstreetmap.org/?mlat=30.4537&amp;mlon=48.0037&amp;zoom=12#map=12/30.4537/48.0037","Maplink1")</f>
        <v>Maplink1</v>
      </c>
      <c r="AX746" s="88" t="str">
        <f>HYPERLINK("https://www.google.iq/maps/search/+30.4537,48.0037/@30.4537,48.0037,14z?hl=en","Maplink2")</f>
        <v>Maplink2</v>
      </c>
      <c r="AY746" s="88" t="str">
        <f>HYPERLINK("http://www.bing.com/maps/?lvl=14&amp;sty=h&amp;cp=30.4537~48.0037&amp;sp=point.30.4537_48.0037","Maplink3")</f>
        <v>Maplink3</v>
      </c>
      <c r="AZ746" s="76"/>
    </row>
    <row r="747" spans="1:52" x14ac:dyDescent="0.25">
      <c r="A747" s="86">
        <v>832</v>
      </c>
      <c r="B747" s="87" t="s">
        <v>15</v>
      </c>
      <c r="C747" s="87" t="s">
        <v>1456</v>
      </c>
      <c r="D747" s="87" t="s">
        <v>1507</v>
      </c>
      <c r="E747" s="87" t="s">
        <v>1508</v>
      </c>
      <c r="F747" s="87">
        <v>30.452100337400001</v>
      </c>
      <c r="G747" s="87">
        <v>47.991015190299997</v>
      </c>
      <c r="H747" s="86">
        <v>4</v>
      </c>
      <c r="I747" s="86">
        <v>24</v>
      </c>
      <c r="J747" s="87">
        <v>2</v>
      </c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>
        <v>2</v>
      </c>
      <c r="Y747" s="87"/>
      <c r="Z747" s="87"/>
      <c r="AA747" s="87"/>
      <c r="AB747" s="87"/>
      <c r="AC747" s="87"/>
      <c r="AD747" s="87"/>
      <c r="AE747" s="87"/>
      <c r="AF747" s="87"/>
      <c r="AG747" s="87"/>
      <c r="AH747" s="87">
        <v>4</v>
      </c>
      <c r="AI747" s="87"/>
      <c r="AJ747" s="87"/>
      <c r="AK747" s="87"/>
      <c r="AL747" s="87"/>
      <c r="AM747" s="87"/>
      <c r="AN747" s="87">
        <v>2</v>
      </c>
      <c r="AO747" s="87"/>
      <c r="AP747" s="87"/>
      <c r="AQ747" s="87">
        <v>2</v>
      </c>
      <c r="AR747" s="87"/>
      <c r="AS747" s="87"/>
      <c r="AT747" s="87"/>
      <c r="AU747" s="87"/>
      <c r="AV747" s="87"/>
      <c r="AW747" s="88" t="str">
        <f>HYPERLINK("http://www.openstreetmap.org/?mlat=30.4521&amp;mlon=47.991&amp;zoom=12#map=12/30.4521/47.991","Maplink1")</f>
        <v>Maplink1</v>
      </c>
      <c r="AX747" s="88" t="str">
        <f>HYPERLINK("https://www.google.iq/maps/search/+30.4521,47.991/@30.4521,47.991,14z?hl=en","Maplink2")</f>
        <v>Maplink2</v>
      </c>
      <c r="AY747" s="88" t="str">
        <f>HYPERLINK("http://www.bing.com/maps/?lvl=14&amp;sty=h&amp;cp=30.4521~47.991&amp;sp=point.30.4521_47.991","Maplink3")</f>
        <v>Maplink3</v>
      </c>
      <c r="AZ747" s="76"/>
    </row>
    <row r="748" spans="1:52" x14ac:dyDescent="0.25">
      <c r="A748" s="86">
        <v>24158</v>
      </c>
      <c r="B748" s="87" t="s">
        <v>15</v>
      </c>
      <c r="C748" s="87" t="s">
        <v>1456</v>
      </c>
      <c r="D748" s="87" t="s">
        <v>1509</v>
      </c>
      <c r="E748" s="87" t="s">
        <v>1510</v>
      </c>
      <c r="F748" s="87">
        <v>30.447776491300001</v>
      </c>
      <c r="G748" s="87">
        <v>47.909815676800001</v>
      </c>
      <c r="H748" s="86">
        <v>8</v>
      </c>
      <c r="I748" s="86">
        <v>48</v>
      </c>
      <c r="J748" s="87">
        <v>1</v>
      </c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>
        <v>3</v>
      </c>
      <c r="W748" s="87"/>
      <c r="X748" s="87">
        <v>4</v>
      </c>
      <c r="Y748" s="87"/>
      <c r="Z748" s="87"/>
      <c r="AA748" s="87"/>
      <c r="AB748" s="87"/>
      <c r="AC748" s="87">
        <v>3</v>
      </c>
      <c r="AD748" s="87"/>
      <c r="AE748" s="87"/>
      <c r="AF748" s="87"/>
      <c r="AG748" s="87"/>
      <c r="AH748" s="87">
        <v>5</v>
      </c>
      <c r="AI748" s="87"/>
      <c r="AJ748" s="87"/>
      <c r="AK748" s="87"/>
      <c r="AL748" s="87"/>
      <c r="AM748" s="87"/>
      <c r="AN748" s="87">
        <v>2</v>
      </c>
      <c r="AO748" s="87">
        <v>2</v>
      </c>
      <c r="AP748" s="87">
        <v>1</v>
      </c>
      <c r="AQ748" s="87"/>
      <c r="AR748" s="87"/>
      <c r="AS748" s="87"/>
      <c r="AT748" s="87">
        <v>3</v>
      </c>
      <c r="AU748" s="87"/>
      <c r="AV748" s="87"/>
      <c r="AW748" s="88" t="str">
        <f>HYPERLINK("http://www.openstreetmap.org/?mlat=30.4478&amp;mlon=47.9098&amp;zoom=12#map=12/30.4478/47.9098","Maplink1")</f>
        <v>Maplink1</v>
      </c>
      <c r="AX748" s="88" t="str">
        <f>HYPERLINK("https://www.google.iq/maps/search/+30.4478,47.9098/@30.4478,47.9098,14z?hl=en","Maplink2")</f>
        <v>Maplink2</v>
      </c>
      <c r="AY748" s="88" t="str">
        <f>HYPERLINK("http://www.bing.com/maps/?lvl=14&amp;sty=h&amp;cp=30.4478~47.9098&amp;sp=point.30.4478_47.9098","Maplink3")</f>
        <v>Maplink3</v>
      </c>
      <c r="AZ748" s="76"/>
    </row>
    <row r="749" spans="1:52" x14ac:dyDescent="0.25">
      <c r="A749" s="86">
        <v>813</v>
      </c>
      <c r="B749" s="87" t="s">
        <v>15</v>
      </c>
      <c r="C749" s="87" t="s">
        <v>1456</v>
      </c>
      <c r="D749" s="87" t="s">
        <v>1511</v>
      </c>
      <c r="E749" s="87" t="s">
        <v>1512</v>
      </c>
      <c r="F749" s="87">
        <v>30.464597483199999</v>
      </c>
      <c r="G749" s="87">
        <v>47.890898693600001</v>
      </c>
      <c r="H749" s="86">
        <v>1</v>
      </c>
      <c r="I749" s="86">
        <v>6</v>
      </c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>
        <v>1</v>
      </c>
      <c r="Y749" s="87"/>
      <c r="Z749" s="87"/>
      <c r="AA749" s="87"/>
      <c r="AB749" s="87"/>
      <c r="AC749" s="87">
        <v>1</v>
      </c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>
        <v>1</v>
      </c>
      <c r="AP749" s="87"/>
      <c r="AQ749" s="87"/>
      <c r="AR749" s="87"/>
      <c r="AS749" s="87"/>
      <c r="AT749" s="87"/>
      <c r="AU749" s="87"/>
      <c r="AV749" s="87"/>
      <c r="AW749" s="88" t="str">
        <f>HYPERLINK("http://www.openstreetmap.org/?mlat=30.4646&amp;mlon=47.8909&amp;zoom=12#map=12/30.4646/47.8909","Maplink1")</f>
        <v>Maplink1</v>
      </c>
      <c r="AX749" s="88" t="str">
        <f>HYPERLINK("https://www.google.iq/maps/search/+30.4646,47.8909/@30.4646,47.8909,14z?hl=en","Maplink2")</f>
        <v>Maplink2</v>
      </c>
      <c r="AY749" s="88" t="str">
        <f>HYPERLINK("http://www.bing.com/maps/?lvl=14&amp;sty=h&amp;cp=30.4646~47.8909&amp;sp=point.30.4646_47.8909","Maplink3")</f>
        <v>Maplink3</v>
      </c>
      <c r="AZ749" s="76"/>
    </row>
    <row r="750" spans="1:52" x14ac:dyDescent="0.25">
      <c r="A750" s="86">
        <v>22266</v>
      </c>
      <c r="B750" s="87" t="s">
        <v>15</v>
      </c>
      <c r="C750" s="87" t="s">
        <v>1456</v>
      </c>
      <c r="D750" s="87" t="s">
        <v>1513</v>
      </c>
      <c r="E750" s="87" t="s">
        <v>1514</v>
      </c>
      <c r="F750" s="87">
        <v>30.319220177199998</v>
      </c>
      <c r="G750" s="87">
        <v>48.245142126700003</v>
      </c>
      <c r="H750" s="86">
        <v>2</v>
      </c>
      <c r="I750" s="86">
        <v>12</v>
      </c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>
        <v>2</v>
      </c>
      <c r="W750" s="87"/>
      <c r="X750" s="87"/>
      <c r="Y750" s="87"/>
      <c r="Z750" s="87"/>
      <c r="AA750" s="87"/>
      <c r="AB750" s="87"/>
      <c r="AC750" s="87">
        <v>2</v>
      </c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>
        <v>2</v>
      </c>
      <c r="AQ750" s="87"/>
      <c r="AR750" s="87"/>
      <c r="AS750" s="87"/>
      <c r="AT750" s="87"/>
      <c r="AU750" s="87"/>
      <c r="AV750" s="87"/>
      <c r="AW750" s="88" t="str">
        <f>HYPERLINK("http://www.openstreetmap.org/?mlat=30.3192&amp;mlon=48.2451&amp;zoom=12#map=12/30.3192/48.2451","Maplink1")</f>
        <v>Maplink1</v>
      </c>
      <c r="AX750" s="88" t="str">
        <f>HYPERLINK("https://www.google.iq/maps/search/+30.3192,48.2451/@30.3192,48.2451,14z?hl=en","Maplink2")</f>
        <v>Maplink2</v>
      </c>
      <c r="AY750" s="88" t="str">
        <f>HYPERLINK("http://www.bing.com/maps/?lvl=14&amp;sty=h&amp;cp=30.3192~48.2451&amp;sp=point.30.3192_48.2451","Maplink3")</f>
        <v>Maplink3</v>
      </c>
      <c r="AZ750" s="76"/>
    </row>
    <row r="751" spans="1:52" x14ac:dyDescent="0.25">
      <c r="A751" s="86">
        <v>583</v>
      </c>
      <c r="B751" s="87" t="s">
        <v>15</v>
      </c>
      <c r="C751" s="87" t="s">
        <v>1456</v>
      </c>
      <c r="D751" s="87" t="s">
        <v>1515</v>
      </c>
      <c r="E751" s="87" t="s">
        <v>1516</v>
      </c>
      <c r="F751" s="87">
        <v>30.460837313300001</v>
      </c>
      <c r="G751" s="87">
        <v>47.9294944504</v>
      </c>
      <c r="H751" s="86">
        <v>10</v>
      </c>
      <c r="I751" s="86">
        <v>60</v>
      </c>
      <c r="J751" s="87">
        <v>7</v>
      </c>
      <c r="K751" s="87"/>
      <c r="L751" s="87"/>
      <c r="M751" s="87"/>
      <c r="N751" s="87"/>
      <c r="O751" s="87"/>
      <c r="P751" s="87"/>
      <c r="Q751" s="87"/>
      <c r="R751" s="87">
        <v>3</v>
      </c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>
        <v>3</v>
      </c>
      <c r="AD751" s="87"/>
      <c r="AE751" s="87"/>
      <c r="AF751" s="87"/>
      <c r="AG751" s="87"/>
      <c r="AH751" s="87">
        <v>7</v>
      </c>
      <c r="AI751" s="87"/>
      <c r="AJ751" s="87"/>
      <c r="AK751" s="87"/>
      <c r="AL751" s="87"/>
      <c r="AM751" s="87"/>
      <c r="AN751" s="87">
        <v>1</v>
      </c>
      <c r="AO751" s="87"/>
      <c r="AP751" s="87">
        <v>3</v>
      </c>
      <c r="AQ751" s="87">
        <v>6</v>
      </c>
      <c r="AR751" s="87"/>
      <c r="AS751" s="87"/>
      <c r="AT751" s="87"/>
      <c r="AU751" s="87"/>
      <c r="AV751" s="87"/>
      <c r="AW751" s="88" t="str">
        <f>HYPERLINK("http://www.openstreetmap.org/?mlat=30.4608&amp;mlon=47.9295&amp;zoom=12#map=12/30.4608/47.9295","Maplink1")</f>
        <v>Maplink1</v>
      </c>
      <c r="AX751" s="88" t="str">
        <f>HYPERLINK("https://www.google.iq/maps/search/+30.4608,47.9295/@30.4608,47.9295,14z?hl=en","Maplink2")</f>
        <v>Maplink2</v>
      </c>
      <c r="AY751" s="88" t="str">
        <f>HYPERLINK("http://www.bing.com/maps/?lvl=14&amp;sty=h&amp;cp=30.4608~47.9295&amp;sp=point.30.4608_47.9295","Maplink3")</f>
        <v>Maplink3</v>
      </c>
      <c r="AZ751" s="76"/>
    </row>
    <row r="752" spans="1:52" x14ac:dyDescent="0.25">
      <c r="A752" s="86">
        <v>24526</v>
      </c>
      <c r="B752" s="87" t="s">
        <v>15</v>
      </c>
      <c r="C752" s="87" t="s">
        <v>1456</v>
      </c>
      <c r="D752" s="87" t="s">
        <v>1517</v>
      </c>
      <c r="E752" s="87" t="s">
        <v>1518</v>
      </c>
      <c r="F752" s="87">
        <v>30.46856738</v>
      </c>
      <c r="G752" s="87">
        <v>47.879494793299997</v>
      </c>
      <c r="H752" s="86">
        <v>12</v>
      </c>
      <c r="I752" s="86">
        <v>72</v>
      </c>
      <c r="J752" s="87">
        <v>1</v>
      </c>
      <c r="K752" s="87"/>
      <c r="L752" s="87">
        <v>1</v>
      </c>
      <c r="M752" s="87"/>
      <c r="N752" s="87"/>
      <c r="O752" s="87"/>
      <c r="P752" s="87"/>
      <c r="Q752" s="87"/>
      <c r="R752" s="87"/>
      <c r="S752" s="87"/>
      <c r="T752" s="87"/>
      <c r="U752" s="87"/>
      <c r="V752" s="87">
        <v>3</v>
      </c>
      <c r="W752" s="87"/>
      <c r="X752" s="87">
        <v>7</v>
      </c>
      <c r="Y752" s="87"/>
      <c r="Z752" s="87"/>
      <c r="AA752" s="87"/>
      <c r="AB752" s="87"/>
      <c r="AC752" s="87">
        <v>2</v>
      </c>
      <c r="AD752" s="87"/>
      <c r="AE752" s="87"/>
      <c r="AF752" s="87"/>
      <c r="AG752" s="87"/>
      <c r="AH752" s="87">
        <v>10</v>
      </c>
      <c r="AI752" s="87"/>
      <c r="AJ752" s="87"/>
      <c r="AK752" s="87"/>
      <c r="AL752" s="87"/>
      <c r="AM752" s="87"/>
      <c r="AN752" s="87"/>
      <c r="AO752" s="87">
        <v>3</v>
      </c>
      <c r="AP752" s="87">
        <v>3</v>
      </c>
      <c r="AQ752" s="87">
        <v>5</v>
      </c>
      <c r="AR752" s="87"/>
      <c r="AS752" s="87"/>
      <c r="AT752" s="87"/>
      <c r="AU752" s="87">
        <v>1</v>
      </c>
      <c r="AV752" s="87"/>
      <c r="AW752" s="88" t="str">
        <f>HYPERLINK("http://www.openstreetmap.org/?mlat=30.4686&amp;mlon=47.8795&amp;zoom=12#map=12/30.4686/47.8795","Maplink1")</f>
        <v>Maplink1</v>
      </c>
      <c r="AX752" s="88" t="str">
        <f>HYPERLINK("https://www.google.iq/maps/search/+30.4686,47.8795/@30.4686,47.8795,14z?hl=en","Maplink2")</f>
        <v>Maplink2</v>
      </c>
      <c r="AY752" s="88" t="str">
        <f>HYPERLINK("http://www.bing.com/maps/?lvl=14&amp;sty=h&amp;cp=30.4686~47.8795&amp;sp=point.30.4686_47.8795","Maplink3")</f>
        <v>Maplink3</v>
      </c>
      <c r="AZ752" s="76"/>
    </row>
    <row r="753" spans="1:52" x14ac:dyDescent="0.25">
      <c r="A753" s="86">
        <v>599</v>
      </c>
      <c r="B753" s="87" t="s">
        <v>15</v>
      </c>
      <c r="C753" s="87" t="s">
        <v>1456</v>
      </c>
      <c r="D753" s="87" t="s">
        <v>1519</v>
      </c>
      <c r="E753" s="87" t="s">
        <v>1520</v>
      </c>
      <c r="F753" s="87">
        <v>30.457098786900001</v>
      </c>
      <c r="G753" s="87">
        <v>47.969832474999997</v>
      </c>
      <c r="H753" s="86">
        <v>2</v>
      </c>
      <c r="I753" s="86">
        <v>12</v>
      </c>
      <c r="J753" s="87">
        <v>1</v>
      </c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>
        <v>1</v>
      </c>
      <c r="W753" s="87"/>
      <c r="X753" s="87"/>
      <c r="Y753" s="87"/>
      <c r="Z753" s="87"/>
      <c r="AA753" s="87"/>
      <c r="AB753" s="87"/>
      <c r="AC753" s="87">
        <v>1</v>
      </c>
      <c r="AD753" s="87"/>
      <c r="AE753" s="87"/>
      <c r="AF753" s="87"/>
      <c r="AG753" s="87"/>
      <c r="AH753" s="87">
        <v>1</v>
      </c>
      <c r="AI753" s="87"/>
      <c r="AJ753" s="87"/>
      <c r="AK753" s="87"/>
      <c r="AL753" s="87"/>
      <c r="AM753" s="87"/>
      <c r="AN753" s="87">
        <v>1</v>
      </c>
      <c r="AO753" s="87"/>
      <c r="AP753" s="87"/>
      <c r="AQ753" s="87"/>
      <c r="AR753" s="87"/>
      <c r="AS753" s="87"/>
      <c r="AT753" s="87">
        <v>1</v>
      </c>
      <c r="AU753" s="87"/>
      <c r="AV753" s="87"/>
      <c r="AW753" s="88" t="str">
        <f>HYPERLINK("http://www.openstreetmap.org/?mlat=30.4571&amp;mlon=47.9698&amp;zoom=12#map=12/30.4571/47.9698","Maplink1")</f>
        <v>Maplink1</v>
      </c>
      <c r="AX753" s="88" t="str">
        <f>HYPERLINK("https://www.google.iq/maps/search/+30.4571,47.9698/@30.4571,47.9698,14z?hl=en","Maplink2")</f>
        <v>Maplink2</v>
      </c>
      <c r="AY753" s="88" t="str">
        <f>HYPERLINK("http://www.bing.com/maps/?lvl=14&amp;sty=h&amp;cp=30.4571~47.9698&amp;sp=point.30.4571_47.9698","Maplink3")</f>
        <v>Maplink3</v>
      </c>
      <c r="AZ753" s="76"/>
    </row>
    <row r="754" spans="1:52" x14ac:dyDescent="0.25">
      <c r="A754" s="86">
        <v>622</v>
      </c>
      <c r="B754" s="87" t="s">
        <v>15</v>
      </c>
      <c r="C754" s="87" t="s">
        <v>1456</v>
      </c>
      <c r="D754" s="87" t="s">
        <v>1521</v>
      </c>
      <c r="E754" s="87" t="s">
        <v>1522</v>
      </c>
      <c r="F754" s="87">
        <v>30.4710742651</v>
      </c>
      <c r="G754" s="87">
        <v>47.897395911899999</v>
      </c>
      <c r="H754" s="86">
        <v>7</v>
      </c>
      <c r="I754" s="86">
        <v>42</v>
      </c>
      <c r="J754" s="87">
        <v>4</v>
      </c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>
        <v>3</v>
      </c>
      <c r="Y754" s="87"/>
      <c r="Z754" s="87"/>
      <c r="AA754" s="87"/>
      <c r="AB754" s="87"/>
      <c r="AC754" s="87">
        <v>2</v>
      </c>
      <c r="AD754" s="87"/>
      <c r="AE754" s="87"/>
      <c r="AF754" s="87"/>
      <c r="AG754" s="87"/>
      <c r="AH754" s="87">
        <v>4</v>
      </c>
      <c r="AI754" s="87"/>
      <c r="AJ754" s="87">
        <v>1</v>
      </c>
      <c r="AK754" s="87"/>
      <c r="AL754" s="87"/>
      <c r="AM754" s="87"/>
      <c r="AN754" s="87">
        <v>1</v>
      </c>
      <c r="AO754" s="87">
        <v>1</v>
      </c>
      <c r="AP754" s="87"/>
      <c r="AQ754" s="87">
        <v>5</v>
      </c>
      <c r="AR754" s="87"/>
      <c r="AS754" s="87"/>
      <c r="AT754" s="87"/>
      <c r="AU754" s="87"/>
      <c r="AV754" s="87"/>
      <c r="AW754" s="88" t="str">
        <f>HYPERLINK("http://www.openstreetmap.org/?mlat=30.4711&amp;mlon=47.8974&amp;zoom=12#map=12/30.4711/47.8974","Maplink1")</f>
        <v>Maplink1</v>
      </c>
      <c r="AX754" s="88" t="str">
        <f>HYPERLINK("https://www.google.iq/maps/search/+30.4711,47.8974/@30.4711,47.8974,14z?hl=en","Maplink2")</f>
        <v>Maplink2</v>
      </c>
      <c r="AY754" s="88" t="str">
        <f>HYPERLINK("http://www.bing.com/maps/?lvl=14&amp;sty=h&amp;cp=30.4711~47.8974&amp;sp=point.30.4711_47.8974","Maplink3")</f>
        <v>Maplink3</v>
      </c>
      <c r="AZ754" s="76"/>
    </row>
    <row r="755" spans="1:52" x14ac:dyDescent="0.25">
      <c r="A755" s="86">
        <v>1168</v>
      </c>
      <c r="B755" s="87" t="s">
        <v>15</v>
      </c>
      <c r="C755" s="87" t="s">
        <v>1523</v>
      </c>
      <c r="D755" s="87" t="s">
        <v>1524</v>
      </c>
      <c r="E755" s="87" t="s">
        <v>1525</v>
      </c>
      <c r="F755" s="87">
        <v>30.9429956</v>
      </c>
      <c r="G755" s="87">
        <v>47.259065872900003</v>
      </c>
      <c r="H755" s="86">
        <v>7</v>
      </c>
      <c r="I755" s="86">
        <v>42</v>
      </c>
      <c r="J755" s="87"/>
      <c r="K755" s="87"/>
      <c r="L755" s="87"/>
      <c r="M755" s="87"/>
      <c r="N755" s="87"/>
      <c r="O755" s="87">
        <v>2</v>
      </c>
      <c r="P755" s="87"/>
      <c r="Q755" s="87"/>
      <c r="R755" s="87"/>
      <c r="S755" s="87"/>
      <c r="T755" s="87"/>
      <c r="U755" s="87"/>
      <c r="V755" s="87">
        <v>2</v>
      </c>
      <c r="W755" s="87"/>
      <c r="X755" s="87">
        <v>3</v>
      </c>
      <c r="Y755" s="87"/>
      <c r="Z755" s="87"/>
      <c r="AA755" s="87"/>
      <c r="AB755" s="87"/>
      <c r="AC755" s="87">
        <v>1</v>
      </c>
      <c r="AD755" s="87"/>
      <c r="AE755" s="87"/>
      <c r="AF755" s="87"/>
      <c r="AG755" s="87"/>
      <c r="AH755" s="87">
        <v>6</v>
      </c>
      <c r="AI755" s="87"/>
      <c r="AJ755" s="87"/>
      <c r="AK755" s="87"/>
      <c r="AL755" s="87"/>
      <c r="AM755" s="87"/>
      <c r="AN755" s="87"/>
      <c r="AO755" s="87">
        <v>2</v>
      </c>
      <c r="AP755" s="87"/>
      <c r="AQ755" s="87">
        <v>4</v>
      </c>
      <c r="AR755" s="87"/>
      <c r="AS755" s="87">
        <v>1</v>
      </c>
      <c r="AT755" s="87"/>
      <c r="AU755" s="87"/>
      <c r="AV755" s="87"/>
      <c r="AW755" s="88" t="str">
        <f>HYPERLINK("http://www.openstreetmap.org/?mlat=30.943&amp;mlon=47.2591&amp;zoom=12#map=12/30.943/47.2591","Maplink1")</f>
        <v>Maplink1</v>
      </c>
      <c r="AX755" s="88" t="str">
        <f>HYPERLINK("https://www.google.iq/maps/search/+30.943,47.2591/@30.943,47.2591,14z?hl=en","Maplink2")</f>
        <v>Maplink2</v>
      </c>
      <c r="AY755" s="88" t="str">
        <f>HYPERLINK("http://www.bing.com/maps/?lvl=14&amp;sty=h&amp;cp=30.943~47.2591&amp;sp=point.30.943_47.2591","Maplink3")</f>
        <v>Maplink3</v>
      </c>
      <c r="AZ755" s="76"/>
    </row>
    <row r="756" spans="1:52" x14ac:dyDescent="0.25">
      <c r="A756" s="86">
        <v>29633</v>
      </c>
      <c r="B756" s="87" t="s">
        <v>15</v>
      </c>
      <c r="C756" s="87" t="s">
        <v>1523</v>
      </c>
      <c r="D756" s="87" t="s">
        <v>1526</v>
      </c>
      <c r="E756" s="87" t="s">
        <v>1527</v>
      </c>
      <c r="F756" s="87">
        <v>30.927239100000001</v>
      </c>
      <c r="G756" s="87">
        <v>47.256438699999997</v>
      </c>
      <c r="H756" s="86">
        <v>1</v>
      </c>
      <c r="I756" s="86">
        <v>6</v>
      </c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>
        <v>1</v>
      </c>
      <c r="W756" s="87"/>
      <c r="X756" s="87"/>
      <c r="Y756" s="87"/>
      <c r="Z756" s="87"/>
      <c r="AA756" s="87"/>
      <c r="AB756" s="87"/>
      <c r="AC756" s="87">
        <v>1</v>
      </c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>
        <v>1</v>
      </c>
      <c r="AR756" s="87"/>
      <c r="AS756" s="87"/>
      <c r="AT756" s="87"/>
      <c r="AU756" s="87"/>
      <c r="AV756" s="87"/>
      <c r="AW756" s="88" t="str">
        <f>HYPERLINK("http://www.openstreetmap.org/?mlat=30.9272&amp;mlon=47.2564&amp;zoom=12#map=12/30.9272/47.2564","Maplink1")</f>
        <v>Maplink1</v>
      </c>
      <c r="AX756" s="88" t="str">
        <f>HYPERLINK("https://www.google.iq/maps/search/+30.9272,47.2564/@30.9272,47.2564,14z?hl=en","Maplink2")</f>
        <v>Maplink2</v>
      </c>
      <c r="AY756" s="88" t="str">
        <f>HYPERLINK("http://www.bing.com/maps/?lvl=14&amp;sty=h&amp;cp=30.9272~47.2564&amp;sp=point.30.9272_47.2564","Maplink3")</f>
        <v>Maplink3</v>
      </c>
      <c r="AZ756" s="76"/>
    </row>
    <row r="757" spans="1:52" x14ac:dyDescent="0.25">
      <c r="A757" s="86">
        <v>24921</v>
      </c>
      <c r="B757" s="87" t="s">
        <v>15</v>
      </c>
      <c r="C757" s="87" t="s">
        <v>1523</v>
      </c>
      <c r="D757" s="87" t="s">
        <v>1528</v>
      </c>
      <c r="E757" s="87" t="s">
        <v>1529</v>
      </c>
      <c r="F757" s="87">
        <v>30.966868600000002</v>
      </c>
      <c r="G757" s="87">
        <v>47.300004883</v>
      </c>
      <c r="H757" s="86">
        <v>12</v>
      </c>
      <c r="I757" s="86">
        <v>72</v>
      </c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>
        <v>12</v>
      </c>
      <c r="Y757" s="87"/>
      <c r="Z757" s="87"/>
      <c r="AA757" s="87"/>
      <c r="AB757" s="87"/>
      <c r="AC757" s="87"/>
      <c r="AD757" s="87"/>
      <c r="AE757" s="87"/>
      <c r="AF757" s="87"/>
      <c r="AG757" s="87"/>
      <c r="AH757" s="87">
        <v>12</v>
      </c>
      <c r="AI757" s="87"/>
      <c r="AJ757" s="87"/>
      <c r="AK757" s="87"/>
      <c r="AL757" s="87"/>
      <c r="AM757" s="87"/>
      <c r="AN757" s="87"/>
      <c r="AO757" s="87"/>
      <c r="AP757" s="87">
        <v>3</v>
      </c>
      <c r="AQ757" s="87">
        <v>9</v>
      </c>
      <c r="AR757" s="87"/>
      <c r="AS757" s="87"/>
      <c r="AT757" s="87"/>
      <c r="AU757" s="87"/>
      <c r="AV757" s="87"/>
      <c r="AW757" s="88" t="str">
        <f>HYPERLINK("http://www.openstreetmap.org/?mlat=30.9669&amp;mlon=47.3&amp;zoom=12#map=12/30.9669/47.3","Maplink1")</f>
        <v>Maplink1</v>
      </c>
      <c r="AX757" s="88" t="str">
        <f>HYPERLINK("https://www.google.iq/maps/search/+30.9669,47.3/@30.9669,47.3,14z?hl=en","Maplink2")</f>
        <v>Maplink2</v>
      </c>
      <c r="AY757" s="88" t="str">
        <f>HYPERLINK("http://www.bing.com/maps/?lvl=14&amp;sty=h&amp;cp=30.9669~47.3&amp;sp=point.30.9669_47.3","Maplink3")</f>
        <v>Maplink3</v>
      </c>
      <c r="AZ757" s="76"/>
    </row>
    <row r="758" spans="1:52" x14ac:dyDescent="0.25">
      <c r="A758" s="86">
        <v>1202</v>
      </c>
      <c r="B758" s="87" t="s">
        <v>15</v>
      </c>
      <c r="C758" s="87" t="s">
        <v>1523</v>
      </c>
      <c r="D758" s="87" t="s">
        <v>1530</v>
      </c>
      <c r="E758" s="87" t="s">
        <v>1531</v>
      </c>
      <c r="F758" s="87">
        <v>30.977710099999999</v>
      </c>
      <c r="G758" s="87">
        <v>47.325606499999999</v>
      </c>
      <c r="H758" s="86">
        <v>1</v>
      </c>
      <c r="I758" s="86">
        <v>6</v>
      </c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>
        <v>1</v>
      </c>
      <c r="W758" s="87"/>
      <c r="X758" s="87"/>
      <c r="Y758" s="87"/>
      <c r="Z758" s="87"/>
      <c r="AA758" s="87"/>
      <c r="AB758" s="87"/>
      <c r="AC758" s="87">
        <v>1</v>
      </c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>
        <v>1</v>
      </c>
      <c r="AO758" s="87"/>
      <c r="AP758" s="87"/>
      <c r="AQ758" s="87"/>
      <c r="AR758" s="87"/>
      <c r="AS758" s="87"/>
      <c r="AT758" s="87"/>
      <c r="AU758" s="87"/>
      <c r="AV758" s="87"/>
      <c r="AW758" s="88" t="str">
        <f>HYPERLINK("http://www.openstreetmap.org/?mlat=30.9777&amp;mlon=47.3256&amp;zoom=12#map=12/30.9777/47.3256","Maplink1")</f>
        <v>Maplink1</v>
      </c>
      <c r="AX758" s="88" t="str">
        <f>HYPERLINK("https://www.google.iq/maps/search/+30.9777,47.3256/@30.9777,47.3256,14z?hl=en","Maplink2")</f>
        <v>Maplink2</v>
      </c>
      <c r="AY758" s="88" t="str">
        <f>HYPERLINK("http://www.bing.com/maps/?lvl=14&amp;sty=h&amp;cp=30.9777~47.3256&amp;sp=point.30.9777_47.3256","Maplink3")</f>
        <v>Maplink3</v>
      </c>
      <c r="AZ758" s="76"/>
    </row>
    <row r="759" spans="1:52" x14ac:dyDescent="0.25">
      <c r="A759" s="86">
        <v>1120</v>
      </c>
      <c r="B759" s="87" t="s">
        <v>15</v>
      </c>
      <c r="C759" s="87" t="s">
        <v>1523</v>
      </c>
      <c r="D759" s="87" t="s">
        <v>1532</v>
      </c>
      <c r="E759" s="87" t="s">
        <v>1533</v>
      </c>
      <c r="F759" s="87">
        <v>30.9278035</v>
      </c>
      <c r="G759" s="87">
        <v>47.296646010899998</v>
      </c>
      <c r="H759" s="86">
        <v>4</v>
      </c>
      <c r="I759" s="86">
        <v>24</v>
      </c>
      <c r="J759" s="87">
        <v>1</v>
      </c>
      <c r="K759" s="87"/>
      <c r="L759" s="87"/>
      <c r="M759" s="87"/>
      <c r="N759" s="87"/>
      <c r="O759" s="87"/>
      <c r="P759" s="87"/>
      <c r="Q759" s="87"/>
      <c r="R759" s="87">
        <v>1</v>
      </c>
      <c r="S759" s="87"/>
      <c r="T759" s="87"/>
      <c r="U759" s="87"/>
      <c r="V759" s="87"/>
      <c r="W759" s="87"/>
      <c r="X759" s="87">
        <v>2</v>
      </c>
      <c r="Y759" s="87"/>
      <c r="Z759" s="87"/>
      <c r="AA759" s="87"/>
      <c r="AB759" s="87"/>
      <c r="AC759" s="87">
        <v>3</v>
      </c>
      <c r="AD759" s="87"/>
      <c r="AE759" s="87"/>
      <c r="AF759" s="87"/>
      <c r="AG759" s="87"/>
      <c r="AH759" s="87">
        <v>1</v>
      </c>
      <c r="AI759" s="87"/>
      <c r="AJ759" s="87"/>
      <c r="AK759" s="87"/>
      <c r="AL759" s="87"/>
      <c r="AM759" s="87"/>
      <c r="AN759" s="87"/>
      <c r="AO759" s="87"/>
      <c r="AP759" s="87">
        <v>3</v>
      </c>
      <c r="AQ759" s="87">
        <v>1</v>
      </c>
      <c r="AR759" s="87"/>
      <c r="AS759" s="87"/>
      <c r="AT759" s="87"/>
      <c r="AU759" s="87"/>
      <c r="AV759" s="87"/>
      <c r="AW759" s="88" t="str">
        <f>HYPERLINK("http://www.openstreetmap.org/?mlat=30.9278&amp;mlon=47.2966&amp;zoom=12#map=12/30.9278/47.2966","Maplink1")</f>
        <v>Maplink1</v>
      </c>
      <c r="AX759" s="88" t="str">
        <f>HYPERLINK("https://www.google.iq/maps/search/+30.9278,47.2966/@30.9278,47.2966,14z?hl=en","Maplink2")</f>
        <v>Maplink2</v>
      </c>
      <c r="AY759" s="88" t="str">
        <f>HYPERLINK("http://www.bing.com/maps/?lvl=14&amp;sty=h&amp;cp=30.9278~47.2966&amp;sp=point.30.9278_47.2966","Maplink3")</f>
        <v>Maplink3</v>
      </c>
      <c r="AZ759" s="76"/>
    </row>
    <row r="760" spans="1:52" x14ac:dyDescent="0.25">
      <c r="A760" s="86">
        <v>1203</v>
      </c>
      <c r="B760" s="87" t="s">
        <v>15</v>
      </c>
      <c r="C760" s="87" t="s">
        <v>1523</v>
      </c>
      <c r="D760" s="87" t="s">
        <v>5800</v>
      </c>
      <c r="E760" s="87" t="s">
        <v>5801</v>
      </c>
      <c r="F760" s="87">
        <v>30.98</v>
      </c>
      <c r="G760" s="87">
        <v>47.397500000000001</v>
      </c>
      <c r="H760" s="86">
        <v>4</v>
      </c>
      <c r="I760" s="86">
        <v>24</v>
      </c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>
        <v>4</v>
      </c>
      <c r="Y760" s="87"/>
      <c r="Z760" s="87"/>
      <c r="AA760" s="87"/>
      <c r="AB760" s="87"/>
      <c r="AC760" s="87">
        <v>4</v>
      </c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>
        <v>4</v>
      </c>
      <c r="AQ760" s="87"/>
      <c r="AR760" s="87"/>
      <c r="AS760" s="87"/>
      <c r="AT760" s="87"/>
      <c r="AU760" s="87"/>
      <c r="AV760" s="87"/>
      <c r="AW760" s="88" t="str">
        <f>HYPERLINK("http://www.openstreetmap.org/?mlat=30.98&amp;mlon=47.3975&amp;zoom=12#map=12/30.98/47.3975","Maplink1")</f>
        <v>Maplink1</v>
      </c>
      <c r="AX760" s="88" t="str">
        <f>HYPERLINK("https://www.google.iq/maps/search/+30.98,47.3975/@30.98,47.3975,14z?hl=en","Maplink2")</f>
        <v>Maplink2</v>
      </c>
      <c r="AY760" s="88" t="str">
        <f>HYPERLINK("http://www.bing.com/maps/?lvl=14&amp;sty=h&amp;cp=30.98~47.3975&amp;sp=point.30.98_47.3975","Maplink3")</f>
        <v>Maplink3</v>
      </c>
      <c r="AZ760" s="76"/>
    </row>
    <row r="761" spans="1:52" x14ac:dyDescent="0.25">
      <c r="A761" s="86">
        <v>1129</v>
      </c>
      <c r="B761" s="87" t="s">
        <v>15</v>
      </c>
      <c r="C761" s="87" t="s">
        <v>1523</v>
      </c>
      <c r="D761" s="87" t="s">
        <v>1534</v>
      </c>
      <c r="E761" s="87" t="s">
        <v>1535</v>
      </c>
      <c r="F761" s="87">
        <v>30.9322847</v>
      </c>
      <c r="G761" s="87">
        <v>47.275748100000001</v>
      </c>
      <c r="H761" s="86">
        <v>1</v>
      </c>
      <c r="I761" s="86">
        <v>6</v>
      </c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>
        <v>1</v>
      </c>
      <c r="W761" s="87"/>
      <c r="X761" s="87"/>
      <c r="Y761" s="87"/>
      <c r="Z761" s="87"/>
      <c r="AA761" s="87"/>
      <c r="AB761" s="87"/>
      <c r="AC761" s="87">
        <v>1</v>
      </c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>
        <v>1</v>
      </c>
      <c r="AQ761" s="87"/>
      <c r="AR761" s="87"/>
      <c r="AS761" s="87"/>
      <c r="AT761" s="87"/>
      <c r="AU761" s="87"/>
      <c r="AV761" s="87"/>
      <c r="AW761" s="88" t="str">
        <f>HYPERLINK("http://www.openstreetmap.org/?mlat=30.9323&amp;mlon=47.2757&amp;zoom=12#map=12/30.9323/47.2757","Maplink1")</f>
        <v>Maplink1</v>
      </c>
      <c r="AX761" s="88" t="str">
        <f>HYPERLINK("https://www.google.iq/maps/search/+30.9323,47.2757/@30.9323,47.2757,14z?hl=en","Maplink2")</f>
        <v>Maplink2</v>
      </c>
      <c r="AY761" s="88" t="str">
        <f>HYPERLINK("http://www.bing.com/maps/?lvl=14&amp;sty=h&amp;cp=30.9323~47.2757&amp;sp=point.30.9323_47.2757","Maplink3")</f>
        <v>Maplink3</v>
      </c>
      <c r="AZ761" s="76"/>
    </row>
    <row r="762" spans="1:52" x14ac:dyDescent="0.25">
      <c r="A762" s="86">
        <v>354</v>
      </c>
      <c r="B762" s="87" t="s">
        <v>15</v>
      </c>
      <c r="C762" s="87" t="s">
        <v>1523</v>
      </c>
      <c r="D762" s="87" t="s">
        <v>1536</v>
      </c>
      <c r="E762" s="87" t="s">
        <v>1537</v>
      </c>
      <c r="F762" s="87">
        <v>30.938458900000001</v>
      </c>
      <c r="G762" s="87">
        <v>47.260800600000003</v>
      </c>
      <c r="H762" s="86">
        <v>1</v>
      </c>
      <c r="I762" s="86">
        <v>6</v>
      </c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>
        <v>1</v>
      </c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>
        <v>1</v>
      </c>
      <c r="AI762" s="87"/>
      <c r="AJ762" s="87"/>
      <c r="AK762" s="87"/>
      <c r="AL762" s="87"/>
      <c r="AM762" s="87"/>
      <c r="AN762" s="87"/>
      <c r="AO762" s="87">
        <v>1</v>
      </c>
      <c r="AP762" s="87"/>
      <c r="AQ762" s="87"/>
      <c r="AR762" s="87"/>
      <c r="AS762" s="87"/>
      <c r="AT762" s="87"/>
      <c r="AU762" s="87"/>
      <c r="AV762" s="87"/>
      <c r="AW762" s="88" t="str">
        <f>HYPERLINK("http://www.openstreetmap.org/?mlat=30.9385&amp;mlon=47.2608&amp;zoom=12#map=12/30.9385/47.2608","Maplink1")</f>
        <v>Maplink1</v>
      </c>
      <c r="AX762" s="88" t="str">
        <f>HYPERLINK("https://www.google.iq/maps/search/+30.9385,47.2608/@30.9385,47.2608,14z?hl=en","Maplink2")</f>
        <v>Maplink2</v>
      </c>
      <c r="AY762" s="88" t="str">
        <f>HYPERLINK("http://www.bing.com/maps/?lvl=14&amp;sty=h&amp;cp=30.9385~47.2608&amp;sp=point.30.9385_47.2608","Maplink3")</f>
        <v>Maplink3</v>
      </c>
      <c r="AZ762" s="76"/>
    </row>
    <row r="763" spans="1:52" x14ac:dyDescent="0.25">
      <c r="A763" s="86">
        <v>33763</v>
      </c>
      <c r="B763" s="87" t="s">
        <v>15</v>
      </c>
      <c r="C763" s="87" t="s">
        <v>1523</v>
      </c>
      <c r="D763" s="87" t="s">
        <v>5802</v>
      </c>
      <c r="E763" s="87" t="s">
        <v>5803</v>
      </c>
      <c r="F763" s="87">
        <v>30.968056000000001</v>
      </c>
      <c r="G763" s="87">
        <v>47.386389000000001</v>
      </c>
      <c r="H763" s="86">
        <v>2</v>
      </c>
      <c r="I763" s="86">
        <v>12</v>
      </c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>
        <v>2</v>
      </c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>
        <v>2</v>
      </c>
      <c r="AI763" s="87"/>
      <c r="AJ763" s="87"/>
      <c r="AK763" s="87"/>
      <c r="AL763" s="87"/>
      <c r="AM763" s="87"/>
      <c r="AN763" s="87"/>
      <c r="AO763" s="87"/>
      <c r="AP763" s="87"/>
      <c r="AQ763" s="87">
        <v>2</v>
      </c>
      <c r="AR763" s="87"/>
      <c r="AS763" s="87"/>
      <c r="AT763" s="87"/>
      <c r="AU763" s="87"/>
      <c r="AV763" s="87"/>
      <c r="AW763" s="88" t="str">
        <f>HYPERLINK("http://www.openstreetmap.org/?mlat=30.9681&amp;mlon=47.3864&amp;zoom=12#map=12/30.9681/47.3864","Maplink1")</f>
        <v>Maplink1</v>
      </c>
      <c r="AX763" s="88" t="str">
        <f>HYPERLINK("https://www.google.iq/maps/search/+30.9681,47.3864/@30.9681,47.3864,14z?hl=en","Maplink2")</f>
        <v>Maplink2</v>
      </c>
      <c r="AY763" s="88" t="str">
        <f>HYPERLINK("http://www.bing.com/maps/?lvl=14&amp;sty=h&amp;cp=30.9681~47.3864&amp;sp=point.30.9681_47.3864","Maplink3")</f>
        <v>Maplink3</v>
      </c>
      <c r="AZ763" s="76"/>
    </row>
    <row r="764" spans="1:52" x14ac:dyDescent="0.25">
      <c r="A764" s="86">
        <v>491</v>
      </c>
      <c r="B764" s="87" t="s">
        <v>15</v>
      </c>
      <c r="C764" s="87" t="s">
        <v>1523</v>
      </c>
      <c r="D764" s="87" t="s">
        <v>1538</v>
      </c>
      <c r="E764" s="87" t="s">
        <v>1539</v>
      </c>
      <c r="F764" s="87">
        <v>31.0012726</v>
      </c>
      <c r="G764" s="87">
        <v>47.262865793899998</v>
      </c>
      <c r="H764" s="86">
        <v>5</v>
      </c>
      <c r="I764" s="86">
        <v>30</v>
      </c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>
        <v>5</v>
      </c>
      <c r="Y764" s="87"/>
      <c r="Z764" s="87"/>
      <c r="AA764" s="87"/>
      <c r="AB764" s="87"/>
      <c r="AC764" s="87"/>
      <c r="AD764" s="87"/>
      <c r="AE764" s="87"/>
      <c r="AF764" s="87"/>
      <c r="AG764" s="87"/>
      <c r="AH764" s="87">
        <v>5</v>
      </c>
      <c r="AI764" s="87"/>
      <c r="AJ764" s="87"/>
      <c r="AK764" s="87"/>
      <c r="AL764" s="87"/>
      <c r="AM764" s="87"/>
      <c r="AN764" s="87"/>
      <c r="AO764" s="87"/>
      <c r="AP764" s="87">
        <v>3</v>
      </c>
      <c r="AQ764" s="87">
        <v>2</v>
      </c>
      <c r="AR764" s="87"/>
      <c r="AS764" s="87"/>
      <c r="AT764" s="87"/>
      <c r="AU764" s="87"/>
      <c r="AV764" s="87"/>
      <c r="AW764" s="88" t="str">
        <f>HYPERLINK("http://www.openstreetmap.org/?mlat=31.0013&amp;mlon=47.2629&amp;zoom=12#map=12/31.0013/47.2629","Maplink1")</f>
        <v>Maplink1</v>
      </c>
      <c r="AX764" s="88" t="str">
        <f>HYPERLINK("https://www.google.iq/maps/search/+31.0013,47.2629/@31.0013,47.2629,14z?hl=en","Maplink2")</f>
        <v>Maplink2</v>
      </c>
      <c r="AY764" s="88" t="str">
        <f>HYPERLINK("http://www.bing.com/maps/?lvl=14&amp;sty=h&amp;cp=31.0013~47.2629&amp;sp=point.31.0013_47.2629","Maplink3")</f>
        <v>Maplink3</v>
      </c>
      <c r="AZ764" s="76"/>
    </row>
    <row r="765" spans="1:52" x14ac:dyDescent="0.25">
      <c r="A765" s="86">
        <v>25014</v>
      </c>
      <c r="B765" s="87" t="s">
        <v>15</v>
      </c>
      <c r="C765" s="87" t="s">
        <v>1540</v>
      </c>
      <c r="D765" s="87" t="s">
        <v>1541</v>
      </c>
      <c r="E765" s="87" t="s">
        <v>1542</v>
      </c>
      <c r="F765" s="87">
        <v>30.799197499999998</v>
      </c>
      <c r="G765" s="87">
        <v>47.5786108</v>
      </c>
      <c r="H765" s="86">
        <v>1</v>
      </c>
      <c r="I765" s="86">
        <v>6</v>
      </c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>
        <v>1</v>
      </c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>
        <v>1</v>
      </c>
      <c r="AI765" s="87"/>
      <c r="AJ765" s="87"/>
      <c r="AK765" s="87"/>
      <c r="AL765" s="87"/>
      <c r="AM765" s="87"/>
      <c r="AN765" s="87"/>
      <c r="AO765" s="87"/>
      <c r="AP765" s="87"/>
      <c r="AQ765" s="87"/>
      <c r="AR765" s="87">
        <v>1</v>
      </c>
      <c r="AS765" s="87"/>
      <c r="AT765" s="87"/>
      <c r="AU765" s="87"/>
      <c r="AV765" s="87"/>
      <c r="AW765" s="88" t="str">
        <f>HYPERLINK("http://www.openstreetmap.org/?mlat=30.7992&amp;mlon=47.5786&amp;zoom=12#map=12/30.7992/47.5786","Maplink1")</f>
        <v>Maplink1</v>
      </c>
      <c r="AX765" s="88" t="str">
        <f>HYPERLINK("https://www.google.iq/maps/search/+30.7992,47.5786/@30.7992,47.5786,14z?hl=en","Maplink2")</f>
        <v>Maplink2</v>
      </c>
      <c r="AY765" s="88" t="str">
        <f>HYPERLINK("http://www.bing.com/maps/?lvl=14&amp;sty=h&amp;cp=30.7992~47.5786&amp;sp=point.30.7992_47.5786","Maplink3")</f>
        <v>Maplink3</v>
      </c>
      <c r="AZ765" s="76"/>
    </row>
    <row r="766" spans="1:52" x14ac:dyDescent="0.25">
      <c r="A766" s="86">
        <v>29577</v>
      </c>
      <c r="B766" s="87" t="s">
        <v>15</v>
      </c>
      <c r="C766" s="87" t="s">
        <v>1540</v>
      </c>
      <c r="D766" s="87" t="s">
        <v>1543</v>
      </c>
      <c r="E766" s="87" t="s">
        <v>1544</v>
      </c>
      <c r="F766" s="87">
        <v>30.838616200000001</v>
      </c>
      <c r="G766" s="87">
        <v>47.545997999999997</v>
      </c>
      <c r="H766" s="86">
        <v>1</v>
      </c>
      <c r="I766" s="86">
        <v>6</v>
      </c>
      <c r="J766" s="87"/>
      <c r="K766" s="87"/>
      <c r="L766" s="87"/>
      <c r="M766" s="87"/>
      <c r="N766" s="87"/>
      <c r="O766" s="87">
        <v>1</v>
      </c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>
        <v>1</v>
      </c>
      <c r="AI766" s="87"/>
      <c r="AJ766" s="87"/>
      <c r="AK766" s="87"/>
      <c r="AL766" s="87"/>
      <c r="AM766" s="87"/>
      <c r="AN766" s="87"/>
      <c r="AO766" s="87"/>
      <c r="AP766" s="87">
        <v>1</v>
      </c>
      <c r="AQ766" s="87"/>
      <c r="AR766" s="87"/>
      <c r="AS766" s="87"/>
      <c r="AT766" s="87"/>
      <c r="AU766" s="87"/>
      <c r="AV766" s="87"/>
      <c r="AW766" s="88" t="str">
        <f>HYPERLINK("http://www.openstreetmap.org/?mlat=30.8386&amp;mlon=47.546&amp;zoom=12#map=12/30.8386/47.546","Maplink1")</f>
        <v>Maplink1</v>
      </c>
      <c r="AX766" s="88" t="str">
        <f>HYPERLINK("https://www.google.iq/maps/search/+30.8386,47.546/@30.8386,47.546,14z?hl=en","Maplink2")</f>
        <v>Maplink2</v>
      </c>
      <c r="AY766" s="88" t="str">
        <f>HYPERLINK("http://www.bing.com/maps/?lvl=14&amp;sty=h&amp;cp=30.8386~47.546&amp;sp=point.30.8386_47.546","Maplink3")</f>
        <v>Maplink3</v>
      </c>
      <c r="AZ766" s="76"/>
    </row>
    <row r="767" spans="1:52" x14ac:dyDescent="0.25">
      <c r="A767" s="86">
        <v>28406</v>
      </c>
      <c r="B767" s="87" t="s">
        <v>15</v>
      </c>
      <c r="C767" s="87" t="s">
        <v>1540</v>
      </c>
      <c r="D767" s="87" t="s">
        <v>1545</v>
      </c>
      <c r="E767" s="87" t="s">
        <v>1546</v>
      </c>
      <c r="F767" s="87">
        <v>30.719388299999999</v>
      </c>
      <c r="G767" s="87">
        <v>47.717997843299997</v>
      </c>
      <c r="H767" s="86">
        <v>4</v>
      </c>
      <c r="I767" s="86">
        <v>24</v>
      </c>
      <c r="J767" s="87"/>
      <c r="K767" s="87"/>
      <c r="L767" s="87"/>
      <c r="M767" s="87"/>
      <c r="N767" s="87"/>
      <c r="O767" s="87"/>
      <c r="P767" s="87"/>
      <c r="Q767" s="87"/>
      <c r="R767" s="87">
        <v>2</v>
      </c>
      <c r="S767" s="87"/>
      <c r="T767" s="87"/>
      <c r="U767" s="87"/>
      <c r="V767" s="87">
        <v>1</v>
      </c>
      <c r="W767" s="87"/>
      <c r="X767" s="87">
        <v>1</v>
      </c>
      <c r="Y767" s="87"/>
      <c r="Z767" s="87"/>
      <c r="AA767" s="87"/>
      <c r="AB767" s="87"/>
      <c r="AC767" s="87">
        <v>2</v>
      </c>
      <c r="AD767" s="87"/>
      <c r="AE767" s="87"/>
      <c r="AF767" s="87"/>
      <c r="AG767" s="87"/>
      <c r="AH767" s="87">
        <v>2</v>
      </c>
      <c r="AI767" s="87"/>
      <c r="AJ767" s="87"/>
      <c r="AK767" s="87"/>
      <c r="AL767" s="87"/>
      <c r="AM767" s="87"/>
      <c r="AN767" s="87"/>
      <c r="AO767" s="87"/>
      <c r="AP767" s="87">
        <v>3</v>
      </c>
      <c r="AQ767" s="87">
        <v>1</v>
      </c>
      <c r="AR767" s="87"/>
      <c r="AS767" s="87"/>
      <c r="AT767" s="87"/>
      <c r="AU767" s="87"/>
      <c r="AV767" s="87"/>
      <c r="AW767" s="88" t="str">
        <f>HYPERLINK("http://www.openstreetmap.org/?mlat=30.7194&amp;mlon=47.718&amp;zoom=12#map=12/30.7194/47.718","Maplink1")</f>
        <v>Maplink1</v>
      </c>
      <c r="AX767" s="88" t="str">
        <f>HYPERLINK("https://www.google.iq/maps/search/+30.7194,47.718/@30.7194,47.718,14z?hl=en","Maplink2")</f>
        <v>Maplink2</v>
      </c>
      <c r="AY767" s="88" t="str">
        <f>HYPERLINK("http://www.bing.com/maps/?lvl=14&amp;sty=h&amp;cp=30.7194~47.718&amp;sp=point.30.7194_47.718","Maplink3")</f>
        <v>Maplink3</v>
      </c>
      <c r="AZ767" s="76"/>
    </row>
    <row r="768" spans="1:52" x14ac:dyDescent="0.25">
      <c r="A768" s="86">
        <v>25012</v>
      </c>
      <c r="B768" s="87" t="s">
        <v>15</v>
      </c>
      <c r="C768" s="87" t="s">
        <v>1540</v>
      </c>
      <c r="D768" s="87" t="s">
        <v>1547</v>
      </c>
      <c r="E768" s="87" t="s">
        <v>1548</v>
      </c>
      <c r="F768" s="87">
        <v>30.9743946</v>
      </c>
      <c r="G768" s="87">
        <v>47.450920857200003</v>
      </c>
      <c r="H768" s="86">
        <v>12</v>
      </c>
      <c r="I768" s="86">
        <v>72</v>
      </c>
      <c r="J768" s="87">
        <v>1</v>
      </c>
      <c r="K768" s="87"/>
      <c r="L768" s="87"/>
      <c r="M768" s="87"/>
      <c r="N768" s="87"/>
      <c r="O768" s="87"/>
      <c r="P768" s="87"/>
      <c r="Q768" s="87"/>
      <c r="R768" s="87">
        <v>5</v>
      </c>
      <c r="S768" s="87"/>
      <c r="T768" s="87"/>
      <c r="U768" s="87"/>
      <c r="V768" s="87">
        <v>1</v>
      </c>
      <c r="W768" s="87"/>
      <c r="X768" s="87">
        <v>5</v>
      </c>
      <c r="Y768" s="87"/>
      <c r="Z768" s="87"/>
      <c r="AA768" s="87"/>
      <c r="AB768" s="87"/>
      <c r="AC768" s="87">
        <v>5</v>
      </c>
      <c r="AD768" s="87"/>
      <c r="AE768" s="87"/>
      <c r="AF768" s="87"/>
      <c r="AG768" s="87"/>
      <c r="AH768" s="87">
        <v>7</v>
      </c>
      <c r="AI768" s="87"/>
      <c r="AJ768" s="87"/>
      <c r="AK768" s="87"/>
      <c r="AL768" s="87"/>
      <c r="AM768" s="87"/>
      <c r="AN768" s="87">
        <v>1</v>
      </c>
      <c r="AO768" s="87">
        <v>1</v>
      </c>
      <c r="AP768" s="87">
        <v>5</v>
      </c>
      <c r="AQ768" s="87">
        <v>3</v>
      </c>
      <c r="AR768" s="87">
        <v>2</v>
      </c>
      <c r="AS768" s="87"/>
      <c r="AT768" s="87"/>
      <c r="AU768" s="87"/>
      <c r="AV768" s="87"/>
      <c r="AW768" s="88" t="str">
        <f>HYPERLINK("http://www.openstreetmap.org/?mlat=30.9744&amp;mlon=47.4509&amp;zoom=12#map=12/30.9744/47.4509","Maplink1")</f>
        <v>Maplink1</v>
      </c>
      <c r="AX768" s="88" t="str">
        <f>HYPERLINK("https://www.google.iq/maps/search/+30.9744,47.4509/@30.9744,47.4509,14z?hl=en","Maplink2")</f>
        <v>Maplink2</v>
      </c>
      <c r="AY768" s="88" t="str">
        <f>HYPERLINK("http://www.bing.com/maps/?lvl=14&amp;sty=h&amp;cp=30.9744~47.4509&amp;sp=point.30.9744_47.4509","Maplink3")</f>
        <v>Maplink3</v>
      </c>
      <c r="AZ768" s="76"/>
    </row>
    <row r="769" spans="1:52" x14ac:dyDescent="0.25">
      <c r="A769" s="86">
        <v>28407</v>
      </c>
      <c r="B769" s="87" t="s">
        <v>15</v>
      </c>
      <c r="C769" s="87" t="s">
        <v>1540</v>
      </c>
      <c r="D769" s="87" t="s">
        <v>1549</v>
      </c>
      <c r="E769" s="87" t="s">
        <v>1550</v>
      </c>
      <c r="F769" s="87">
        <v>30.9527657</v>
      </c>
      <c r="G769" s="87">
        <v>47.456105783600002</v>
      </c>
      <c r="H769" s="86">
        <v>6</v>
      </c>
      <c r="I769" s="86">
        <v>36</v>
      </c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>
        <v>1</v>
      </c>
      <c r="W769" s="87"/>
      <c r="X769" s="87">
        <v>5</v>
      </c>
      <c r="Y769" s="87"/>
      <c r="Z769" s="87"/>
      <c r="AA769" s="87"/>
      <c r="AB769" s="87"/>
      <c r="AC769" s="87">
        <v>1</v>
      </c>
      <c r="AD769" s="87"/>
      <c r="AE769" s="87"/>
      <c r="AF769" s="87"/>
      <c r="AG769" s="87"/>
      <c r="AH769" s="87">
        <v>5</v>
      </c>
      <c r="AI769" s="87"/>
      <c r="AJ769" s="87"/>
      <c r="AK769" s="87"/>
      <c r="AL769" s="87"/>
      <c r="AM769" s="87"/>
      <c r="AN769" s="87"/>
      <c r="AO769" s="87">
        <v>1</v>
      </c>
      <c r="AP769" s="87">
        <v>2</v>
      </c>
      <c r="AQ769" s="87">
        <v>3</v>
      </c>
      <c r="AR769" s="87"/>
      <c r="AS769" s="87"/>
      <c r="AT769" s="87"/>
      <c r="AU769" s="87"/>
      <c r="AV769" s="87"/>
      <c r="AW769" s="88" t="str">
        <f>HYPERLINK("http://www.openstreetmap.org/?mlat=30.9528&amp;mlon=47.4561&amp;zoom=12#map=12/30.9528/47.4561","Maplink1")</f>
        <v>Maplink1</v>
      </c>
      <c r="AX769" s="88" t="str">
        <f>HYPERLINK("https://www.google.iq/maps/search/+30.9528,47.4561/@30.9528,47.4561,14z?hl=en","Maplink2")</f>
        <v>Maplink2</v>
      </c>
      <c r="AY769" s="88" t="str">
        <f>HYPERLINK("http://www.bing.com/maps/?lvl=14&amp;sty=h&amp;cp=30.9528~47.4561&amp;sp=point.30.9528_47.4561","Maplink3")</f>
        <v>Maplink3</v>
      </c>
      <c r="AZ769" s="76"/>
    </row>
    <row r="770" spans="1:52" x14ac:dyDescent="0.25">
      <c r="A770" s="86">
        <v>1251</v>
      </c>
      <c r="B770" s="87" t="s">
        <v>15</v>
      </c>
      <c r="C770" s="87" t="s">
        <v>1540</v>
      </c>
      <c r="D770" s="87" t="s">
        <v>1551</v>
      </c>
      <c r="E770" s="87" t="s">
        <v>1552</v>
      </c>
      <c r="F770" s="87">
        <v>31.101819899999999</v>
      </c>
      <c r="G770" s="87">
        <v>47.425634500000001</v>
      </c>
      <c r="H770" s="86">
        <v>4</v>
      </c>
      <c r="I770" s="86">
        <v>24</v>
      </c>
      <c r="J770" s="87"/>
      <c r="K770" s="87">
        <v>4</v>
      </c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>
        <v>4</v>
      </c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>
        <v>4</v>
      </c>
      <c r="AQ770" s="87"/>
      <c r="AR770" s="87"/>
      <c r="AS770" s="87"/>
      <c r="AT770" s="87"/>
      <c r="AU770" s="87"/>
      <c r="AV770" s="87"/>
      <c r="AW770" s="88" t="str">
        <f>HYPERLINK("http://www.openstreetmap.org/?mlat=31.1018&amp;mlon=47.4256&amp;zoom=12#map=12/31.1018/47.4256","Maplink1")</f>
        <v>Maplink1</v>
      </c>
      <c r="AX770" s="88" t="str">
        <f>HYPERLINK("https://www.google.iq/maps/search/+31.1018,47.4256/@31.1018,47.4256,14z?hl=en","Maplink2")</f>
        <v>Maplink2</v>
      </c>
      <c r="AY770" s="88" t="str">
        <f>HYPERLINK("http://www.bing.com/maps/?lvl=14&amp;sty=h&amp;cp=31.1018~47.4256&amp;sp=point.31.1018_47.4256","Maplink3")</f>
        <v>Maplink3</v>
      </c>
      <c r="AZ770" s="76"/>
    </row>
    <row r="771" spans="1:52" x14ac:dyDescent="0.25">
      <c r="A771" s="86">
        <v>25013</v>
      </c>
      <c r="B771" s="87" t="s">
        <v>15</v>
      </c>
      <c r="C771" s="87" t="s">
        <v>1540</v>
      </c>
      <c r="D771" s="87" t="s">
        <v>1553</v>
      </c>
      <c r="E771" s="87" t="s">
        <v>1554</v>
      </c>
      <c r="F771" s="87">
        <v>30.797569800000002</v>
      </c>
      <c r="G771" s="87">
        <v>47.578707600000001</v>
      </c>
      <c r="H771" s="86">
        <v>1</v>
      </c>
      <c r="I771" s="86">
        <v>6</v>
      </c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>
        <v>1</v>
      </c>
      <c r="W771" s="87"/>
      <c r="X771" s="87"/>
      <c r="Y771" s="87"/>
      <c r="Z771" s="87"/>
      <c r="AA771" s="87"/>
      <c r="AB771" s="87"/>
      <c r="AC771" s="87">
        <v>1</v>
      </c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>
        <v>1</v>
      </c>
      <c r="AR771" s="87"/>
      <c r="AS771" s="87"/>
      <c r="AT771" s="87"/>
      <c r="AU771" s="87"/>
      <c r="AV771" s="87"/>
      <c r="AW771" s="88" t="str">
        <f>HYPERLINK("http://www.openstreetmap.org/?mlat=30.7976&amp;mlon=47.5787&amp;zoom=12#map=12/30.7976/47.5787","Maplink1")</f>
        <v>Maplink1</v>
      </c>
      <c r="AX771" s="88" t="str">
        <f>HYPERLINK("https://www.google.iq/maps/search/+30.7976,47.5787/@30.7976,47.5787,14z?hl=en","Maplink2")</f>
        <v>Maplink2</v>
      </c>
      <c r="AY771" s="88" t="str">
        <f>HYPERLINK("http://www.bing.com/maps/?lvl=14&amp;sty=h&amp;cp=30.7976~47.5787&amp;sp=point.30.7976_47.5787","Maplink3")</f>
        <v>Maplink3</v>
      </c>
      <c r="AZ771" s="76"/>
    </row>
    <row r="772" spans="1:52" x14ac:dyDescent="0.25">
      <c r="A772" s="86">
        <v>1239</v>
      </c>
      <c r="B772" s="87" t="s">
        <v>15</v>
      </c>
      <c r="C772" s="87" t="s">
        <v>1540</v>
      </c>
      <c r="D772" s="87" t="s">
        <v>1555</v>
      </c>
      <c r="E772" s="87" t="s">
        <v>1556</v>
      </c>
      <c r="F772" s="87">
        <v>31.0064472</v>
      </c>
      <c r="G772" s="87">
        <v>47.451953000000003</v>
      </c>
      <c r="H772" s="86">
        <v>1</v>
      </c>
      <c r="I772" s="86">
        <v>6</v>
      </c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>
        <v>1</v>
      </c>
      <c r="Y772" s="87"/>
      <c r="Z772" s="87"/>
      <c r="AA772" s="87"/>
      <c r="AB772" s="87"/>
      <c r="AC772" s="87">
        <v>1</v>
      </c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>
        <v>1</v>
      </c>
      <c r="AR772" s="87"/>
      <c r="AS772" s="87"/>
      <c r="AT772" s="87"/>
      <c r="AU772" s="87"/>
      <c r="AV772" s="87"/>
      <c r="AW772" s="88" t="str">
        <f>HYPERLINK("http://www.openstreetmap.org/?mlat=31.0064&amp;mlon=47.452&amp;zoom=12#map=12/31.0064/47.452","Maplink1")</f>
        <v>Maplink1</v>
      </c>
      <c r="AX772" s="88" t="str">
        <f>HYPERLINK("https://www.google.iq/maps/search/+31.0064,47.452/@31.0064,47.452,14z?hl=en","Maplink2")</f>
        <v>Maplink2</v>
      </c>
      <c r="AY772" s="88" t="str">
        <f>HYPERLINK("http://www.bing.com/maps/?lvl=14&amp;sty=h&amp;cp=31.0064~47.452&amp;sp=point.31.0064_47.452","Maplink3")</f>
        <v>Maplink3</v>
      </c>
      <c r="AZ772" s="76"/>
    </row>
    <row r="773" spans="1:52" x14ac:dyDescent="0.25">
      <c r="A773" s="86">
        <v>1241</v>
      </c>
      <c r="B773" s="87" t="s">
        <v>15</v>
      </c>
      <c r="C773" s="87" t="s">
        <v>1540</v>
      </c>
      <c r="D773" s="87" t="s">
        <v>1557</v>
      </c>
      <c r="E773" s="87" t="s">
        <v>1558</v>
      </c>
      <c r="F773" s="87">
        <v>31.021489599999999</v>
      </c>
      <c r="G773" s="87">
        <v>47.432720363599998</v>
      </c>
      <c r="H773" s="86">
        <v>5</v>
      </c>
      <c r="I773" s="86">
        <v>30</v>
      </c>
      <c r="J773" s="87"/>
      <c r="K773" s="87"/>
      <c r="L773" s="87"/>
      <c r="M773" s="87"/>
      <c r="N773" s="87"/>
      <c r="O773" s="87"/>
      <c r="P773" s="87"/>
      <c r="Q773" s="87"/>
      <c r="R773" s="87">
        <v>4</v>
      </c>
      <c r="S773" s="87"/>
      <c r="T773" s="87"/>
      <c r="U773" s="87"/>
      <c r="V773" s="87">
        <v>1</v>
      </c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>
        <v>5</v>
      </c>
      <c r="AI773" s="87"/>
      <c r="AJ773" s="87"/>
      <c r="AK773" s="87"/>
      <c r="AL773" s="87"/>
      <c r="AM773" s="87"/>
      <c r="AN773" s="87"/>
      <c r="AO773" s="87"/>
      <c r="AP773" s="87">
        <v>3</v>
      </c>
      <c r="AQ773" s="87">
        <v>2</v>
      </c>
      <c r="AR773" s="87"/>
      <c r="AS773" s="87"/>
      <c r="AT773" s="87"/>
      <c r="AU773" s="87"/>
      <c r="AV773" s="87"/>
      <c r="AW773" s="88" t="str">
        <f>HYPERLINK("http://www.openstreetmap.org/?mlat=31.0215&amp;mlon=47.4327&amp;zoom=12#map=12/31.0215/47.4327","Maplink1")</f>
        <v>Maplink1</v>
      </c>
      <c r="AX773" s="88" t="str">
        <f>HYPERLINK("https://www.google.iq/maps/search/+31.0215,47.4327/@31.0215,47.4327,14z?hl=en","Maplink2")</f>
        <v>Maplink2</v>
      </c>
      <c r="AY773" s="88" t="str">
        <f>HYPERLINK("http://www.bing.com/maps/?lvl=14&amp;sty=h&amp;cp=31.0215~47.4327&amp;sp=point.31.0215_47.4327","Maplink3")</f>
        <v>Maplink3</v>
      </c>
      <c r="AZ773" s="76"/>
    </row>
    <row r="774" spans="1:52" x14ac:dyDescent="0.25">
      <c r="A774" s="86">
        <v>1236</v>
      </c>
      <c r="B774" s="87" t="s">
        <v>15</v>
      </c>
      <c r="C774" s="87" t="s">
        <v>1540</v>
      </c>
      <c r="D774" s="87" t="s">
        <v>1559</v>
      </c>
      <c r="E774" s="87" t="s">
        <v>1560</v>
      </c>
      <c r="F774" s="87">
        <v>31.0116643</v>
      </c>
      <c r="G774" s="87">
        <v>47.4257633</v>
      </c>
      <c r="H774" s="86">
        <v>1</v>
      </c>
      <c r="I774" s="86">
        <v>6</v>
      </c>
      <c r="J774" s="87">
        <v>1</v>
      </c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>
        <v>1</v>
      </c>
      <c r="AI774" s="87"/>
      <c r="AJ774" s="87"/>
      <c r="AK774" s="87"/>
      <c r="AL774" s="87"/>
      <c r="AM774" s="87"/>
      <c r="AN774" s="87"/>
      <c r="AO774" s="87"/>
      <c r="AP774" s="87"/>
      <c r="AQ774" s="87">
        <v>1</v>
      </c>
      <c r="AR774" s="87"/>
      <c r="AS774" s="87"/>
      <c r="AT774" s="87"/>
      <c r="AU774" s="87"/>
      <c r="AV774" s="87"/>
      <c r="AW774" s="88" t="str">
        <f>HYPERLINK("http://www.openstreetmap.org/?mlat=31.0117&amp;mlon=47.4258&amp;zoom=12#map=12/31.0117/47.4258","Maplink1")</f>
        <v>Maplink1</v>
      </c>
      <c r="AX774" s="88" t="str">
        <f>HYPERLINK("https://www.google.iq/maps/search/+31.0117,47.4258/@31.0117,47.4258,14z?hl=en","Maplink2")</f>
        <v>Maplink2</v>
      </c>
      <c r="AY774" s="88" t="str">
        <f>HYPERLINK("http://www.bing.com/maps/?lvl=14&amp;sty=h&amp;cp=31.0117~47.4258&amp;sp=point.31.0117_47.4258","Maplink3")</f>
        <v>Maplink3</v>
      </c>
      <c r="AZ774" s="76"/>
    </row>
    <row r="775" spans="1:52" x14ac:dyDescent="0.25">
      <c r="A775" s="86">
        <v>1110</v>
      </c>
      <c r="B775" s="87" t="s">
        <v>15</v>
      </c>
      <c r="C775" s="87" t="s">
        <v>1540</v>
      </c>
      <c r="D775" s="87" t="s">
        <v>1561</v>
      </c>
      <c r="E775" s="87" t="s">
        <v>1562</v>
      </c>
      <c r="F775" s="87">
        <v>30.9052966</v>
      </c>
      <c r="G775" s="87">
        <v>47.498311600000001</v>
      </c>
      <c r="H775" s="86">
        <v>1</v>
      </c>
      <c r="I775" s="86">
        <v>6</v>
      </c>
      <c r="J775" s="87"/>
      <c r="K775" s="87"/>
      <c r="L775" s="87"/>
      <c r="M775" s="87"/>
      <c r="N775" s="87"/>
      <c r="O775" s="87"/>
      <c r="P775" s="87"/>
      <c r="Q775" s="87"/>
      <c r="R775" s="87">
        <v>1</v>
      </c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>
        <v>1</v>
      </c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>
        <v>1</v>
      </c>
      <c r="AR775" s="87"/>
      <c r="AS775" s="87"/>
      <c r="AT775" s="87"/>
      <c r="AU775" s="87"/>
      <c r="AV775" s="87"/>
      <c r="AW775" s="88" t="str">
        <f>HYPERLINK("http://www.openstreetmap.org/?mlat=30.9053&amp;mlon=47.4983&amp;zoom=12#map=12/30.9053/47.4983","Maplink1")</f>
        <v>Maplink1</v>
      </c>
      <c r="AX775" s="88" t="str">
        <f>HYPERLINK("https://www.google.iq/maps/search/+30.9053,47.4983/@30.9053,47.4983,14z?hl=en","Maplink2")</f>
        <v>Maplink2</v>
      </c>
      <c r="AY775" s="88" t="str">
        <f>HYPERLINK("http://www.bing.com/maps/?lvl=14&amp;sty=h&amp;cp=30.9053~47.4983&amp;sp=point.30.9053_47.4983","Maplink3")</f>
        <v>Maplink3</v>
      </c>
      <c r="AZ775" s="76"/>
    </row>
    <row r="776" spans="1:52" x14ac:dyDescent="0.25">
      <c r="A776" s="86">
        <v>1240</v>
      </c>
      <c r="B776" s="87" t="s">
        <v>15</v>
      </c>
      <c r="C776" s="87" t="s">
        <v>1540</v>
      </c>
      <c r="D776" s="87" t="s">
        <v>1563</v>
      </c>
      <c r="E776" s="87" t="s">
        <v>1564</v>
      </c>
      <c r="F776" s="87">
        <v>31.022836399999999</v>
      </c>
      <c r="G776" s="87">
        <v>47.425786682800002</v>
      </c>
      <c r="H776" s="86">
        <v>8</v>
      </c>
      <c r="I776" s="86">
        <v>48</v>
      </c>
      <c r="J776" s="87">
        <v>2</v>
      </c>
      <c r="K776" s="87"/>
      <c r="L776" s="87"/>
      <c r="M776" s="87"/>
      <c r="N776" s="87"/>
      <c r="O776" s="87"/>
      <c r="P776" s="87"/>
      <c r="Q776" s="87"/>
      <c r="R776" s="87">
        <v>1</v>
      </c>
      <c r="S776" s="87"/>
      <c r="T776" s="87"/>
      <c r="U776" s="87"/>
      <c r="V776" s="87">
        <v>4</v>
      </c>
      <c r="W776" s="87"/>
      <c r="X776" s="87">
        <v>1</v>
      </c>
      <c r="Y776" s="87"/>
      <c r="Z776" s="87"/>
      <c r="AA776" s="87"/>
      <c r="AB776" s="87"/>
      <c r="AC776" s="87">
        <v>3</v>
      </c>
      <c r="AD776" s="87"/>
      <c r="AE776" s="87"/>
      <c r="AF776" s="87"/>
      <c r="AG776" s="87"/>
      <c r="AH776" s="87">
        <v>5</v>
      </c>
      <c r="AI776" s="87"/>
      <c r="AJ776" s="87"/>
      <c r="AK776" s="87"/>
      <c r="AL776" s="87"/>
      <c r="AM776" s="87"/>
      <c r="AN776" s="87">
        <v>1</v>
      </c>
      <c r="AO776" s="87">
        <v>2</v>
      </c>
      <c r="AP776" s="87">
        <v>3</v>
      </c>
      <c r="AQ776" s="87">
        <v>1</v>
      </c>
      <c r="AR776" s="87">
        <v>1</v>
      </c>
      <c r="AS776" s="87"/>
      <c r="AT776" s="87"/>
      <c r="AU776" s="87"/>
      <c r="AV776" s="87"/>
      <c r="AW776" s="88" t="str">
        <f>HYPERLINK("http://www.openstreetmap.org/?mlat=31.0228&amp;mlon=47.4258&amp;zoom=12#map=12/31.0228/47.4258","Maplink1")</f>
        <v>Maplink1</v>
      </c>
      <c r="AX776" s="88" t="str">
        <f>HYPERLINK("https://www.google.iq/maps/search/+31.0228,47.4258/@31.0228,47.4258,14z?hl=en","Maplink2")</f>
        <v>Maplink2</v>
      </c>
      <c r="AY776" s="88" t="str">
        <f>HYPERLINK("http://www.bing.com/maps/?lvl=14&amp;sty=h&amp;cp=31.0228~47.4258&amp;sp=point.31.0228_47.4258","Maplink3")</f>
        <v>Maplink3</v>
      </c>
      <c r="AZ776" s="76"/>
    </row>
    <row r="777" spans="1:52" x14ac:dyDescent="0.25">
      <c r="A777" s="86">
        <v>25224</v>
      </c>
      <c r="B777" s="87" t="s">
        <v>15</v>
      </c>
      <c r="C777" s="87" t="s">
        <v>1540</v>
      </c>
      <c r="D777" s="87" t="s">
        <v>1565</v>
      </c>
      <c r="E777" s="87" t="s">
        <v>1566</v>
      </c>
      <c r="F777" s="87">
        <v>30.793150900000001</v>
      </c>
      <c r="G777" s="87">
        <v>47.577057099999998</v>
      </c>
      <c r="H777" s="86">
        <v>1</v>
      </c>
      <c r="I777" s="86">
        <v>6</v>
      </c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>
        <v>1</v>
      </c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>
        <v>1</v>
      </c>
      <c r="AI777" s="87"/>
      <c r="AJ777" s="87"/>
      <c r="AK777" s="87"/>
      <c r="AL777" s="87"/>
      <c r="AM777" s="87"/>
      <c r="AN777" s="87"/>
      <c r="AO777" s="87"/>
      <c r="AP777" s="87"/>
      <c r="AQ777" s="87">
        <v>1</v>
      </c>
      <c r="AR777" s="87"/>
      <c r="AS777" s="87"/>
      <c r="AT777" s="87"/>
      <c r="AU777" s="87"/>
      <c r="AV777" s="87"/>
      <c r="AW777" s="88" t="str">
        <f>HYPERLINK("http://www.openstreetmap.org/?mlat=30.7932&amp;mlon=47.5771&amp;zoom=12#map=12/30.7932/47.5771","Maplink1")</f>
        <v>Maplink1</v>
      </c>
      <c r="AX777" s="88" t="str">
        <f>HYPERLINK("https://www.google.iq/maps/search/+30.7932,47.5771/@30.7932,47.5771,14z?hl=en","Maplink2")</f>
        <v>Maplink2</v>
      </c>
      <c r="AY777" s="88" t="str">
        <f>HYPERLINK("http://www.bing.com/maps/?lvl=14&amp;sty=h&amp;cp=30.7932~47.5771&amp;sp=point.30.7932_47.5771","Maplink3")</f>
        <v>Maplink3</v>
      </c>
      <c r="AZ777" s="76"/>
    </row>
    <row r="778" spans="1:52" x14ac:dyDescent="0.25">
      <c r="A778" s="86">
        <v>496</v>
      </c>
      <c r="B778" s="87" t="s">
        <v>15</v>
      </c>
      <c r="C778" s="87" t="s">
        <v>1540</v>
      </c>
      <c r="D778" s="87" t="s">
        <v>1567</v>
      </c>
      <c r="E778" s="87" t="s">
        <v>1568</v>
      </c>
      <c r="F778" s="87">
        <v>30.815373699999999</v>
      </c>
      <c r="G778" s="87">
        <v>47.565099099999998</v>
      </c>
      <c r="H778" s="86">
        <v>2</v>
      </c>
      <c r="I778" s="86">
        <v>12</v>
      </c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>
        <v>2</v>
      </c>
      <c r="W778" s="87"/>
      <c r="X778" s="87"/>
      <c r="Y778" s="87"/>
      <c r="Z778" s="87"/>
      <c r="AA778" s="87"/>
      <c r="AB778" s="87"/>
      <c r="AC778" s="87">
        <v>1</v>
      </c>
      <c r="AD778" s="87"/>
      <c r="AE778" s="87"/>
      <c r="AF778" s="87"/>
      <c r="AG778" s="87"/>
      <c r="AH778" s="87">
        <v>1</v>
      </c>
      <c r="AI778" s="87"/>
      <c r="AJ778" s="87"/>
      <c r="AK778" s="87"/>
      <c r="AL778" s="87"/>
      <c r="AM778" s="87"/>
      <c r="AN778" s="87"/>
      <c r="AO778" s="87"/>
      <c r="AP778" s="87"/>
      <c r="AQ778" s="87">
        <v>2</v>
      </c>
      <c r="AR778" s="87"/>
      <c r="AS778" s="87"/>
      <c r="AT778" s="87"/>
      <c r="AU778" s="87"/>
      <c r="AV778" s="87"/>
      <c r="AW778" s="88" t="str">
        <f>HYPERLINK("http://www.openstreetmap.org/?mlat=30.8154&amp;mlon=47.5651&amp;zoom=12#map=12/30.8154/47.5651","Maplink1")</f>
        <v>Maplink1</v>
      </c>
      <c r="AX778" s="88" t="str">
        <f>HYPERLINK("https://www.google.iq/maps/search/+30.8154,47.5651/@30.8154,47.5651,14z?hl=en","Maplink2")</f>
        <v>Maplink2</v>
      </c>
      <c r="AY778" s="88" t="str">
        <f>HYPERLINK("http://www.bing.com/maps/?lvl=14&amp;sty=h&amp;cp=30.8154~47.5651&amp;sp=point.30.8154_47.5651","Maplink3")</f>
        <v>Maplink3</v>
      </c>
      <c r="AZ778" s="76"/>
    </row>
    <row r="779" spans="1:52" x14ac:dyDescent="0.25">
      <c r="A779" s="86">
        <v>24279</v>
      </c>
      <c r="B779" s="87" t="s">
        <v>15</v>
      </c>
      <c r="C779" s="87" t="s">
        <v>1569</v>
      </c>
      <c r="D779" s="87" t="s">
        <v>1570</v>
      </c>
      <c r="E779" s="87" t="s">
        <v>1571</v>
      </c>
      <c r="F779" s="87">
        <v>30.345317119699999</v>
      </c>
      <c r="G779" s="87">
        <v>47.756150714100002</v>
      </c>
      <c r="H779" s="86">
        <v>1</v>
      </c>
      <c r="I779" s="86">
        <v>6</v>
      </c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>
        <v>1</v>
      </c>
      <c r="Y779" s="87"/>
      <c r="Z779" s="87"/>
      <c r="AA779" s="87"/>
      <c r="AB779" s="87"/>
      <c r="AC779" s="87"/>
      <c r="AD779" s="87"/>
      <c r="AE779" s="87"/>
      <c r="AF779" s="87"/>
      <c r="AG779" s="87"/>
      <c r="AH779" s="87">
        <v>1</v>
      </c>
      <c r="AI779" s="87"/>
      <c r="AJ779" s="87"/>
      <c r="AK779" s="87"/>
      <c r="AL779" s="87"/>
      <c r="AM779" s="87"/>
      <c r="AN779" s="87"/>
      <c r="AO779" s="87">
        <v>1</v>
      </c>
      <c r="AP779" s="87"/>
      <c r="AQ779" s="87"/>
      <c r="AR779" s="87"/>
      <c r="AS779" s="87"/>
      <c r="AT779" s="87"/>
      <c r="AU779" s="87"/>
      <c r="AV779" s="87"/>
      <c r="AW779" s="88" t="str">
        <f>HYPERLINK("http://www.openstreetmap.org/?mlat=30.3453&amp;mlon=47.7562&amp;zoom=12#map=12/30.3453/47.7562","Maplink1")</f>
        <v>Maplink1</v>
      </c>
      <c r="AX779" s="88" t="str">
        <f>HYPERLINK("https://www.google.iq/maps/search/+30.3453,47.7562/@30.3453,47.7562,14z?hl=en","Maplink2")</f>
        <v>Maplink2</v>
      </c>
      <c r="AY779" s="88" t="str">
        <f>HYPERLINK("http://www.bing.com/maps/?lvl=14&amp;sty=h&amp;cp=30.3453~47.7562&amp;sp=point.30.3453_47.7562","Maplink3")</f>
        <v>Maplink3</v>
      </c>
      <c r="AZ779" s="76"/>
    </row>
    <row r="780" spans="1:52" x14ac:dyDescent="0.25">
      <c r="A780" s="86">
        <v>367</v>
      </c>
      <c r="B780" s="87" t="s">
        <v>15</v>
      </c>
      <c r="C780" s="87" t="s">
        <v>1569</v>
      </c>
      <c r="D780" s="87" t="s">
        <v>1572</v>
      </c>
      <c r="E780" s="87" t="s">
        <v>1573</v>
      </c>
      <c r="F780" s="87">
        <v>30.3770593534</v>
      </c>
      <c r="G780" s="87">
        <v>47.718328140700002</v>
      </c>
      <c r="H780" s="86">
        <v>2</v>
      </c>
      <c r="I780" s="86">
        <v>12</v>
      </c>
      <c r="J780" s="87"/>
      <c r="K780" s="87">
        <v>2</v>
      </c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>
        <v>2</v>
      </c>
      <c r="AI780" s="87"/>
      <c r="AJ780" s="87"/>
      <c r="AK780" s="87"/>
      <c r="AL780" s="87"/>
      <c r="AM780" s="87"/>
      <c r="AN780" s="87"/>
      <c r="AO780" s="87"/>
      <c r="AP780" s="87"/>
      <c r="AQ780" s="87">
        <v>2</v>
      </c>
      <c r="AR780" s="87"/>
      <c r="AS780" s="87"/>
      <c r="AT780" s="87"/>
      <c r="AU780" s="87"/>
      <c r="AV780" s="87"/>
      <c r="AW780" s="88" t="str">
        <f>HYPERLINK("http://www.openstreetmap.org/?mlat=30.3771&amp;mlon=47.7183&amp;zoom=12#map=12/30.3771/47.7183","Maplink1")</f>
        <v>Maplink1</v>
      </c>
      <c r="AX780" s="88" t="str">
        <f>HYPERLINK("https://www.google.iq/maps/search/+30.3771,47.7183/@30.3771,47.7183,14z?hl=en","Maplink2")</f>
        <v>Maplink2</v>
      </c>
      <c r="AY780" s="88" t="str">
        <f>HYPERLINK("http://www.bing.com/maps/?lvl=14&amp;sty=h&amp;cp=30.3771~47.7183&amp;sp=point.30.3771_47.7183","Maplink3")</f>
        <v>Maplink3</v>
      </c>
      <c r="AZ780" s="76"/>
    </row>
    <row r="781" spans="1:52" x14ac:dyDescent="0.25">
      <c r="A781" s="86">
        <v>24677</v>
      </c>
      <c r="B781" s="87" t="s">
        <v>15</v>
      </c>
      <c r="C781" s="87" t="s">
        <v>1569</v>
      </c>
      <c r="D781" s="87" t="s">
        <v>1574</v>
      </c>
      <c r="E781" s="87" t="s">
        <v>1575</v>
      </c>
      <c r="F781" s="87">
        <v>30.321863801900001</v>
      </c>
      <c r="G781" s="87">
        <v>47.721841495500001</v>
      </c>
      <c r="H781" s="86">
        <v>2</v>
      </c>
      <c r="I781" s="86">
        <v>12</v>
      </c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>
        <v>2</v>
      </c>
      <c r="W781" s="87"/>
      <c r="X781" s="87"/>
      <c r="Y781" s="87"/>
      <c r="Z781" s="87"/>
      <c r="AA781" s="87"/>
      <c r="AB781" s="87"/>
      <c r="AC781" s="87">
        <v>1</v>
      </c>
      <c r="AD781" s="87"/>
      <c r="AE781" s="87"/>
      <c r="AF781" s="87"/>
      <c r="AG781" s="87"/>
      <c r="AH781" s="87">
        <v>1</v>
      </c>
      <c r="AI781" s="87"/>
      <c r="AJ781" s="87"/>
      <c r="AK781" s="87"/>
      <c r="AL781" s="87"/>
      <c r="AM781" s="87"/>
      <c r="AN781" s="87"/>
      <c r="AO781" s="87">
        <v>1</v>
      </c>
      <c r="AP781" s="87">
        <v>1</v>
      </c>
      <c r="AQ781" s="87"/>
      <c r="AR781" s="87"/>
      <c r="AS781" s="87"/>
      <c r="AT781" s="87"/>
      <c r="AU781" s="87"/>
      <c r="AV781" s="87"/>
      <c r="AW781" s="88" t="str">
        <f>HYPERLINK("http://www.openstreetmap.org/?mlat=30.3219&amp;mlon=47.7218&amp;zoom=12#map=12/30.3219/47.7218","Maplink1")</f>
        <v>Maplink1</v>
      </c>
      <c r="AX781" s="88" t="str">
        <f>HYPERLINK("https://www.google.iq/maps/search/+30.3219,47.7218/@30.3219,47.7218,14z?hl=en","Maplink2")</f>
        <v>Maplink2</v>
      </c>
      <c r="AY781" s="88" t="str">
        <f>HYPERLINK("http://www.bing.com/maps/?lvl=14&amp;sty=h&amp;cp=30.3219~47.7218&amp;sp=point.30.3219_47.7218","Maplink3")</f>
        <v>Maplink3</v>
      </c>
      <c r="AZ781" s="76"/>
    </row>
    <row r="782" spans="1:52" x14ac:dyDescent="0.25">
      <c r="A782" s="86">
        <v>24676</v>
      </c>
      <c r="B782" s="87" t="s">
        <v>15</v>
      </c>
      <c r="C782" s="87" t="s">
        <v>1569</v>
      </c>
      <c r="D782" s="87" t="s">
        <v>1576</v>
      </c>
      <c r="E782" s="87" t="s">
        <v>1577</v>
      </c>
      <c r="F782" s="87">
        <v>30.560015723700001</v>
      </c>
      <c r="G782" s="87">
        <v>47.3733710769</v>
      </c>
      <c r="H782" s="86">
        <v>1</v>
      </c>
      <c r="I782" s="86">
        <v>6</v>
      </c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>
        <v>1</v>
      </c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>
        <v>1</v>
      </c>
      <c r="AI782" s="87"/>
      <c r="AJ782" s="87"/>
      <c r="AK782" s="87"/>
      <c r="AL782" s="87"/>
      <c r="AM782" s="87"/>
      <c r="AN782" s="87"/>
      <c r="AO782" s="87"/>
      <c r="AP782" s="87"/>
      <c r="AQ782" s="87">
        <v>1</v>
      </c>
      <c r="AR782" s="87"/>
      <c r="AS782" s="87"/>
      <c r="AT782" s="87"/>
      <c r="AU782" s="87"/>
      <c r="AV782" s="87"/>
      <c r="AW782" s="88" t="str">
        <f>HYPERLINK("http://www.openstreetmap.org/?mlat=30.56&amp;mlon=47.3734&amp;zoom=12#map=12/30.56/47.3734","Maplink1")</f>
        <v>Maplink1</v>
      </c>
      <c r="AX782" s="88" t="str">
        <f>HYPERLINK("https://www.google.iq/maps/search/+30.56,47.3734/@30.56,47.3734,14z?hl=en","Maplink2")</f>
        <v>Maplink2</v>
      </c>
      <c r="AY782" s="88" t="str">
        <f>HYPERLINK("http://www.bing.com/maps/?lvl=14&amp;sty=h&amp;cp=30.56~47.3734&amp;sp=point.30.56_47.3734","Maplink3")</f>
        <v>Maplink3</v>
      </c>
      <c r="AZ782" s="76"/>
    </row>
    <row r="783" spans="1:52" x14ac:dyDescent="0.25">
      <c r="A783" s="86">
        <v>1281</v>
      </c>
      <c r="B783" s="87" t="s">
        <v>15</v>
      </c>
      <c r="C783" s="87" t="s">
        <v>1569</v>
      </c>
      <c r="D783" s="87" t="s">
        <v>1578</v>
      </c>
      <c r="E783" s="87" t="s">
        <v>1579</v>
      </c>
      <c r="F783" s="87">
        <v>30.388106344899999</v>
      </c>
      <c r="G783" s="87">
        <v>47.7147770511</v>
      </c>
      <c r="H783" s="86">
        <v>8</v>
      </c>
      <c r="I783" s="86">
        <v>48</v>
      </c>
      <c r="J783" s="87">
        <v>1</v>
      </c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>
        <v>7</v>
      </c>
      <c r="Y783" s="87"/>
      <c r="Z783" s="87"/>
      <c r="AA783" s="87"/>
      <c r="AB783" s="87"/>
      <c r="AC783" s="87">
        <v>1</v>
      </c>
      <c r="AD783" s="87"/>
      <c r="AE783" s="87"/>
      <c r="AF783" s="87"/>
      <c r="AG783" s="87"/>
      <c r="AH783" s="87">
        <v>7</v>
      </c>
      <c r="AI783" s="87"/>
      <c r="AJ783" s="87"/>
      <c r="AK783" s="87"/>
      <c r="AL783" s="87"/>
      <c r="AM783" s="87"/>
      <c r="AN783" s="87"/>
      <c r="AO783" s="87"/>
      <c r="AP783" s="87">
        <v>3</v>
      </c>
      <c r="AQ783" s="87">
        <v>2</v>
      </c>
      <c r="AR783" s="87">
        <v>2</v>
      </c>
      <c r="AS783" s="87">
        <v>1</v>
      </c>
      <c r="AT783" s="87"/>
      <c r="AU783" s="87"/>
      <c r="AV783" s="87"/>
      <c r="AW783" s="88" t="str">
        <f>HYPERLINK("http://www.openstreetmap.org/?mlat=30.3881&amp;mlon=47.7148&amp;zoom=12#map=12/30.3881/47.7148","Maplink1")</f>
        <v>Maplink1</v>
      </c>
      <c r="AX783" s="88" t="str">
        <f>HYPERLINK("https://www.google.iq/maps/search/+30.3881,47.7148/@30.3881,47.7148,14z?hl=en","Maplink2")</f>
        <v>Maplink2</v>
      </c>
      <c r="AY783" s="88" t="str">
        <f>HYPERLINK("http://www.bing.com/maps/?lvl=14&amp;sty=h&amp;cp=30.3881~47.7148&amp;sp=point.30.3881_47.7148","Maplink3")</f>
        <v>Maplink3</v>
      </c>
      <c r="AZ783" s="76"/>
    </row>
    <row r="784" spans="1:52" x14ac:dyDescent="0.25">
      <c r="A784" s="86">
        <v>767</v>
      </c>
      <c r="B784" s="87" t="s">
        <v>15</v>
      </c>
      <c r="C784" s="87" t="s">
        <v>1569</v>
      </c>
      <c r="D784" s="87" t="s">
        <v>1580</v>
      </c>
      <c r="E784" s="87" t="s">
        <v>1581</v>
      </c>
      <c r="F784" s="87">
        <v>30.390720319</v>
      </c>
      <c r="G784" s="87">
        <v>47.708728171899999</v>
      </c>
      <c r="H784" s="86">
        <v>6</v>
      </c>
      <c r="I784" s="86">
        <v>36</v>
      </c>
      <c r="J784" s="87">
        <v>2</v>
      </c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>
        <v>4</v>
      </c>
      <c r="Y784" s="87"/>
      <c r="Z784" s="87"/>
      <c r="AA784" s="87"/>
      <c r="AB784" s="87"/>
      <c r="AC784" s="87"/>
      <c r="AD784" s="87"/>
      <c r="AE784" s="87"/>
      <c r="AF784" s="87"/>
      <c r="AG784" s="87"/>
      <c r="AH784" s="87">
        <v>6</v>
      </c>
      <c r="AI784" s="87"/>
      <c r="AJ784" s="87"/>
      <c r="AK784" s="87"/>
      <c r="AL784" s="87"/>
      <c r="AM784" s="87"/>
      <c r="AN784" s="87"/>
      <c r="AO784" s="87"/>
      <c r="AP784" s="87">
        <v>1</v>
      </c>
      <c r="AQ784" s="87">
        <v>5</v>
      </c>
      <c r="AR784" s="87"/>
      <c r="AS784" s="87"/>
      <c r="AT784" s="87"/>
      <c r="AU784" s="87"/>
      <c r="AV784" s="87"/>
      <c r="AW784" s="88" t="str">
        <f>HYPERLINK("http://www.openstreetmap.org/?mlat=30.3907&amp;mlon=47.7087&amp;zoom=12#map=12/30.3907/47.7087","Maplink1")</f>
        <v>Maplink1</v>
      </c>
      <c r="AX784" s="88" t="str">
        <f>HYPERLINK("https://www.google.iq/maps/search/+30.3907,47.7087/@30.3907,47.7087,14z?hl=en","Maplink2")</f>
        <v>Maplink2</v>
      </c>
      <c r="AY784" s="88" t="str">
        <f>HYPERLINK("http://www.bing.com/maps/?lvl=14&amp;sty=h&amp;cp=30.3907~47.7087&amp;sp=point.30.3907_47.7087","Maplink3")</f>
        <v>Maplink3</v>
      </c>
      <c r="AZ784" s="76"/>
    </row>
    <row r="785" spans="1:52" x14ac:dyDescent="0.25">
      <c r="A785" s="86">
        <v>760</v>
      </c>
      <c r="B785" s="87" t="s">
        <v>15</v>
      </c>
      <c r="C785" s="87" t="s">
        <v>1569</v>
      </c>
      <c r="D785" s="87" t="s">
        <v>1582</v>
      </c>
      <c r="E785" s="87" t="s">
        <v>1583</v>
      </c>
      <c r="F785" s="87">
        <v>30.389103948500001</v>
      </c>
      <c r="G785" s="87">
        <v>47.713629582000003</v>
      </c>
      <c r="H785" s="86">
        <v>11</v>
      </c>
      <c r="I785" s="86">
        <v>66</v>
      </c>
      <c r="J785" s="87">
        <v>7</v>
      </c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>
        <v>4</v>
      </c>
      <c r="Y785" s="87"/>
      <c r="Z785" s="87"/>
      <c r="AA785" s="87"/>
      <c r="AB785" s="87"/>
      <c r="AC785" s="87"/>
      <c r="AD785" s="87"/>
      <c r="AE785" s="87"/>
      <c r="AF785" s="87"/>
      <c r="AG785" s="87"/>
      <c r="AH785" s="87">
        <v>11</v>
      </c>
      <c r="AI785" s="87"/>
      <c r="AJ785" s="87"/>
      <c r="AK785" s="87"/>
      <c r="AL785" s="87"/>
      <c r="AM785" s="87"/>
      <c r="AN785" s="87"/>
      <c r="AO785" s="87"/>
      <c r="AP785" s="87">
        <v>2</v>
      </c>
      <c r="AQ785" s="87">
        <v>6</v>
      </c>
      <c r="AR785" s="87">
        <v>3</v>
      </c>
      <c r="AS785" s="87"/>
      <c r="AT785" s="87"/>
      <c r="AU785" s="87"/>
      <c r="AV785" s="87"/>
      <c r="AW785" s="88" t="str">
        <f>HYPERLINK("http://www.openstreetmap.org/?mlat=30.3891&amp;mlon=47.7136&amp;zoom=12#map=12/30.3891/47.7136","Maplink1")</f>
        <v>Maplink1</v>
      </c>
      <c r="AX785" s="88" t="str">
        <f>HYPERLINK("https://www.google.iq/maps/search/+30.3891,47.7136/@30.3891,47.7136,14z?hl=en","Maplink2")</f>
        <v>Maplink2</v>
      </c>
      <c r="AY785" s="88" t="str">
        <f>HYPERLINK("http://www.bing.com/maps/?lvl=14&amp;sty=h&amp;cp=30.3891~47.7136&amp;sp=point.30.3891_47.7136","Maplink3")</f>
        <v>Maplink3</v>
      </c>
      <c r="AZ785" s="76"/>
    </row>
    <row r="786" spans="1:52" x14ac:dyDescent="0.25">
      <c r="A786" s="86">
        <v>753</v>
      </c>
      <c r="B786" s="87" t="s">
        <v>15</v>
      </c>
      <c r="C786" s="87" t="s">
        <v>1569</v>
      </c>
      <c r="D786" s="87" t="s">
        <v>1584</v>
      </c>
      <c r="E786" s="87" t="s">
        <v>1585</v>
      </c>
      <c r="F786" s="87">
        <v>30.3833766829</v>
      </c>
      <c r="G786" s="87">
        <v>47.7049438536</v>
      </c>
      <c r="H786" s="86">
        <v>7</v>
      </c>
      <c r="I786" s="86">
        <v>42</v>
      </c>
      <c r="J786" s="87">
        <v>1</v>
      </c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>
        <v>2</v>
      </c>
      <c r="W786" s="87"/>
      <c r="X786" s="87">
        <v>4</v>
      </c>
      <c r="Y786" s="87"/>
      <c r="Z786" s="87"/>
      <c r="AA786" s="87"/>
      <c r="AB786" s="87"/>
      <c r="AC786" s="87"/>
      <c r="AD786" s="87"/>
      <c r="AE786" s="87"/>
      <c r="AF786" s="87"/>
      <c r="AG786" s="87"/>
      <c r="AH786" s="87">
        <v>7</v>
      </c>
      <c r="AI786" s="87"/>
      <c r="AJ786" s="87"/>
      <c r="AK786" s="87"/>
      <c r="AL786" s="87"/>
      <c r="AM786" s="87"/>
      <c r="AN786" s="87">
        <v>1</v>
      </c>
      <c r="AO786" s="87"/>
      <c r="AP786" s="87">
        <v>2</v>
      </c>
      <c r="AQ786" s="87">
        <v>1</v>
      </c>
      <c r="AR786" s="87"/>
      <c r="AS786" s="87">
        <v>1</v>
      </c>
      <c r="AT786" s="87">
        <v>1</v>
      </c>
      <c r="AU786" s="87">
        <v>1</v>
      </c>
      <c r="AV786" s="87"/>
      <c r="AW786" s="88" t="str">
        <f>HYPERLINK("http://www.openstreetmap.org/?mlat=30.3834&amp;mlon=47.7049&amp;zoom=12#map=12/30.3834/47.7049","Maplink1")</f>
        <v>Maplink1</v>
      </c>
      <c r="AX786" s="88" t="str">
        <f>HYPERLINK("https://www.google.iq/maps/search/+30.3834,47.7049/@30.3834,47.7049,14z?hl=en","Maplink2")</f>
        <v>Maplink2</v>
      </c>
      <c r="AY786" s="88" t="str">
        <f>HYPERLINK("http://www.bing.com/maps/?lvl=14&amp;sty=h&amp;cp=30.3834~47.7049&amp;sp=point.30.3834_47.7049","Maplink3")</f>
        <v>Maplink3</v>
      </c>
      <c r="AZ786" s="76"/>
    </row>
    <row r="787" spans="1:52" x14ac:dyDescent="0.25">
      <c r="A787" s="86">
        <v>757</v>
      </c>
      <c r="B787" s="87" t="s">
        <v>15</v>
      </c>
      <c r="C787" s="87" t="s">
        <v>1569</v>
      </c>
      <c r="D787" s="87" t="s">
        <v>1586</v>
      </c>
      <c r="E787" s="87" t="s">
        <v>1587</v>
      </c>
      <c r="F787" s="87">
        <v>30.386522722999999</v>
      </c>
      <c r="G787" s="87">
        <v>47.687156283500002</v>
      </c>
      <c r="H787" s="86">
        <v>5</v>
      </c>
      <c r="I787" s="86">
        <v>30</v>
      </c>
      <c r="J787" s="87">
        <v>1</v>
      </c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>
        <v>4</v>
      </c>
      <c r="Y787" s="87"/>
      <c r="Z787" s="87"/>
      <c r="AA787" s="87"/>
      <c r="AB787" s="87"/>
      <c r="AC787" s="87"/>
      <c r="AD787" s="87"/>
      <c r="AE787" s="87"/>
      <c r="AF787" s="87"/>
      <c r="AG787" s="87"/>
      <c r="AH787" s="87">
        <v>5</v>
      </c>
      <c r="AI787" s="87"/>
      <c r="AJ787" s="87"/>
      <c r="AK787" s="87"/>
      <c r="AL787" s="87"/>
      <c r="AM787" s="87"/>
      <c r="AN787" s="87"/>
      <c r="AO787" s="87">
        <v>1</v>
      </c>
      <c r="AP787" s="87"/>
      <c r="AQ787" s="87">
        <v>4</v>
      </c>
      <c r="AR787" s="87"/>
      <c r="AS787" s="87"/>
      <c r="AT787" s="87"/>
      <c r="AU787" s="87"/>
      <c r="AV787" s="87"/>
      <c r="AW787" s="88" t="str">
        <f>HYPERLINK("http://www.openstreetmap.org/?mlat=30.3865&amp;mlon=47.6872&amp;zoom=12#map=12/30.3865/47.6872","Maplink1")</f>
        <v>Maplink1</v>
      </c>
      <c r="AX787" s="88" t="str">
        <f>HYPERLINK("https://www.google.iq/maps/search/+30.3865,47.6872/@30.3865,47.6872,14z?hl=en","Maplink2")</f>
        <v>Maplink2</v>
      </c>
      <c r="AY787" s="88" t="str">
        <f>HYPERLINK("http://www.bing.com/maps/?lvl=14&amp;sty=h&amp;cp=30.3865~47.6872&amp;sp=point.30.3865_47.6872","Maplink3")</f>
        <v>Maplink3</v>
      </c>
      <c r="AZ787" s="76"/>
    </row>
    <row r="788" spans="1:52" x14ac:dyDescent="0.25">
      <c r="A788" s="86">
        <v>764</v>
      </c>
      <c r="B788" s="87" t="s">
        <v>15</v>
      </c>
      <c r="C788" s="87" t="s">
        <v>1569</v>
      </c>
      <c r="D788" s="87" t="s">
        <v>1588</v>
      </c>
      <c r="E788" s="87" t="s">
        <v>1589</v>
      </c>
      <c r="F788" s="87">
        <v>30.392347870799998</v>
      </c>
      <c r="G788" s="87">
        <v>47.701732173899998</v>
      </c>
      <c r="H788" s="86">
        <v>5</v>
      </c>
      <c r="I788" s="86">
        <v>30</v>
      </c>
      <c r="J788" s="87">
        <v>3</v>
      </c>
      <c r="K788" s="87"/>
      <c r="L788" s="87"/>
      <c r="M788" s="87"/>
      <c r="N788" s="87"/>
      <c r="O788" s="87"/>
      <c r="P788" s="87"/>
      <c r="Q788" s="87"/>
      <c r="R788" s="87">
        <v>1</v>
      </c>
      <c r="S788" s="87"/>
      <c r="T788" s="87"/>
      <c r="U788" s="87"/>
      <c r="V788" s="87">
        <v>1</v>
      </c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>
        <v>5</v>
      </c>
      <c r="AI788" s="87"/>
      <c r="AJ788" s="87"/>
      <c r="AK788" s="87"/>
      <c r="AL788" s="87"/>
      <c r="AM788" s="87"/>
      <c r="AN788" s="87"/>
      <c r="AO788" s="87"/>
      <c r="AP788" s="87">
        <v>1</v>
      </c>
      <c r="AQ788" s="87">
        <v>2</v>
      </c>
      <c r="AR788" s="87">
        <v>1</v>
      </c>
      <c r="AS788" s="87"/>
      <c r="AT788" s="87">
        <v>1</v>
      </c>
      <c r="AU788" s="87"/>
      <c r="AV788" s="87"/>
      <c r="AW788" s="88" t="str">
        <f>HYPERLINK("http://www.openstreetmap.org/?mlat=30.3923&amp;mlon=47.7017&amp;zoom=12#map=12/30.3923/47.7017","Maplink1")</f>
        <v>Maplink1</v>
      </c>
      <c r="AX788" s="88" t="str">
        <f>HYPERLINK("https://www.google.iq/maps/search/+30.3923,47.7017/@30.3923,47.7017,14z?hl=en","Maplink2")</f>
        <v>Maplink2</v>
      </c>
      <c r="AY788" s="88" t="str">
        <f>HYPERLINK("http://www.bing.com/maps/?lvl=14&amp;sty=h&amp;cp=30.3923~47.7017&amp;sp=point.30.3923_47.7017","Maplink3")</f>
        <v>Maplink3</v>
      </c>
      <c r="AZ788" s="76"/>
    </row>
    <row r="789" spans="1:52" x14ac:dyDescent="0.25">
      <c r="A789" s="86">
        <v>779</v>
      </c>
      <c r="B789" s="87" t="s">
        <v>15</v>
      </c>
      <c r="C789" s="87" t="s">
        <v>1569</v>
      </c>
      <c r="D789" s="87" t="s">
        <v>1590</v>
      </c>
      <c r="E789" s="87" t="s">
        <v>1591</v>
      </c>
      <c r="F789" s="87">
        <v>30.397448835799999</v>
      </c>
      <c r="G789" s="87">
        <v>47.7009666147</v>
      </c>
      <c r="H789" s="86">
        <v>16</v>
      </c>
      <c r="I789" s="86">
        <v>96</v>
      </c>
      <c r="J789" s="87">
        <v>1</v>
      </c>
      <c r="K789" s="87"/>
      <c r="L789" s="87"/>
      <c r="M789" s="87"/>
      <c r="N789" s="87"/>
      <c r="O789" s="87">
        <v>1</v>
      </c>
      <c r="P789" s="87"/>
      <c r="Q789" s="87"/>
      <c r="R789" s="87"/>
      <c r="S789" s="87"/>
      <c r="T789" s="87"/>
      <c r="U789" s="87"/>
      <c r="V789" s="87">
        <v>3</v>
      </c>
      <c r="W789" s="87"/>
      <c r="X789" s="87">
        <v>11</v>
      </c>
      <c r="Y789" s="87"/>
      <c r="Z789" s="87"/>
      <c r="AA789" s="87"/>
      <c r="AB789" s="87"/>
      <c r="AC789" s="87">
        <v>1</v>
      </c>
      <c r="AD789" s="87"/>
      <c r="AE789" s="87"/>
      <c r="AF789" s="87"/>
      <c r="AG789" s="87"/>
      <c r="AH789" s="87">
        <v>15</v>
      </c>
      <c r="AI789" s="87"/>
      <c r="AJ789" s="87"/>
      <c r="AK789" s="87"/>
      <c r="AL789" s="87"/>
      <c r="AM789" s="87"/>
      <c r="AN789" s="87">
        <v>1</v>
      </c>
      <c r="AO789" s="87">
        <v>1</v>
      </c>
      <c r="AP789" s="87">
        <v>1</v>
      </c>
      <c r="AQ789" s="87">
        <v>13</v>
      </c>
      <c r="AR789" s="87"/>
      <c r="AS789" s="87"/>
      <c r="AT789" s="87"/>
      <c r="AU789" s="87"/>
      <c r="AV789" s="87"/>
      <c r="AW789" s="88" t="str">
        <f>HYPERLINK("http://www.openstreetmap.org/?mlat=30.3974&amp;mlon=47.701&amp;zoom=12#map=12/30.3974/47.701","Maplink1")</f>
        <v>Maplink1</v>
      </c>
      <c r="AX789" s="88" t="str">
        <f>HYPERLINK("https://www.google.iq/maps/search/+30.3974,47.701/@30.3974,47.701,14z?hl=en","Maplink2")</f>
        <v>Maplink2</v>
      </c>
      <c r="AY789" s="88" t="str">
        <f>HYPERLINK("http://www.bing.com/maps/?lvl=14&amp;sty=h&amp;cp=30.3974~47.701&amp;sp=point.30.3974_47.701","Maplink3")</f>
        <v>Maplink3</v>
      </c>
      <c r="AZ789" s="76"/>
    </row>
    <row r="790" spans="1:52" x14ac:dyDescent="0.25">
      <c r="A790" s="86">
        <v>509</v>
      </c>
      <c r="B790" s="87" t="s">
        <v>15</v>
      </c>
      <c r="C790" s="87" t="s">
        <v>1569</v>
      </c>
      <c r="D790" s="87" t="s">
        <v>1592</v>
      </c>
      <c r="E790" s="87" t="s">
        <v>1593</v>
      </c>
      <c r="F790" s="87">
        <v>30.398348289699999</v>
      </c>
      <c r="G790" s="87">
        <v>47.7088830036</v>
      </c>
      <c r="H790" s="86">
        <v>48</v>
      </c>
      <c r="I790" s="86">
        <v>288</v>
      </c>
      <c r="J790" s="87">
        <v>5</v>
      </c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>
        <v>9</v>
      </c>
      <c r="W790" s="87"/>
      <c r="X790" s="87">
        <v>34</v>
      </c>
      <c r="Y790" s="87"/>
      <c r="Z790" s="87"/>
      <c r="AA790" s="87"/>
      <c r="AB790" s="87"/>
      <c r="AC790" s="87">
        <v>6</v>
      </c>
      <c r="AD790" s="87"/>
      <c r="AE790" s="87"/>
      <c r="AF790" s="87"/>
      <c r="AG790" s="87"/>
      <c r="AH790" s="87">
        <v>42</v>
      </c>
      <c r="AI790" s="87"/>
      <c r="AJ790" s="87"/>
      <c r="AK790" s="87"/>
      <c r="AL790" s="87"/>
      <c r="AM790" s="87"/>
      <c r="AN790" s="87">
        <v>8</v>
      </c>
      <c r="AO790" s="87">
        <v>9</v>
      </c>
      <c r="AP790" s="87">
        <v>7</v>
      </c>
      <c r="AQ790" s="87">
        <v>15</v>
      </c>
      <c r="AR790" s="87">
        <v>1</v>
      </c>
      <c r="AS790" s="87">
        <v>3</v>
      </c>
      <c r="AT790" s="87">
        <v>5</v>
      </c>
      <c r="AU790" s="87"/>
      <c r="AV790" s="87"/>
      <c r="AW790" s="88" t="str">
        <f>HYPERLINK("http://www.openstreetmap.org/?mlat=30.3983&amp;mlon=47.7089&amp;zoom=12#map=12/30.3983/47.7089","Maplink1")</f>
        <v>Maplink1</v>
      </c>
      <c r="AX790" s="88" t="str">
        <f>HYPERLINK("https://www.google.iq/maps/search/+30.3983,47.7089/@30.3983,47.7089,14z?hl=en","Maplink2")</f>
        <v>Maplink2</v>
      </c>
      <c r="AY790" s="88" t="str">
        <f>HYPERLINK("http://www.bing.com/maps/?lvl=14&amp;sty=h&amp;cp=30.3983~47.7089&amp;sp=point.30.3983_47.7089","Maplink3")</f>
        <v>Maplink3</v>
      </c>
      <c r="AZ790" s="76"/>
    </row>
    <row r="791" spans="1:52" x14ac:dyDescent="0.25">
      <c r="A791" s="86">
        <v>25463</v>
      </c>
      <c r="B791" s="87" t="s">
        <v>15</v>
      </c>
      <c r="C791" s="87" t="s">
        <v>1569</v>
      </c>
      <c r="D791" s="87" t="s">
        <v>1594</v>
      </c>
      <c r="E791" s="87" t="s">
        <v>1595</v>
      </c>
      <c r="F791" s="87">
        <v>30.429477299999999</v>
      </c>
      <c r="G791" s="87">
        <v>47.679193790799999</v>
      </c>
      <c r="H791" s="86">
        <v>6</v>
      </c>
      <c r="I791" s="86">
        <v>36</v>
      </c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>
        <v>6</v>
      </c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>
        <v>6</v>
      </c>
      <c r="AI791" s="87"/>
      <c r="AJ791" s="87"/>
      <c r="AK791" s="87"/>
      <c r="AL791" s="87"/>
      <c r="AM791" s="87"/>
      <c r="AN791" s="87"/>
      <c r="AO791" s="87">
        <v>3</v>
      </c>
      <c r="AP791" s="87"/>
      <c r="AQ791" s="87">
        <v>3</v>
      </c>
      <c r="AR791" s="87"/>
      <c r="AS791" s="87"/>
      <c r="AT791" s="87"/>
      <c r="AU791" s="87"/>
      <c r="AV791" s="87"/>
      <c r="AW791" s="88" t="str">
        <f>HYPERLINK("http://www.openstreetmap.org/?mlat=30.4295&amp;mlon=47.6792&amp;zoom=12#map=12/30.4295/47.6792","Maplink1")</f>
        <v>Maplink1</v>
      </c>
      <c r="AX791" s="88" t="str">
        <f>HYPERLINK("https://www.google.iq/maps/search/+30.4295,47.6792/@30.4295,47.6792,14z?hl=en","Maplink2")</f>
        <v>Maplink2</v>
      </c>
      <c r="AY791" s="88" t="str">
        <f>HYPERLINK("http://www.bing.com/maps/?lvl=14&amp;sty=h&amp;cp=30.4295~47.6792&amp;sp=point.30.4295_47.6792","Maplink3")</f>
        <v>Maplink3</v>
      </c>
      <c r="AZ791" s="76"/>
    </row>
    <row r="792" spans="1:52" x14ac:dyDescent="0.25">
      <c r="A792" s="86">
        <v>1312</v>
      </c>
      <c r="B792" s="87" t="s">
        <v>15</v>
      </c>
      <c r="C792" s="87" t="s">
        <v>1569</v>
      </c>
      <c r="D792" s="87" t="s">
        <v>1596</v>
      </c>
      <c r="E792" s="87" t="s">
        <v>1597</v>
      </c>
      <c r="F792" s="87">
        <v>30.397344978300001</v>
      </c>
      <c r="G792" s="87">
        <v>47.719694900599997</v>
      </c>
      <c r="H792" s="86">
        <v>1</v>
      </c>
      <c r="I792" s="86">
        <v>6</v>
      </c>
      <c r="J792" s="87"/>
      <c r="K792" s="87">
        <v>1</v>
      </c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>
        <v>1</v>
      </c>
      <c r="AI792" s="87"/>
      <c r="AJ792" s="87"/>
      <c r="AK792" s="87"/>
      <c r="AL792" s="87"/>
      <c r="AM792" s="87"/>
      <c r="AN792" s="87"/>
      <c r="AO792" s="87">
        <v>1</v>
      </c>
      <c r="AP792" s="87"/>
      <c r="AQ792" s="87"/>
      <c r="AR792" s="87"/>
      <c r="AS792" s="87"/>
      <c r="AT792" s="87"/>
      <c r="AU792" s="87"/>
      <c r="AV792" s="87"/>
      <c r="AW792" s="88" t="str">
        <f>HYPERLINK("http://www.openstreetmap.org/?mlat=30.3973&amp;mlon=47.7197&amp;zoom=12#map=12/30.3973/47.7197","Maplink1")</f>
        <v>Maplink1</v>
      </c>
      <c r="AX792" s="88" t="str">
        <f>HYPERLINK("https://www.google.iq/maps/search/+30.3973,47.7197/@30.3973,47.7197,14z?hl=en","Maplink2")</f>
        <v>Maplink2</v>
      </c>
      <c r="AY792" s="88" t="str">
        <f>HYPERLINK("http://www.bing.com/maps/?lvl=14&amp;sty=h&amp;cp=30.3973~47.7197&amp;sp=point.30.3973_47.7197","Maplink3")</f>
        <v>Maplink3</v>
      </c>
      <c r="AZ792" s="76"/>
    </row>
    <row r="793" spans="1:52" x14ac:dyDescent="0.25">
      <c r="A793" s="86">
        <v>651</v>
      </c>
      <c r="B793" s="87" t="s">
        <v>15</v>
      </c>
      <c r="C793" s="87" t="s">
        <v>1569</v>
      </c>
      <c r="D793" s="87" t="s">
        <v>1598</v>
      </c>
      <c r="E793" s="87" t="s">
        <v>1599</v>
      </c>
      <c r="F793" s="87">
        <v>30.0371919</v>
      </c>
      <c r="G793" s="87">
        <v>47.9160836</v>
      </c>
      <c r="H793" s="86">
        <v>1</v>
      </c>
      <c r="I793" s="86">
        <v>6</v>
      </c>
      <c r="J793" s="87">
        <v>1</v>
      </c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>
        <v>1</v>
      </c>
      <c r="AI793" s="87"/>
      <c r="AJ793" s="87"/>
      <c r="AK793" s="87"/>
      <c r="AL793" s="87"/>
      <c r="AM793" s="87"/>
      <c r="AN793" s="87"/>
      <c r="AO793" s="87"/>
      <c r="AP793" s="87"/>
      <c r="AQ793" s="87"/>
      <c r="AR793" s="87">
        <v>1</v>
      </c>
      <c r="AS793" s="87"/>
      <c r="AT793" s="87"/>
      <c r="AU793" s="87"/>
      <c r="AV793" s="87"/>
      <c r="AW793" s="88" t="str">
        <f>HYPERLINK("http://www.openstreetmap.org/?mlat=30.0372&amp;mlon=47.9161&amp;zoom=12#map=12/30.0372/47.9161","Maplink1")</f>
        <v>Maplink1</v>
      </c>
      <c r="AX793" s="88" t="str">
        <f>HYPERLINK("https://www.google.iq/maps/search/+30.0372,47.9161/@30.0372,47.9161,14z?hl=en","Maplink2")</f>
        <v>Maplink2</v>
      </c>
      <c r="AY793" s="88" t="str">
        <f>HYPERLINK("http://www.bing.com/maps/?lvl=14&amp;sty=h&amp;cp=30.0372~47.9161&amp;sp=point.30.0372_47.9161","Maplink3")</f>
        <v>Maplink3</v>
      </c>
      <c r="AZ793" s="76"/>
    </row>
    <row r="794" spans="1:52" x14ac:dyDescent="0.25">
      <c r="A794" s="86">
        <v>30700</v>
      </c>
      <c r="B794" s="87" t="s">
        <v>15</v>
      </c>
      <c r="C794" s="87" t="s">
        <v>1569</v>
      </c>
      <c r="D794" s="87" t="s">
        <v>1600</v>
      </c>
      <c r="E794" s="87" t="s">
        <v>1601</v>
      </c>
      <c r="F794" s="87">
        <v>30.344518227399998</v>
      </c>
      <c r="G794" s="87">
        <v>47.7175586611</v>
      </c>
      <c r="H794" s="86">
        <v>3</v>
      </c>
      <c r="I794" s="86">
        <v>18</v>
      </c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>
        <v>3</v>
      </c>
      <c r="Y794" s="87"/>
      <c r="Z794" s="87"/>
      <c r="AA794" s="87"/>
      <c r="AB794" s="87"/>
      <c r="AC794" s="87">
        <v>3</v>
      </c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>
        <v>3</v>
      </c>
      <c r="AP794" s="87"/>
      <c r="AQ794" s="87"/>
      <c r="AR794" s="87"/>
      <c r="AS794" s="87"/>
      <c r="AT794" s="87"/>
      <c r="AU794" s="87"/>
      <c r="AV794" s="87"/>
      <c r="AW794" s="88" t="str">
        <f>HYPERLINK("http://www.openstreetmap.org/?mlat=30.3445&amp;mlon=47.7176&amp;zoom=12#map=12/30.3445/47.7176","Maplink1")</f>
        <v>Maplink1</v>
      </c>
      <c r="AX794" s="88" t="str">
        <f>HYPERLINK("https://www.google.iq/maps/search/+30.3445,47.7176/@30.3445,47.7176,14z?hl=en","Maplink2")</f>
        <v>Maplink2</v>
      </c>
      <c r="AY794" s="88" t="str">
        <f>HYPERLINK("http://www.bing.com/maps/?lvl=14&amp;sty=h&amp;cp=30.3445~47.7176&amp;sp=point.30.3445_47.7176","Maplink3")</f>
        <v>Maplink3</v>
      </c>
      <c r="AZ794" s="76"/>
    </row>
    <row r="795" spans="1:52" x14ac:dyDescent="0.25">
      <c r="A795" s="86">
        <v>33593</v>
      </c>
      <c r="B795" s="87" t="s">
        <v>15</v>
      </c>
      <c r="C795" s="87" t="s">
        <v>1569</v>
      </c>
      <c r="D795" s="87" t="s">
        <v>1602</v>
      </c>
      <c r="E795" s="87" t="s">
        <v>1603</v>
      </c>
      <c r="F795" s="87">
        <v>30.030723900000002</v>
      </c>
      <c r="G795" s="87">
        <v>47.929153399999997</v>
      </c>
      <c r="H795" s="86">
        <v>1</v>
      </c>
      <c r="I795" s="86">
        <v>6</v>
      </c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>
        <v>1</v>
      </c>
      <c r="Y795" s="87"/>
      <c r="Z795" s="87"/>
      <c r="AA795" s="87"/>
      <c r="AB795" s="87"/>
      <c r="AC795" s="87"/>
      <c r="AD795" s="87"/>
      <c r="AE795" s="87">
        <v>1</v>
      </c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>
        <v>1</v>
      </c>
      <c r="AQ795" s="87"/>
      <c r="AR795" s="87"/>
      <c r="AS795" s="87"/>
      <c r="AT795" s="87"/>
      <c r="AU795" s="87"/>
      <c r="AV795" s="87"/>
      <c r="AW795" s="88" t="str">
        <f>HYPERLINK("http://www.openstreetmap.org/?mlat=30.0307&amp;mlon=47.9292&amp;zoom=12#map=12/30.0307/47.9292","Maplink1")</f>
        <v>Maplink1</v>
      </c>
      <c r="AX795" s="88" t="str">
        <f>HYPERLINK("https://www.google.iq/maps/search/+30.0307,47.9292/@30.0307,47.9292,14z?hl=en","Maplink2")</f>
        <v>Maplink2</v>
      </c>
      <c r="AY795" s="88" t="str">
        <f>HYPERLINK("http://www.bing.com/maps/?lvl=14&amp;sty=h&amp;cp=30.0307~47.9292&amp;sp=point.30.0307_47.9292","Maplink3")</f>
        <v>Maplink3</v>
      </c>
      <c r="AZ795" s="76"/>
    </row>
    <row r="796" spans="1:52" x14ac:dyDescent="0.25">
      <c r="A796" s="86">
        <v>756</v>
      </c>
      <c r="B796" s="87" t="s">
        <v>15</v>
      </c>
      <c r="C796" s="87" t="s">
        <v>1569</v>
      </c>
      <c r="D796" s="87" t="s">
        <v>1503</v>
      </c>
      <c r="E796" s="87" t="s">
        <v>1604</v>
      </c>
      <c r="F796" s="87">
        <v>30.384766752000001</v>
      </c>
      <c r="G796" s="87">
        <v>47.727792409899997</v>
      </c>
      <c r="H796" s="86">
        <v>6</v>
      </c>
      <c r="I796" s="86">
        <v>36</v>
      </c>
      <c r="J796" s="87">
        <v>1</v>
      </c>
      <c r="K796" s="87"/>
      <c r="L796" s="87"/>
      <c r="M796" s="87"/>
      <c r="N796" s="87"/>
      <c r="O796" s="87"/>
      <c r="P796" s="87"/>
      <c r="Q796" s="87"/>
      <c r="R796" s="87">
        <v>1</v>
      </c>
      <c r="S796" s="87"/>
      <c r="T796" s="87"/>
      <c r="U796" s="87"/>
      <c r="V796" s="87">
        <v>1</v>
      </c>
      <c r="W796" s="87"/>
      <c r="X796" s="87">
        <v>3</v>
      </c>
      <c r="Y796" s="87"/>
      <c r="Z796" s="87"/>
      <c r="AA796" s="87"/>
      <c r="AB796" s="87"/>
      <c r="AC796" s="87"/>
      <c r="AD796" s="87"/>
      <c r="AE796" s="87"/>
      <c r="AF796" s="87"/>
      <c r="AG796" s="87"/>
      <c r="AH796" s="87">
        <v>6</v>
      </c>
      <c r="AI796" s="87"/>
      <c r="AJ796" s="87"/>
      <c r="AK796" s="87"/>
      <c r="AL796" s="87"/>
      <c r="AM796" s="87"/>
      <c r="AN796" s="87">
        <v>1</v>
      </c>
      <c r="AO796" s="87">
        <v>1</v>
      </c>
      <c r="AP796" s="87">
        <v>2</v>
      </c>
      <c r="AQ796" s="87">
        <v>2</v>
      </c>
      <c r="AR796" s="87"/>
      <c r="AS796" s="87"/>
      <c r="AT796" s="87"/>
      <c r="AU796" s="87"/>
      <c r="AV796" s="87"/>
      <c r="AW796" s="88" t="str">
        <f>HYPERLINK("http://www.openstreetmap.org/?mlat=30.3848&amp;mlon=47.7278&amp;zoom=12#map=12/30.3848/47.7278","Maplink1")</f>
        <v>Maplink1</v>
      </c>
      <c r="AX796" s="88" t="str">
        <f>HYPERLINK("https://www.google.iq/maps/search/+30.3848,47.7278/@30.3848,47.7278,14z?hl=en","Maplink2")</f>
        <v>Maplink2</v>
      </c>
      <c r="AY796" s="88" t="str">
        <f>HYPERLINK("http://www.bing.com/maps/?lvl=14&amp;sty=h&amp;cp=30.3848~47.7278&amp;sp=point.30.3848_47.7278","Maplink3")</f>
        <v>Maplink3</v>
      </c>
      <c r="AZ796" s="76"/>
    </row>
    <row r="797" spans="1:52" x14ac:dyDescent="0.25">
      <c r="A797" s="86">
        <v>22858</v>
      </c>
      <c r="B797" s="87" t="s">
        <v>15</v>
      </c>
      <c r="C797" s="87" t="s">
        <v>1569</v>
      </c>
      <c r="D797" s="87" t="s">
        <v>1605</v>
      </c>
      <c r="E797" s="87" t="s">
        <v>1606</v>
      </c>
      <c r="F797" s="87">
        <v>30.379847216200002</v>
      </c>
      <c r="G797" s="87">
        <v>47.724882714400003</v>
      </c>
      <c r="H797" s="86">
        <v>1</v>
      </c>
      <c r="I797" s="86">
        <v>6</v>
      </c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>
        <v>1</v>
      </c>
      <c r="W797" s="87"/>
      <c r="X797" s="87"/>
      <c r="Y797" s="87"/>
      <c r="Z797" s="87"/>
      <c r="AA797" s="87"/>
      <c r="AB797" s="87"/>
      <c r="AC797" s="87">
        <v>1</v>
      </c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>
        <v>1</v>
      </c>
      <c r="AP797" s="87"/>
      <c r="AQ797" s="87"/>
      <c r="AR797" s="87"/>
      <c r="AS797" s="87"/>
      <c r="AT797" s="87"/>
      <c r="AU797" s="87"/>
      <c r="AV797" s="87"/>
      <c r="AW797" s="88" t="str">
        <f>HYPERLINK("http://www.openstreetmap.org/?mlat=30.3798&amp;mlon=47.7249&amp;zoom=12#map=12/30.3798/47.7249","Maplink1")</f>
        <v>Maplink1</v>
      </c>
      <c r="AX797" s="88" t="str">
        <f>HYPERLINK("https://www.google.iq/maps/search/+30.3798,47.7249/@30.3798,47.7249,14z?hl=en","Maplink2")</f>
        <v>Maplink2</v>
      </c>
      <c r="AY797" s="88" t="str">
        <f>HYPERLINK("http://www.bing.com/maps/?lvl=14&amp;sty=h&amp;cp=30.3798~47.7249&amp;sp=point.30.3798_47.7249","Maplink3")</f>
        <v>Maplink3</v>
      </c>
      <c r="AZ797" s="76"/>
    </row>
    <row r="798" spans="1:52" x14ac:dyDescent="0.25">
      <c r="A798" s="86">
        <v>1304</v>
      </c>
      <c r="B798" s="87" t="s">
        <v>15</v>
      </c>
      <c r="C798" s="87" t="s">
        <v>1569</v>
      </c>
      <c r="D798" s="87" t="s">
        <v>1607</v>
      </c>
      <c r="E798" s="87" t="s">
        <v>1608</v>
      </c>
      <c r="F798" s="87">
        <v>30.369591942100001</v>
      </c>
      <c r="G798" s="87">
        <v>47.719501373600004</v>
      </c>
      <c r="H798" s="86">
        <v>4</v>
      </c>
      <c r="I798" s="86">
        <v>24</v>
      </c>
      <c r="J798" s="87"/>
      <c r="K798" s="87"/>
      <c r="L798" s="87"/>
      <c r="M798" s="87"/>
      <c r="N798" s="87"/>
      <c r="O798" s="87"/>
      <c r="P798" s="87"/>
      <c r="Q798" s="87"/>
      <c r="R798" s="87">
        <v>1</v>
      </c>
      <c r="S798" s="87"/>
      <c r="T798" s="87"/>
      <c r="U798" s="87"/>
      <c r="V798" s="87">
        <v>1</v>
      </c>
      <c r="W798" s="87"/>
      <c r="X798" s="87">
        <v>2</v>
      </c>
      <c r="Y798" s="87"/>
      <c r="Z798" s="87"/>
      <c r="AA798" s="87"/>
      <c r="AB798" s="87"/>
      <c r="AC798" s="87"/>
      <c r="AD798" s="87"/>
      <c r="AE798" s="87"/>
      <c r="AF798" s="87"/>
      <c r="AG798" s="87"/>
      <c r="AH798" s="87">
        <v>4</v>
      </c>
      <c r="AI798" s="87"/>
      <c r="AJ798" s="87"/>
      <c r="AK798" s="87"/>
      <c r="AL798" s="87"/>
      <c r="AM798" s="87"/>
      <c r="AN798" s="87"/>
      <c r="AO798" s="87"/>
      <c r="AP798" s="87"/>
      <c r="AQ798" s="87">
        <v>3</v>
      </c>
      <c r="AR798" s="87">
        <v>1</v>
      </c>
      <c r="AS798" s="87"/>
      <c r="AT798" s="87"/>
      <c r="AU798" s="87"/>
      <c r="AV798" s="87"/>
      <c r="AW798" s="88" t="str">
        <f>HYPERLINK("http://www.openstreetmap.org/?mlat=30.3696&amp;mlon=47.7195&amp;zoom=12#map=12/30.3696/47.7195","Maplink1")</f>
        <v>Maplink1</v>
      </c>
      <c r="AX798" s="88" t="str">
        <f>HYPERLINK("https://www.google.iq/maps/search/+30.3696,47.7195/@30.3696,47.7195,14z?hl=en","Maplink2")</f>
        <v>Maplink2</v>
      </c>
      <c r="AY798" s="88" t="str">
        <f>HYPERLINK("http://www.bing.com/maps/?lvl=14&amp;sty=h&amp;cp=30.3696~47.7195&amp;sp=point.30.3696_47.7195","Maplink3")</f>
        <v>Maplink3</v>
      </c>
      <c r="AZ798" s="76"/>
    </row>
    <row r="799" spans="1:52" x14ac:dyDescent="0.25">
      <c r="A799" s="86">
        <v>1277</v>
      </c>
      <c r="B799" s="87" t="s">
        <v>15</v>
      </c>
      <c r="C799" s="87" t="s">
        <v>1569</v>
      </c>
      <c r="D799" s="87" t="s">
        <v>1609</v>
      </c>
      <c r="E799" s="87" t="s">
        <v>1610</v>
      </c>
      <c r="F799" s="87">
        <v>30.376943280900001</v>
      </c>
      <c r="G799" s="87">
        <v>47.729095366300001</v>
      </c>
      <c r="H799" s="86">
        <v>8</v>
      </c>
      <c r="I799" s="86">
        <v>48</v>
      </c>
      <c r="J799" s="87">
        <v>1</v>
      </c>
      <c r="K799" s="87"/>
      <c r="L799" s="87"/>
      <c r="M799" s="87"/>
      <c r="N799" s="87"/>
      <c r="O799" s="87"/>
      <c r="P799" s="87"/>
      <c r="Q799" s="87"/>
      <c r="R799" s="87">
        <v>2</v>
      </c>
      <c r="S799" s="87"/>
      <c r="T799" s="87"/>
      <c r="U799" s="87"/>
      <c r="V799" s="87">
        <v>4</v>
      </c>
      <c r="W799" s="87"/>
      <c r="X799" s="87">
        <v>1</v>
      </c>
      <c r="Y799" s="87"/>
      <c r="Z799" s="87"/>
      <c r="AA799" s="87"/>
      <c r="AB799" s="87"/>
      <c r="AC799" s="87"/>
      <c r="AD799" s="87"/>
      <c r="AE799" s="87"/>
      <c r="AF799" s="87"/>
      <c r="AG799" s="87"/>
      <c r="AH799" s="87">
        <v>3</v>
      </c>
      <c r="AI799" s="87"/>
      <c r="AJ799" s="87"/>
      <c r="AK799" s="87"/>
      <c r="AL799" s="87">
        <v>5</v>
      </c>
      <c r="AM799" s="87"/>
      <c r="AN799" s="87"/>
      <c r="AO799" s="87">
        <v>1</v>
      </c>
      <c r="AP799" s="87">
        <v>1</v>
      </c>
      <c r="AQ799" s="87">
        <v>3</v>
      </c>
      <c r="AR799" s="87">
        <v>1</v>
      </c>
      <c r="AS799" s="87"/>
      <c r="AT799" s="87">
        <v>2</v>
      </c>
      <c r="AU799" s="87"/>
      <c r="AV799" s="87"/>
      <c r="AW799" s="88" t="str">
        <f>HYPERLINK("http://www.openstreetmap.org/?mlat=30.3769&amp;mlon=47.7291&amp;zoom=12#map=12/30.3769/47.7291","Maplink1")</f>
        <v>Maplink1</v>
      </c>
      <c r="AX799" s="88" t="str">
        <f>HYPERLINK("https://www.google.iq/maps/search/+30.3769,47.7291/@30.3769,47.7291,14z?hl=en","Maplink2")</f>
        <v>Maplink2</v>
      </c>
      <c r="AY799" s="88" t="str">
        <f>HYPERLINK("http://www.bing.com/maps/?lvl=14&amp;sty=h&amp;cp=30.3769~47.7291&amp;sp=point.30.3769_47.7291","Maplink3")</f>
        <v>Maplink3</v>
      </c>
      <c r="AZ799" s="76"/>
    </row>
    <row r="800" spans="1:52" x14ac:dyDescent="0.25">
      <c r="A800" s="86">
        <v>29677</v>
      </c>
      <c r="B800" s="87" t="s">
        <v>15</v>
      </c>
      <c r="C800" s="87" t="s">
        <v>1569</v>
      </c>
      <c r="D800" s="87" t="s">
        <v>1611</v>
      </c>
      <c r="E800" s="87" t="s">
        <v>1612</v>
      </c>
      <c r="F800" s="87">
        <v>30.389578486400001</v>
      </c>
      <c r="G800" s="87">
        <v>47.672925471399999</v>
      </c>
      <c r="H800" s="86">
        <v>4</v>
      </c>
      <c r="I800" s="86">
        <v>24</v>
      </c>
      <c r="J800" s="87">
        <v>1</v>
      </c>
      <c r="K800" s="87"/>
      <c r="L800" s="87"/>
      <c r="M800" s="87"/>
      <c r="N800" s="87"/>
      <c r="O800" s="87"/>
      <c r="P800" s="87"/>
      <c r="Q800" s="87"/>
      <c r="R800" s="87">
        <v>3</v>
      </c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>
        <v>4</v>
      </c>
      <c r="AI800" s="87"/>
      <c r="AJ800" s="87"/>
      <c r="AK800" s="87"/>
      <c r="AL800" s="87"/>
      <c r="AM800" s="87"/>
      <c r="AN800" s="87"/>
      <c r="AO800" s="87"/>
      <c r="AP800" s="87"/>
      <c r="AQ800" s="87">
        <v>4</v>
      </c>
      <c r="AR800" s="87"/>
      <c r="AS800" s="87"/>
      <c r="AT800" s="87"/>
      <c r="AU800" s="87"/>
      <c r="AV800" s="87"/>
      <c r="AW800" s="88" t="str">
        <f>HYPERLINK("http://www.openstreetmap.org/?mlat=30.3896&amp;mlon=47.6729&amp;zoom=12#map=12/30.3896/47.6729","Maplink1")</f>
        <v>Maplink1</v>
      </c>
      <c r="AX800" s="88" t="str">
        <f>HYPERLINK("https://www.google.iq/maps/search/+30.3896,47.6729/@30.3896,47.6729,14z?hl=en","Maplink2")</f>
        <v>Maplink2</v>
      </c>
      <c r="AY800" s="88" t="str">
        <f>HYPERLINK("http://www.bing.com/maps/?lvl=14&amp;sty=h&amp;cp=30.3896~47.6729&amp;sp=point.30.3896_47.6729","Maplink3")</f>
        <v>Maplink3</v>
      </c>
      <c r="AZ800" s="76"/>
    </row>
    <row r="801" spans="1:52" x14ac:dyDescent="0.25">
      <c r="A801" s="86">
        <v>1311</v>
      </c>
      <c r="B801" s="87" t="s">
        <v>15</v>
      </c>
      <c r="C801" s="87" t="s">
        <v>1569</v>
      </c>
      <c r="D801" s="87" t="s">
        <v>1613</v>
      </c>
      <c r="E801" s="87" t="s">
        <v>1351</v>
      </c>
      <c r="F801" s="87">
        <v>30.3839072462</v>
      </c>
      <c r="G801" s="87">
        <v>47.719611069499997</v>
      </c>
      <c r="H801" s="86">
        <v>7</v>
      </c>
      <c r="I801" s="86">
        <v>42</v>
      </c>
      <c r="J801" s="87">
        <v>4</v>
      </c>
      <c r="K801" s="87"/>
      <c r="L801" s="87"/>
      <c r="M801" s="87"/>
      <c r="N801" s="87"/>
      <c r="O801" s="87">
        <v>1</v>
      </c>
      <c r="P801" s="87"/>
      <c r="Q801" s="87"/>
      <c r="R801" s="87">
        <v>1</v>
      </c>
      <c r="S801" s="87"/>
      <c r="T801" s="87"/>
      <c r="U801" s="87"/>
      <c r="V801" s="87">
        <v>1</v>
      </c>
      <c r="W801" s="87"/>
      <c r="X801" s="87"/>
      <c r="Y801" s="87"/>
      <c r="Z801" s="87"/>
      <c r="AA801" s="87"/>
      <c r="AB801" s="87"/>
      <c r="AC801" s="87">
        <v>4</v>
      </c>
      <c r="AD801" s="87"/>
      <c r="AE801" s="87"/>
      <c r="AF801" s="87"/>
      <c r="AG801" s="87"/>
      <c r="AH801" s="87">
        <v>3</v>
      </c>
      <c r="AI801" s="87"/>
      <c r="AJ801" s="87"/>
      <c r="AK801" s="87"/>
      <c r="AL801" s="87"/>
      <c r="AM801" s="87"/>
      <c r="AN801" s="87">
        <v>3</v>
      </c>
      <c r="AO801" s="87">
        <v>1</v>
      </c>
      <c r="AP801" s="87"/>
      <c r="AQ801" s="87">
        <v>2</v>
      </c>
      <c r="AR801" s="87"/>
      <c r="AS801" s="87"/>
      <c r="AT801" s="87">
        <v>1</v>
      </c>
      <c r="AU801" s="87"/>
      <c r="AV801" s="87"/>
      <c r="AW801" s="88" t="str">
        <f>HYPERLINK("http://www.openstreetmap.org/?mlat=30.3839&amp;mlon=47.7196&amp;zoom=12#map=12/30.3839/47.7196","Maplink1")</f>
        <v>Maplink1</v>
      </c>
      <c r="AX801" s="88" t="str">
        <f>HYPERLINK("https://www.google.iq/maps/search/+30.3839,47.7196/@30.3839,47.7196,14z?hl=en","Maplink2")</f>
        <v>Maplink2</v>
      </c>
      <c r="AY801" s="88" t="str">
        <f>HYPERLINK("http://www.bing.com/maps/?lvl=14&amp;sty=h&amp;cp=30.3839~47.7196&amp;sp=point.30.3839_47.7196","Maplink3")</f>
        <v>Maplink3</v>
      </c>
      <c r="AZ801" s="76"/>
    </row>
    <row r="802" spans="1:52" x14ac:dyDescent="0.25">
      <c r="A802" s="86">
        <v>24229</v>
      </c>
      <c r="B802" s="87" t="s">
        <v>15</v>
      </c>
      <c r="C802" s="87" t="s">
        <v>1569</v>
      </c>
      <c r="D802" s="87" t="s">
        <v>1614</v>
      </c>
      <c r="E802" s="87" t="s">
        <v>1615</v>
      </c>
      <c r="F802" s="87">
        <v>30.381459041500001</v>
      </c>
      <c r="G802" s="87">
        <v>47.7082569612</v>
      </c>
      <c r="H802" s="86">
        <v>4</v>
      </c>
      <c r="I802" s="86">
        <v>24</v>
      </c>
      <c r="J802" s="87">
        <v>1</v>
      </c>
      <c r="K802" s="87"/>
      <c r="L802" s="87">
        <v>2</v>
      </c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>
        <v>1</v>
      </c>
      <c r="Y802" s="87"/>
      <c r="Z802" s="87"/>
      <c r="AA802" s="87"/>
      <c r="AB802" s="87"/>
      <c r="AC802" s="87"/>
      <c r="AD802" s="87">
        <v>1</v>
      </c>
      <c r="AE802" s="87"/>
      <c r="AF802" s="87"/>
      <c r="AG802" s="87"/>
      <c r="AH802" s="87">
        <v>3</v>
      </c>
      <c r="AI802" s="87"/>
      <c r="AJ802" s="87"/>
      <c r="AK802" s="87"/>
      <c r="AL802" s="87"/>
      <c r="AM802" s="87"/>
      <c r="AN802" s="87">
        <v>2</v>
      </c>
      <c r="AO802" s="87">
        <v>1</v>
      </c>
      <c r="AP802" s="87">
        <v>1</v>
      </c>
      <c r="AQ802" s="87"/>
      <c r="AR802" s="87"/>
      <c r="AS802" s="87"/>
      <c r="AT802" s="87"/>
      <c r="AU802" s="87"/>
      <c r="AV802" s="87"/>
      <c r="AW802" s="88" t="str">
        <f>HYPERLINK("http://www.openstreetmap.org/?mlat=30.3815&amp;mlon=47.7083&amp;zoom=12#map=12/30.3815/47.7083","Maplink1")</f>
        <v>Maplink1</v>
      </c>
      <c r="AX802" s="88" t="str">
        <f>HYPERLINK("https://www.google.iq/maps/search/+30.3815,47.7083/@30.3815,47.7083,14z?hl=en","Maplink2")</f>
        <v>Maplink2</v>
      </c>
      <c r="AY802" s="88" t="str">
        <f>HYPERLINK("http://www.bing.com/maps/?lvl=14&amp;sty=h&amp;cp=30.3815~47.7083&amp;sp=point.30.3815_47.7083","Maplink3")</f>
        <v>Maplink3</v>
      </c>
      <c r="AZ802" s="76"/>
    </row>
    <row r="803" spans="1:52" x14ac:dyDescent="0.25">
      <c r="A803" s="86">
        <v>25225</v>
      </c>
      <c r="B803" s="87" t="s">
        <v>15</v>
      </c>
      <c r="C803" s="87" t="s">
        <v>1569</v>
      </c>
      <c r="D803" s="87" t="s">
        <v>1616</v>
      </c>
      <c r="E803" s="87" t="s">
        <v>1617</v>
      </c>
      <c r="F803" s="87">
        <v>30.3636322929</v>
      </c>
      <c r="G803" s="87">
        <v>47.719430615900002</v>
      </c>
      <c r="H803" s="86">
        <v>4</v>
      </c>
      <c r="I803" s="86">
        <v>24</v>
      </c>
      <c r="J803" s="87"/>
      <c r="K803" s="87"/>
      <c r="L803" s="87"/>
      <c r="M803" s="87"/>
      <c r="N803" s="87"/>
      <c r="O803" s="87"/>
      <c r="P803" s="87"/>
      <c r="Q803" s="87"/>
      <c r="R803" s="87">
        <v>1</v>
      </c>
      <c r="S803" s="87"/>
      <c r="T803" s="87"/>
      <c r="U803" s="87"/>
      <c r="V803" s="87"/>
      <c r="W803" s="87"/>
      <c r="X803" s="87">
        <v>3</v>
      </c>
      <c r="Y803" s="87"/>
      <c r="Z803" s="87"/>
      <c r="AA803" s="87"/>
      <c r="AB803" s="87"/>
      <c r="AC803" s="87">
        <v>1</v>
      </c>
      <c r="AD803" s="87"/>
      <c r="AE803" s="87"/>
      <c r="AF803" s="87"/>
      <c r="AG803" s="87"/>
      <c r="AH803" s="87">
        <v>3</v>
      </c>
      <c r="AI803" s="87"/>
      <c r="AJ803" s="87"/>
      <c r="AK803" s="87"/>
      <c r="AL803" s="87"/>
      <c r="AM803" s="87"/>
      <c r="AN803" s="87"/>
      <c r="AO803" s="87">
        <v>2</v>
      </c>
      <c r="AP803" s="87">
        <v>2</v>
      </c>
      <c r="AQ803" s="87"/>
      <c r="AR803" s="87"/>
      <c r="AS803" s="87"/>
      <c r="AT803" s="87"/>
      <c r="AU803" s="87"/>
      <c r="AV803" s="87"/>
      <c r="AW803" s="88" t="str">
        <f>HYPERLINK("http://www.openstreetmap.org/?mlat=30.3636&amp;mlon=47.7194&amp;zoom=12#map=12/30.3636/47.7194","Maplink1")</f>
        <v>Maplink1</v>
      </c>
      <c r="AX803" s="88" t="str">
        <f>HYPERLINK("https://www.google.iq/maps/search/+30.3636,47.7194/@30.3636,47.7194,14z?hl=en","Maplink2")</f>
        <v>Maplink2</v>
      </c>
      <c r="AY803" s="88" t="str">
        <f>HYPERLINK("http://www.bing.com/maps/?lvl=14&amp;sty=h&amp;cp=30.3636~47.7194&amp;sp=point.30.3636_47.7194","Maplink3")</f>
        <v>Maplink3</v>
      </c>
      <c r="AZ803" s="76"/>
    </row>
    <row r="804" spans="1:52" x14ac:dyDescent="0.25">
      <c r="A804" s="86">
        <v>25226</v>
      </c>
      <c r="B804" s="87" t="s">
        <v>15</v>
      </c>
      <c r="C804" s="87" t="s">
        <v>1569</v>
      </c>
      <c r="D804" s="87" t="s">
        <v>1618</v>
      </c>
      <c r="E804" s="87" t="s">
        <v>1619</v>
      </c>
      <c r="F804" s="87">
        <v>30.358968043600001</v>
      </c>
      <c r="G804" s="87">
        <v>47.718999703900003</v>
      </c>
      <c r="H804" s="86">
        <v>4</v>
      </c>
      <c r="I804" s="86">
        <v>24</v>
      </c>
      <c r="J804" s="87">
        <v>1</v>
      </c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>
        <v>3</v>
      </c>
      <c r="Y804" s="87"/>
      <c r="Z804" s="87"/>
      <c r="AA804" s="87"/>
      <c r="AB804" s="87"/>
      <c r="AC804" s="87"/>
      <c r="AD804" s="87"/>
      <c r="AE804" s="87"/>
      <c r="AF804" s="87"/>
      <c r="AG804" s="87"/>
      <c r="AH804" s="87">
        <v>4</v>
      </c>
      <c r="AI804" s="87"/>
      <c r="AJ804" s="87"/>
      <c r="AK804" s="87"/>
      <c r="AL804" s="87"/>
      <c r="AM804" s="87"/>
      <c r="AN804" s="87">
        <v>2</v>
      </c>
      <c r="AO804" s="87"/>
      <c r="AP804" s="87"/>
      <c r="AQ804" s="87">
        <v>1</v>
      </c>
      <c r="AR804" s="87">
        <v>1</v>
      </c>
      <c r="AS804" s="87"/>
      <c r="AT804" s="87"/>
      <c r="AU804" s="87"/>
      <c r="AV804" s="87"/>
      <c r="AW804" s="88" t="str">
        <f>HYPERLINK("http://www.openstreetmap.org/?mlat=30.359&amp;mlon=47.719&amp;zoom=12#map=12/30.359/47.719","Maplink1")</f>
        <v>Maplink1</v>
      </c>
      <c r="AX804" s="88" t="str">
        <f>HYPERLINK("https://www.google.iq/maps/search/+30.359,47.719/@30.359,47.719,14z?hl=en","Maplink2")</f>
        <v>Maplink2</v>
      </c>
      <c r="AY804" s="88" t="str">
        <f>HYPERLINK("http://www.bing.com/maps/?lvl=14&amp;sty=h&amp;cp=30.359~47.719&amp;sp=point.30.359_47.719","Maplink3")</f>
        <v>Maplink3</v>
      </c>
      <c r="AZ804" s="76"/>
    </row>
    <row r="805" spans="1:52" x14ac:dyDescent="0.25">
      <c r="A805" s="86">
        <v>25227</v>
      </c>
      <c r="B805" s="87" t="s">
        <v>15</v>
      </c>
      <c r="C805" s="87" t="s">
        <v>1569</v>
      </c>
      <c r="D805" s="87" t="s">
        <v>1620</v>
      </c>
      <c r="E805" s="87" t="s">
        <v>1621</v>
      </c>
      <c r="F805" s="87">
        <v>30.361554168000001</v>
      </c>
      <c r="G805" s="87">
        <v>47.7240083222</v>
      </c>
      <c r="H805" s="86">
        <v>2</v>
      </c>
      <c r="I805" s="86">
        <v>12</v>
      </c>
      <c r="J805" s="87">
        <v>2</v>
      </c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>
        <v>2</v>
      </c>
      <c r="AI805" s="87"/>
      <c r="AJ805" s="87"/>
      <c r="AK805" s="87"/>
      <c r="AL805" s="87"/>
      <c r="AM805" s="87"/>
      <c r="AN805" s="87"/>
      <c r="AO805" s="87">
        <v>2</v>
      </c>
      <c r="AP805" s="87"/>
      <c r="AQ805" s="87"/>
      <c r="AR805" s="87"/>
      <c r="AS805" s="87"/>
      <c r="AT805" s="87"/>
      <c r="AU805" s="87"/>
      <c r="AV805" s="87"/>
      <c r="AW805" s="88" t="str">
        <f>HYPERLINK("http://www.openstreetmap.org/?mlat=30.3616&amp;mlon=47.724&amp;zoom=12#map=12/30.3616/47.724","Maplink1")</f>
        <v>Maplink1</v>
      </c>
      <c r="AX805" s="88" t="str">
        <f>HYPERLINK("https://www.google.iq/maps/search/+30.3616,47.724/@30.3616,47.724,14z?hl=en","Maplink2")</f>
        <v>Maplink2</v>
      </c>
      <c r="AY805" s="88" t="str">
        <f>HYPERLINK("http://www.bing.com/maps/?lvl=14&amp;sty=h&amp;cp=30.3616~47.724&amp;sp=point.30.3616_47.724","Maplink3")</f>
        <v>Maplink3</v>
      </c>
      <c r="AZ805" s="76"/>
    </row>
    <row r="806" spans="1:52" x14ac:dyDescent="0.25">
      <c r="A806" s="86">
        <v>23630</v>
      </c>
      <c r="B806" s="87" t="s">
        <v>15</v>
      </c>
      <c r="C806" s="87" t="s">
        <v>1569</v>
      </c>
      <c r="D806" s="87" t="s">
        <v>1622</v>
      </c>
      <c r="E806" s="87" t="s">
        <v>1623</v>
      </c>
      <c r="F806" s="87">
        <v>30.3319696511</v>
      </c>
      <c r="G806" s="87">
        <v>47.720361905899999</v>
      </c>
      <c r="H806" s="86">
        <v>2</v>
      </c>
      <c r="I806" s="86">
        <v>12</v>
      </c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>
        <v>2</v>
      </c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>
        <v>2</v>
      </c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>
        <v>2</v>
      </c>
      <c r="AU806" s="87"/>
      <c r="AV806" s="87"/>
      <c r="AW806" s="88" t="str">
        <f>HYPERLINK("http://www.openstreetmap.org/?mlat=30.332&amp;mlon=47.7204&amp;zoom=12#map=12/30.332/47.7204","Maplink1")</f>
        <v>Maplink1</v>
      </c>
      <c r="AX806" s="88" t="str">
        <f>HYPERLINK("https://www.google.iq/maps/search/+30.332,47.7204/@30.332,47.7204,14z?hl=en","Maplink2")</f>
        <v>Maplink2</v>
      </c>
      <c r="AY806" s="88" t="str">
        <f>HYPERLINK("http://www.bing.com/maps/?lvl=14&amp;sty=h&amp;cp=30.332~47.7204&amp;sp=point.30.332_47.7204","Maplink3")</f>
        <v>Maplink3</v>
      </c>
      <c r="AZ806" s="76"/>
    </row>
    <row r="807" spans="1:52" x14ac:dyDescent="0.25">
      <c r="A807" s="86">
        <v>25725</v>
      </c>
      <c r="B807" s="87" t="s">
        <v>15</v>
      </c>
      <c r="C807" s="87" t="s">
        <v>1569</v>
      </c>
      <c r="D807" s="87" t="s">
        <v>1624</v>
      </c>
      <c r="E807" s="87" t="s">
        <v>1625</v>
      </c>
      <c r="F807" s="87">
        <v>30.391071333100001</v>
      </c>
      <c r="G807" s="87">
        <v>47.732457561499999</v>
      </c>
      <c r="H807" s="86">
        <v>3</v>
      </c>
      <c r="I807" s="86">
        <v>18</v>
      </c>
      <c r="J807" s="87"/>
      <c r="K807" s="87"/>
      <c r="L807" s="87">
        <v>1</v>
      </c>
      <c r="M807" s="87"/>
      <c r="N807" s="87"/>
      <c r="O807" s="87"/>
      <c r="P807" s="87"/>
      <c r="Q807" s="87"/>
      <c r="R807" s="87"/>
      <c r="S807" s="87"/>
      <c r="T807" s="87"/>
      <c r="U807" s="87"/>
      <c r="V807" s="87">
        <v>2</v>
      </c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>
        <v>3</v>
      </c>
      <c r="AI807" s="87"/>
      <c r="AJ807" s="87"/>
      <c r="AK807" s="87"/>
      <c r="AL807" s="87"/>
      <c r="AM807" s="87"/>
      <c r="AN807" s="87"/>
      <c r="AO807" s="87"/>
      <c r="AP807" s="87"/>
      <c r="AQ807" s="87">
        <v>1</v>
      </c>
      <c r="AR807" s="87">
        <v>1</v>
      </c>
      <c r="AS807" s="87">
        <v>1</v>
      </c>
      <c r="AT807" s="87"/>
      <c r="AU807" s="87"/>
      <c r="AV807" s="87"/>
      <c r="AW807" s="88" t="str">
        <f>HYPERLINK("http://www.openstreetmap.org/?mlat=30.3911&amp;mlon=47.7325&amp;zoom=12#map=12/30.3911/47.7325","Maplink1")</f>
        <v>Maplink1</v>
      </c>
      <c r="AX807" s="88" t="str">
        <f>HYPERLINK("https://www.google.iq/maps/search/+30.3911,47.7325/@30.3911,47.7325,14z?hl=en","Maplink2")</f>
        <v>Maplink2</v>
      </c>
      <c r="AY807" s="88" t="str">
        <f>HYPERLINK("http://www.bing.com/maps/?lvl=14&amp;sty=h&amp;cp=30.3911~47.7325&amp;sp=point.30.3911_47.7325","Maplink3")</f>
        <v>Maplink3</v>
      </c>
      <c r="AZ807" s="76"/>
    </row>
    <row r="808" spans="1:52" x14ac:dyDescent="0.25">
      <c r="A808" s="86">
        <v>32087</v>
      </c>
      <c r="B808" s="87" t="s">
        <v>15</v>
      </c>
      <c r="C808" s="87" t="s">
        <v>1569</v>
      </c>
      <c r="D808" s="87" t="s">
        <v>1626</v>
      </c>
      <c r="E808" s="87" t="s">
        <v>1627</v>
      </c>
      <c r="F808" s="87">
        <v>30.301266300000002</v>
      </c>
      <c r="G808" s="87">
        <v>47.778789099999997</v>
      </c>
      <c r="H808" s="86">
        <v>3</v>
      </c>
      <c r="I808" s="86">
        <v>18</v>
      </c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>
        <v>3</v>
      </c>
      <c r="W808" s="87"/>
      <c r="X808" s="87"/>
      <c r="Y808" s="87"/>
      <c r="Z808" s="87"/>
      <c r="AA808" s="87"/>
      <c r="AB808" s="87"/>
      <c r="AC808" s="87"/>
      <c r="AD808" s="87"/>
      <c r="AE808" s="87">
        <v>3</v>
      </c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>
        <v>3</v>
      </c>
      <c r="AV808" s="87"/>
      <c r="AW808" s="88" t="str">
        <f>HYPERLINK("http://www.openstreetmap.org/?mlat=30.3013&amp;mlon=47.7788&amp;zoom=12#map=12/30.3013/47.7788","Maplink1")</f>
        <v>Maplink1</v>
      </c>
      <c r="AX808" s="88" t="str">
        <f>HYPERLINK("https://www.google.iq/maps/search/+30.3013,47.7788/@30.3013,47.7788,14z?hl=en","Maplink2")</f>
        <v>Maplink2</v>
      </c>
      <c r="AY808" s="88" t="str">
        <f>HYPERLINK("http://www.bing.com/maps/?lvl=14&amp;sty=h&amp;cp=30.3013~47.7788&amp;sp=point.30.3013_47.7788","Maplink3")</f>
        <v>Maplink3</v>
      </c>
      <c r="AZ808" s="76"/>
    </row>
    <row r="809" spans="1:52" x14ac:dyDescent="0.25">
      <c r="A809" s="86">
        <v>28408</v>
      </c>
      <c r="B809" s="87" t="s">
        <v>15</v>
      </c>
      <c r="C809" s="87" t="s">
        <v>1569</v>
      </c>
      <c r="D809" s="87" t="s">
        <v>1628</v>
      </c>
      <c r="E809" s="87" t="s">
        <v>1629</v>
      </c>
      <c r="F809" s="87">
        <v>30.226946099999999</v>
      </c>
      <c r="G809" s="87">
        <v>47.764642346899997</v>
      </c>
      <c r="H809" s="86">
        <v>5</v>
      </c>
      <c r="I809" s="86">
        <v>30</v>
      </c>
      <c r="J809" s="87">
        <v>1</v>
      </c>
      <c r="K809" s="87"/>
      <c r="L809" s="87"/>
      <c r="M809" s="87"/>
      <c r="N809" s="87"/>
      <c r="O809" s="87"/>
      <c r="P809" s="87"/>
      <c r="Q809" s="87"/>
      <c r="R809" s="87">
        <v>2</v>
      </c>
      <c r="S809" s="87"/>
      <c r="T809" s="87"/>
      <c r="U809" s="87"/>
      <c r="V809" s="87"/>
      <c r="W809" s="87"/>
      <c r="X809" s="87">
        <v>2</v>
      </c>
      <c r="Y809" s="87"/>
      <c r="Z809" s="87"/>
      <c r="AA809" s="87"/>
      <c r="AB809" s="87"/>
      <c r="AC809" s="87">
        <v>1</v>
      </c>
      <c r="AD809" s="87"/>
      <c r="AE809" s="87"/>
      <c r="AF809" s="87"/>
      <c r="AG809" s="87"/>
      <c r="AH809" s="87">
        <v>4</v>
      </c>
      <c r="AI809" s="87"/>
      <c r="AJ809" s="87"/>
      <c r="AK809" s="87"/>
      <c r="AL809" s="87"/>
      <c r="AM809" s="87"/>
      <c r="AN809" s="87"/>
      <c r="AO809" s="87">
        <v>1</v>
      </c>
      <c r="AP809" s="87"/>
      <c r="AQ809" s="87">
        <v>2</v>
      </c>
      <c r="AR809" s="87"/>
      <c r="AS809" s="87">
        <v>2</v>
      </c>
      <c r="AT809" s="87"/>
      <c r="AU809" s="87"/>
      <c r="AV809" s="87"/>
      <c r="AW809" s="88" t="str">
        <f>HYPERLINK("http://www.openstreetmap.org/?mlat=30.2269&amp;mlon=47.7646&amp;zoom=12#map=12/30.2269/47.7646","Maplink1")</f>
        <v>Maplink1</v>
      </c>
      <c r="AX809" s="88" t="str">
        <f>HYPERLINK("https://www.google.iq/maps/search/+30.2269,47.7646/@30.2269,47.7646,14z?hl=en","Maplink2")</f>
        <v>Maplink2</v>
      </c>
      <c r="AY809" s="88" t="str">
        <f>HYPERLINK("http://www.bing.com/maps/?lvl=14&amp;sty=h&amp;cp=30.2269~47.7646&amp;sp=point.30.2269_47.7646","Maplink3")</f>
        <v>Maplink3</v>
      </c>
      <c r="AZ809" s="76"/>
    </row>
    <row r="810" spans="1:52" x14ac:dyDescent="0.25">
      <c r="A810" s="86">
        <v>27196</v>
      </c>
      <c r="B810" s="87" t="s">
        <v>15</v>
      </c>
      <c r="C810" s="87" t="s">
        <v>1569</v>
      </c>
      <c r="D810" s="87" t="s">
        <v>1630</v>
      </c>
      <c r="E810" s="87" t="s">
        <v>1631</v>
      </c>
      <c r="F810" s="87">
        <v>30.227041</v>
      </c>
      <c r="G810" s="87">
        <v>47.767223999999999</v>
      </c>
      <c r="H810" s="86">
        <v>2</v>
      </c>
      <c r="I810" s="86">
        <v>12</v>
      </c>
      <c r="J810" s="87"/>
      <c r="K810" s="87">
        <v>1</v>
      </c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>
        <v>1</v>
      </c>
      <c r="W810" s="87"/>
      <c r="X810" s="87"/>
      <c r="Y810" s="87"/>
      <c r="Z810" s="87"/>
      <c r="AA810" s="87"/>
      <c r="AB810" s="87"/>
      <c r="AC810" s="87">
        <v>1</v>
      </c>
      <c r="AD810" s="87"/>
      <c r="AE810" s="87"/>
      <c r="AF810" s="87"/>
      <c r="AG810" s="87"/>
      <c r="AH810" s="87">
        <v>1</v>
      </c>
      <c r="AI810" s="87"/>
      <c r="AJ810" s="87"/>
      <c r="AK810" s="87"/>
      <c r="AL810" s="87"/>
      <c r="AM810" s="87"/>
      <c r="AN810" s="87"/>
      <c r="AO810" s="87"/>
      <c r="AP810" s="87">
        <v>1</v>
      </c>
      <c r="AQ810" s="87"/>
      <c r="AR810" s="87"/>
      <c r="AS810" s="87"/>
      <c r="AT810" s="87">
        <v>1</v>
      </c>
      <c r="AU810" s="87"/>
      <c r="AV810" s="87"/>
      <c r="AW810" s="88" t="str">
        <f>HYPERLINK("http://www.openstreetmap.org/?mlat=30.227&amp;mlon=47.7672&amp;zoom=12#map=12/30.227/47.7672","Maplink1")</f>
        <v>Maplink1</v>
      </c>
      <c r="AX810" s="88" t="str">
        <f>HYPERLINK("https://www.google.iq/maps/search/+30.227,47.7672/@30.227,47.7672,14z?hl=en","Maplink2")</f>
        <v>Maplink2</v>
      </c>
      <c r="AY810" s="88" t="str">
        <f>HYPERLINK("http://www.bing.com/maps/?lvl=14&amp;sty=h&amp;cp=30.227~47.7672&amp;sp=point.30.227_47.7672","Maplink3")</f>
        <v>Maplink3</v>
      </c>
      <c r="AZ810" s="76"/>
    </row>
    <row r="811" spans="1:52" x14ac:dyDescent="0.25">
      <c r="A811" s="86">
        <v>23898</v>
      </c>
      <c r="B811" s="87" t="s">
        <v>15</v>
      </c>
      <c r="C811" s="87" t="s">
        <v>1569</v>
      </c>
      <c r="D811" s="87" t="s">
        <v>1632</v>
      </c>
      <c r="E811" s="87" t="s">
        <v>1633</v>
      </c>
      <c r="F811" s="87">
        <v>30.233873299999999</v>
      </c>
      <c r="G811" s="87">
        <v>47.762521399999997</v>
      </c>
      <c r="H811" s="86">
        <v>2</v>
      </c>
      <c r="I811" s="86">
        <v>12</v>
      </c>
      <c r="J811" s="87">
        <v>1</v>
      </c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>
        <v>1</v>
      </c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>
        <v>2</v>
      </c>
      <c r="AI811" s="87"/>
      <c r="AJ811" s="87"/>
      <c r="AK811" s="87"/>
      <c r="AL811" s="87"/>
      <c r="AM811" s="87"/>
      <c r="AN811" s="87"/>
      <c r="AO811" s="87"/>
      <c r="AP811" s="87"/>
      <c r="AQ811" s="87">
        <v>2</v>
      </c>
      <c r="AR811" s="87"/>
      <c r="AS811" s="87"/>
      <c r="AT811" s="87"/>
      <c r="AU811" s="87"/>
      <c r="AV811" s="87"/>
      <c r="AW811" s="88" t="str">
        <f>HYPERLINK("http://www.openstreetmap.org/?mlat=30.2339&amp;mlon=47.7625&amp;zoom=12#map=12/30.2339/47.7625","Maplink1")</f>
        <v>Maplink1</v>
      </c>
      <c r="AX811" s="88" t="str">
        <f>HYPERLINK("https://www.google.iq/maps/search/+30.2339,47.7625/@30.2339,47.7625,14z?hl=en","Maplink2")</f>
        <v>Maplink2</v>
      </c>
      <c r="AY811" s="88" t="str">
        <f>HYPERLINK("http://www.bing.com/maps/?lvl=14&amp;sty=h&amp;cp=30.2339~47.7625&amp;sp=point.30.2339_47.7625","Maplink3")</f>
        <v>Maplink3</v>
      </c>
      <c r="AZ811" s="76"/>
    </row>
    <row r="812" spans="1:52" x14ac:dyDescent="0.25">
      <c r="A812" s="86">
        <v>26111</v>
      </c>
      <c r="B812" s="87" t="s">
        <v>15</v>
      </c>
      <c r="C812" s="87" t="s">
        <v>1569</v>
      </c>
      <c r="D812" s="87" t="s">
        <v>1634</v>
      </c>
      <c r="E812" s="87" t="s">
        <v>1635</v>
      </c>
      <c r="F812" s="87">
        <v>30.2260548</v>
      </c>
      <c r="G812" s="87">
        <v>47.7810015588</v>
      </c>
      <c r="H812" s="86">
        <v>6</v>
      </c>
      <c r="I812" s="86">
        <v>36</v>
      </c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>
        <v>6</v>
      </c>
      <c r="Y812" s="87"/>
      <c r="Z812" s="87"/>
      <c r="AA812" s="87"/>
      <c r="AB812" s="87"/>
      <c r="AC812" s="87"/>
      <c r="AD812" s="87"/>
      <c r="AE812" s="87"/>
      <c r="AF812" s="87"/>
      <c r="AG812" s="87"/>
      <c r="AH812" s="87">
        <v>6</v>
      </c>
      <c r="AI812" s="87"/>
      <c r="AJ812" s="87"/>
      <c r="AK812" s="87"/>
      <c r="AL812" s="87"/>
      <c r="AM812" s="87"/>
      <c r="AN812" s="87"/>
      <c r="AO812" s="87">
        <v>3</v>
      </c>
      <c r="AP812" s="87">
        <v>1</v>
      </c>
      <c r="AQ812" s="87">
        <v>1</v>
      </c>
      <c r="AR812" s="87"/>
      <c r="AS812" s="87">
        <v>1</v>
      </c>
      <c r="AT812" s="87"/>
      <c r="AU812" s="87"/>
      <c r="AV812" s="87"/>
      <c r="AW812" s="88" t="str">
        <f>HYPERLINK("http://www.openstreetmap.org/?mlat=30.2261&amp;mlon=47.781&amp;zoom=12#map=12/30.2261/47.781","Maplink1")</f>
        <v>Maplink1</v>
      </c>
      <c r="AX812" s="88" t="str">
        <f>HYPERLINK("https://www.google.iq/maps/search/+30.2261,47.781/@30.2261,47.781,14z?hl=en","Maplink2")</f>
        <v>Maplink2</v>
      </c>
      <c r="AY812" s="88" t="str">
        <f>HYPERLINK("http://www.bing.com/maps/?lvl=14&amp;sty=h&amp;cp=30.2261~47.781&amp;sp=point.30.2261_47.781","Maplink3")</f>
        <v>Maplink3</v>
      </c>
      <c r="AZ812" s="76"/>
    </row>
    <row r="813" spans="1:52" x14ac:dyDescent="0.25">
      <c r="A813" s="86">
        <v>26107</v>
      </c>
      <c r="B813" s="87" t="s">
        <v>15</v>
      </c>
      <c r="C813" s="87" t="s">
        <v>1569</v>
      </c>
      <c r="D813" s="87" t="s">
        <v>1636</v>
      </c>
      <c r="E813" s="87" t="s">
        <v>1637</v>
      </c>
      <c r="F813" s="87">
        <v>30.235379399999999</v>
      </c>
      <c r="G813" s="87">
        <v>47.760186500000003</v>
      </c>
      <c r="H813" s="86">
        <v>2</v>
      </c>
      <c r="I813" s="86">
        <v>12</v>
      </c>
      <c r="J813" s="87">
        <v>1</v>
      </c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>
        <v>1</v>
      </c>
      <c r="Y813" s="87"/>
      <c r="Z813" s="87"/>
      <c r="AA813" s="87"/>
      <c r="AB813" s="87"/>
      <c r="AC813" s="87"/>
      <c r="AD813" s="87"/>
      <c r="AE813" s="87"/>
      <c r="AF813" s="87"/>
      <c r="AG813" s="87"/>
      <c r="AH813" s="87">
        <v>2</v>
      </c>
      <c r="AI813" s="87"/>
      <c r="AJ813" s="87"/>
      <c r="AK813" s="87"/>
      <c r="AL813" s="87"/>
      <c r="AM813" s="87"/>
      <c r="AN813" s="87"/>
      <c r="AO813" s="87"/>
      <c r="AP813" s="87"/>
      <c r="AQ813" s="87">
        <v>1</v>
      </c>
      <c r="AR813" s="87"/>
      <c r="AS813" s="87">
        <v>1</v>
      </c>
      <c r="AT813" s="87"/>
      <c r="AU813" s="87"/>
      <c r="AV813" s="87"/>
      <c r="AW813" s="88" t="str">
        <f>HYPERLINK("http://www.openstreetmap.org/?mlat=30.2354&amp;mlon=47.7602&amp;zoom=12#map=12/30.2354/47.7602","Maplink1")</f>
        <v>Maplink1</v>
      </c>
      <c r="AX813" s="88" t="str">
        <f>HYPERLINK("https://www.google.iq/maps/search/+30.2354,47.7602/@30.2354,47.7602,14z?hl=en","Maplink2")</f>
        <v>Maplink2</v>
      </c>
      <c r="AY813" s="88" t="str">
        <f>HYPERLINK("http://www.bing.com/maps/?lvl=14&amp;sty=h&amp;cp=30.2354~47.7602&amp;sp=point.30.2354_47.7602","Maplink3")</f>
        <v>Maplink3</v>
      </c>
      <c r="AZ813" s="76"/>
    </row>
    <row r="814" spans="1:52" x14ac:dyDescent="0.25">
      <c r="A814" s="86">
        <v>26109</v>
      </c>
      <c r="B814" s="87" t="s">
        <v>15</v>
      </c>
      <c r="C814" s="87" t="s">
        <v>1569</v>
      </c>
      <c r="D814" s="87" t="s">
        <v>1638</v>
      </c>
      <c r="E814" s="87" t="s">
        <v>1639</v>
      </c>
      <c r="F814" s="87">
        <v>30.2296719</v>
      </c>
      <c r="G814" s="87">
        <v>47.784518400000003</v>
      </c>
      <c r="H814" s="86">
        <v>1</v>
      </c>
      <c r="I814" s="86">
        <v>6</v>
      </c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>
        <v>1</v>
      </c>
      <c r="W814" s="87"/>
      <c r="X814" s="87"/>
      <c r="Y814" s="87"/>
      <c r="Z814" s="87"/>
      <c r="AA814" s="87"/>
      <c r="AB814" s="87"/>
      <c r="AC814" s="87"/>
      <c r="AD814" s="87"/>
      <c r="AE814" s="87">
        <v>1</v>
      </c>
      <c r="AF814" s="87"/>
      <c r="AG814" s="87"/>
      <c r="AH814" s="87"/>
      <c r="AI814" s="87"/>
      <c r="AJ814" s="87"/>
      <c r="AK814" s="87"/>
      <c r="AL814" s="87"/>
      <c r="AM814" s="87"/>
      <c r="AN814" s="87"/>
      <c r="AO814" s="87">
        <v>1</v>
      </c>
      <c r="AP814" s="87"/>
      <c r="AQ814" s="87"/>
      <c r="AR814" s="87"/>
      <c r="AS814" s="87"/>
      <c r="AT814" s="87"/>
      <c r="AU814" s="87"/>
      <c r="AV814" s="87"/>
      <c r="AW814" s="88" t="str">
        <f>HYPERLINK("http://www.openstreetmap.org/?mlat=30.2297&amp;mlon=47.7845&amp;zoom=12#map=12/30.2297/47.7845","Maplink1")</f>
        <v>Maplink1</v>
      </c>
      <c r="AX814" s="88" t="str">
        <f>HYPERLINK("https://www.google.iq/maps/search/+30.2297,47.7845/@30.2297,47.7845,14z?hl=en","Maplink2")</f>
        <v>Maplink2</v>
      </c>
      <c r="AY814" s="88" t="str">
        <f>HYPERLINK("http://www.bing.com/maps/?lvl=14&amp;sty=h&amp;cp=30.2297~47.7845&amp;sp=point.30.2297_47.7845","Maplink3")</f>
        <v>Maplink3</v>
      </c>
      <c r="AZ814" s="76"/>
    </row>
    <row r="815" spans="1:52" x14ac:dyDescent="0.25">
      <c r="A815" s="86">
        <v>26110</v>
      </c>
      <c r="B815" s="87" t="s">
        <v>15</v>
      </c>
      <c r="C815" s="87" t="s">
        <v>1569</v>
      </c>
      <c r="D815" s="87" t="s">
        <v>1640</v>
      </c>
      <c r="E815" s="87" t="s">
        <v>1641</v>
      </c>
      <c r="F815" s="87">
        <v>30.238671799999999</v>
      </c>
      <c r="G815" s="87">
        <v>47.767336</v>
      </c>
      <c r="H815" s="86">
        <v>3</v>
      </c>
      <c r="I815" s="86">
        <v>18</v>
      </c>
      <c r="J815" s="87">
        <v>3</v>
      </c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>
        <v>3</v>
      </c>
      <c r="AI815" s="87"/>
      <c r="AJ815" s="87"/>
      <c r="AK815" s="87"/>
      <c r="AL815" s="87"/>
      <c r="AM815" s="87"/>
      <c r="AN815" s="87"/>
      <c r="AO815" s="87"/>
      <c r="AP815" s="87"/>
      <c r="AQ815" s="87">
        <v>1</v>
      </c>
      <c r="AR815" s="87">
        <v>2</v>
      </c>
      <c r="AS815" s="87"/>
      <c r="AT815" s="87"/>
      <c r="AU815" s="87"/>
      <c r="AV815" s="87"/>
      <c r="AW815" s="88" t="str">
        <f>HYPERLINK("http://www.openstreetmap.org/?mlat=30.2387&amp;mlon=47.7673&amp;zoom=12#map=12/30.2387/47.7673","Maplink1")</f>
        <v>Maplink1</v>
      </c>
      <c r="AX815" s="88" t="str">
        <f>HYPERLINK("https://www.google.iq/maps/search/+30.2387,47.7673/@30.2387,47.7673,14z?hl=en","Maplink2")</f>
        <v>Maplink2</v>
      </c>
      <c r="AY815" s="88" t="str">
        <f>HYPERLINK("http://www.bing.com/maps/?lvl=14&amp;sty=h&amp;cp=30.2387~47.7673&amp;sp=point.30.2387_47.7673","Maplink3")</f>
        <v>Maplink3</v>
      </c>
      <c r="AZ815" s="76"/>
    </row>
    <row r="816" spans="1:52" x14ac:dyDescent="0.25">
      <c r="A816" s="86">
        <v>23976</v>
      </c>
      <c r="B816" s="87" t="s">
        <v>15</v>
      </c>
      <c r="C816" s="87" t="s">
        <v>1569</v>
      </c>
      <c r="D816" s="87" t="s">
        <v>1642</v>
      </c>
      <c r="E816" s="87" t="s">
        <v>1643</v>
      </c>
      <c r="F816" s="87">
        <v>30.395292753100001</v>
      </c>
      <c r="G816" s="87">
        <v>47.689292192800004</v>
      </c>
      <c r="H816" s="86">
        <v>24</v>
      </c>
      <c r="I816" s="86">
        <v>144</v>
      </c>
      <c r="J816" s="87">
        <v>9</v>
      </c>
      <c r="K816" s="87"/>
      <c r="L816" s="87"/>
      <c r="M816" s="87"/>
      <c r="N816" s="87"/>
      <c r="O816" s="87"/>
      <c r="P816" s="87"/>
      <c r="Q816" s="87"/>
      <c r="R816" s="87">
        <v>1</v>
      </c>
      <c r="S816" s="87"/>
      <c r="T816" s="87"/>
      <c r="U816" s="87"/>
      <c r="V816" s="87">
        <v>5</v>
      </c>
      <c r="W816" s="87"/>
      <c r="X816" s="87">
        <v>9</v>
      </c>
      <c r="Y816" s="87"/>
      <c r="Z816" s="87"/>
      <c r="AA816" s="87"/>
      <c r="AB816" s="87"/>
      <c r="AC816" s="87">
        <v>4</v>
      </c>
      <c r="AD816" s="87"/>
      <c r="AE816" s="87"/>
      <c r="AF816" s="87"/>
      <c r="AG816" s="87"/>
      <c r="AH816" s="87">
        <v>20</v>
      </c>
      <c r="AI816" s="87"/>
      <c r="AJ816" s="87"/>
      <c r="AK816" s="87"/>
      <c r="AL816" s="87"/>
      <c r="AM816" s="87"/>
      <c r="AN816" s="87"/>
      <c r="AO816" s="87">
        <v>7</v>
      </c>
      <c r="AP816" s="87">
        <v>2</v>
      </c>
      <c r="AQ816" s="87">
        <v>2</v>
      </c>
      <c r="AR816" s="87">
        <v>10</v>
      </c>
      <c r="AS816" s="87"/>
      <c r="AT816" s="87">
        <v>3</v>
      </c>
      <c r="AU816" s="87"/>
      <c r="AV816" s="87"/>
      <c r="AW816" s="88" t="str">
        <f>HYPERLINK("http://www.openstreetmap.org/?mlat=30.3953&amp;mlon=47.6893&amp;zoom=12#map=12/30.3953/47.6893","Maplink1")</f>
        <v>Maplink1</v>
      </c>
      <c r="AX816" s="88" t="str">
        <f>HYPERLINK("https://www.google.iq/maps/search/+30.3953,47.6893/@30.3953,47.6893,14z?hl=en","Maplink2")</f>
        <v>Maplink2</v>
      </c>
      <c r="AY816" s="88" t="str">
        <f>HYPERLINK("http://www.bing.com/maps/?lvl=14&amp;sty=h&amp;cp=30.3953~47.6893&amp;sp=point.30.3953_47.6893","Maplink3")</f>
        <v>Maplink3</v>
      </c>
      <c r="AZ816" s="76"/>
    </row>
    <row r="817" spans="1:52" x14ac:dyDescent="0.25">
      <c r="A817" s="86">
        <v>25018</v>
      </c>
      <c r="B817" s="87" t="s">
        <v>15</v>
      </c>
      <c r="C817" s="87" t="s">
        <v>1569</v>
      </c>
      <c r="D817" s="87" t="s">
        <v>1644</v>
      </c>
      <c r="E817" s="87" t="s">
        <v>1645</v>
      </c>
      <c r="F817" s="87">
        <v>30.1163053</v>
      </c>
      <c r="G817" s="87">
        <v>47.717056499999998</v>
      </c>
      <c r="H817" s="86">
        <v>4</v>
      </c>
      <c r="I817" s="86">
        <v>24</v>
      </c>
      <c r="J817" s="87">
        <v>1</v>
      </c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>
        <v>3</v>
      </c>
      <c r="Y817" s="87"/>
      <c r="Z817" s="87"/>
      <c r="AA817" s="87"/>
      <c r="AB817" s="87"/>
      <c r="AC817" s="87"/>
      <c r="AD817" s="87"/>
      <c r="AE817" s="87"/>
      <c r="AF817" s="87"/>
      <c r="AG817" s="87"/>
      <c r="AH817" s="87">
        <v>4</v>
      </c>
      <c r="AI817" s="87"/>
      <c r="AJ817" s="87"/>
      <c r="AK817" s="87"/>
      <c r="AL817" s="87"/>
      <c r="AM817" s="87"/>
      <c r="AN817" s="87">
        <v>1</v>
      </c>
      <c r="AO817" s="87"/>
      <c r="AP817" s="87"/>
      <c r="AQ817" s="87">
        <v>3</v>
      </c>
      <c r="AR817" s="87"/>
      <c r="AS817" s="87"/>
      <c r="AT817" s="87"/>
      <c r="AU817" s="87"/>
      <c r="AV817" s="87"/>
      <c r="AW817" s="88" t="str">
        <f>HYPERLINK("http://www.openstreetmap.org/?mlat=30.1163&amp;mlon=47.7171&amp;zoom=12#map=12/30.1163/47.7171","Maplink1")</f>
        <v>Maplink1</v>
      </c>
      <c r="AX817" s="88" t="str">
        <f>HYPERLINK("https://www.google.iq/maps/search/+30.1163,47.7171/@30.1163,47.7171,14z?hl=en","Maplink2")</f>
        <v>Maplink2</v>
      </c>
      <c r="AY817" s="88" t="str">
        <f>HYPERLINK("http://www.bing.com/maps/?lvl=14&amp;sty=h&amp;cp=30.1163~47.7171&amp;sp=point.30.1163_47.7171","Maplink3")</f>
        <v>Maplink3</v>
      </c>
      <c r="AZ817" s="76"/>
    </row>
    <row r="818" spans="1:52" x14ac:dyDescent="0.25">
      <c r="A818" s="86">
        <v>25015</v>
      </c>
      <c r="B818" s="87" t="s">
        <v>15</v>
      </c>
      <c r="C818" s="87" t="s">
        <v>1569</v>
      </c>
      <c r="D818" s="87" t="s">
        <v>1646</v>
      </c>
      <c r="E818" s="87" t="s">
        <v>1647</v>
      </c>
      <c r="F818" s="87">
        <v>30.113963300000002</v>
      </c>
      <c r="G818" s="87">
        <v>47.714729499999997</v>
      </c>
      <c r="H818" s="86">
        <v>1</v>
      </c>
      <c r="I818" s="86">
        <v>6</v>
      </c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>
        <v>1</v>
      </c>
      <c r="W818" s="87"/>
      <c r="X818" s="87"/>
      <c r="Y818" s="87"/>
      <c r="Z818" s="87"/>
      <c r="AA818" s="87"/>
      <c r="AB818" s="87"/>
      <c r="AC818" s="87">
        <v>1</v>
      </c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>
        <v>1</v>
      </c>
      <c r="AQ818" s="87"/>
      <c r="AR818" s="87"/>
      <c r="AS818" s="87"/>
      <c r="AT818" s="87"/>
      <c r="AU818" s="87"/>
      <c r="AV818" s="87"/>
      <c r="AW818" s="88" t="str">
        <f>HYPERLINK("http://www.openstreetmap.org/?mlat=30.114&amp;mlon=47.7147&amp;zoom=12#map=12/30.114/47.7147","Maplink1")</f>
        <v>Maplink1</v>
      </c>
      <c r="AX818" s="88" t="str">
        <f>HYPERLINK("https://www.google.iq/maps/search/+30.114,47.7147/@30.114,47.7147,14z?hl=en","Maplink2")</f>
        <v>Maplink2</v>
      </c>
      <c r="AY818" s="88" t="str">
        <f>HYPERLINK("http://www.bing.com/maps/?lvl=14&amp;sty=h&amp;cp=30.114~47.7147&amp;sp=point.30.114_47.7147","Maplink3")</f>
        <v>Maplink3</v>
      </c>
      <c r="AZ818" s="76"/>
    </row>
    <row r="819" spans="1:52" x14ac:dyDescent="0.25">
      <c r="A819" s="86">
        <v>27295</v>
      </c>
      <c r="B819" s="87" t="s">
        <v>15</v>
      </c>
      <c r="C819" s="87" t="s">
        <v>1569</v>
      </c>
      <c r="D819" s="87" t="s">
        <v>1648</v>
      </c>
      <c r="E819" s="87" t="s">
        <v>1649</v>
      </c>
      <c r="F819" s="87">
        <v>30.0309122</v>
      </c>
      <c r="G819" s="87">
        <v>47.919119700000003</v>
      </c>
      <c r="H819" s="86">
        <v>1</v>
      </c>
      <c r="I819" s="86">
        <v>6</v>
      </c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>
        <v>1</v>
      </c>
      <c r="W819" s="87"/>
      <c r="X819" s="87"/>
      <c r="Y819" s="87"/>
      <c r="Z819" s="87"/>
      <c r="AA819" s="87"/>
      <c r="AB819" s="87"/>
      <c r="AC819" s="87"/>
      <c r="AD819" s="87"/>
      <c r="AE819" s="87">
        <v>1</v>
      </c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>
        <v>1</v>
      </c>
      <c r="AQ819" s="87"/>
      <c r="AR819" s="87"/>
      <c r="AS819" s="87"/>
      <c r="AT819" s="87"/>
      <c r="AU819" s="87"/>
      <c r="AV819" s="87"/>
      <c r="AW819" s="88" t="str">
        <f>HYPERLINK("http://www.openstreetmap.org/?mlat=30.0309&amp;mlon=47.9191&amp;zoom=12#map=12/30.0309/47.9191","Maplink1")</f>
        <v>Maplink1</v>
      </c>
      <c r="AX819" s="88" t="str">
        <f>HYPERLINK("https://www.google.iq/maps/search/+30.0309,47.9191/@30.0309,47.9191,14z?hl=en","Maplink2")</f>
        <v>Maplink2</v>
      </c>
      <c r="AY819" s="88" t="str">
        <f>HYPERLINK("http://www.bing.com/maps/?lvl=14&amp;sty=h&amp;cp=30.0309~47.9191&amp;sp=point.30.0309_47.9191","Maplink3")</f>
        <v>Maplink3</v>
      </c>
      <c r="AZ819" s="76"/>
    </row>
    <row r="820" spans="1:52" x14ac:dyDescent="0.25">
      <c r="A820" s="86">
        <v>24923</v>
      </c>
      <c r="B820" s="87" t="s">
        <v>15</v>
      </c>
      <c r="C820" s="87" t="s">
        <v>1569</v>
      </c>
      <c r="D820" s="87" t="s">
        <v>1650</v>
      </c>
      <c r="E820" s="87" t="s">
        <v>1651</v>
      </c>
      <c r="F820" s="87">
        <v>30.038361299999998</v>
      </c>
      <c r="G820" s="87">
        <v>47.920915100000002</v>
      </c>
      <c r="H820" s="86">
        <v>1</v>
      </c>
      <c r="I820" s="86">
        <v>6</v>
      </c>
      <c r="J820" s="87"/>
      <c r="K820" s="87"/>
      <c r="L820" s="87"/>
      <c r="M820" s="87"/>
      <c r="N820" s="87"/>
      <c r="O820" s="87">
        <v>1</v>
      </c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>
        <v>1</v>
      </c>
      <c r="AI820" s="87"/>
      <c r="AJ820" s="87"/>
      <c r="AK820" s="87"/>
      <c r="AL820" s="87"/>
      <c r="AM820" s="87"/>
      <c r="AN820" s="87"/>
      <c r="AO820" s="87">
        <v>1</v>
      </c>
      <c r="AP820" s="87"/>
      <c r="AQ820" s="87"/>
      <c r="AR820" s="87"/>
      <c r="AS820" s="87"/>
      <c r="AT820" s="87"/>
      <c r="AU820" s="87"/>
      <c r="AV820" s="87"/>
      <c r="AW820" s="88" t="str">
        <f>HYPERLINK("http://www.openstreetmap.org/?mlat=30.0384&amp;mlon=47.9209&amp;zoom=12#map=12/30.0384/47.9209","Maplink1")</f>
        <v>Maplink1</v>
      </c>
      <c r="AX820" s="88" t="str">
        <f>HYPERLINK("https://www.google.iq/maps/search/+30.0384,47.9209/@30.0384,47.9209,14z?hl=en","Maplink2")</f>
        <v>Maplink2</v>
      </c>
      <c r="AY820" s="88" t="str">
        <f>HYPERLINK("http://www.bing.com/maps/?lvl=14&amp;sty=h&amp;cp=30.0384~47.9209&amp;sp=point.30.0384_47.9209","Maplink3")</f>
        <v>Maplink3</v>
      </c>
      <c r="AZ820" s="76"/>
    </row>
    <row r="821" spans="1:52" x14ac:dyDescent="0.25">
      <c r="A821" s="86">
        <v>27294</v>
      </c>
      <c r="B821" s="87" t="s">
        <v>15</v>
      </c>
      <c r="C821" s="87" t="s">
        <v>1569</v>
      </c>
      <c r="D821" s="87" t="s">
        <v>1652</v>
      </c>
      <c r="E821" s="87" t="s">
        <v>1653</v>
      </c>
      <c r="F821" s="87">
        <v>30.017514599999998</v>
      </c>
      <c r="G821" s="87">
        <v>47.937349400000002</v>
      </c>
      <c r="H821" s="86">
        <v>2</v>
      </c>
      <c r="I821" s="86">
        <v>12</v>
      </c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>
        <v>2</v>
      </c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>
        <v>2</v>
      </c>
      <c r="AI821" s="87"/>
      <c r="AJ821" s="87"/>
      <c r="AK821" s="87"/>
      <c r="AL821" s="87"/>
      <c r="AM821" s="87"/>
      <c r="AN821" s="87"/>
      <c r="AO821" s="87"/>
      <c r="AP821" s="87"/>
      <c r="AQ821" s="87">
        <v>2</v>
      </c>
      <c r="AR821" s="87"/>
      <c r="AS821" s="87"/>
      <c r="AT821" s="87"/>
      <c r="AU821" s="87"/>
      <c r="AV821" s="87"/>
      <c r="AW821" s="88" t="str">
        <f>HYPERLINK("http://www.openstreetmap.org/?mlat=30.0175&amp;mlon=47.9373&amp;zoom=12#map=12/30.0175/47.9373","Maplink1")</f>
        <v>Maplink1</v>
      </c>
      <c r="AX821" s="88" t="str">
        <f>HYPERLINK("https://www.google.iq/maps/search/+30.0175,47.9373/@30.0175,47.9373,14z?hl=en","Maplink2")</f>
        <v>Maplink2</v>
      </c>
      <c r="AY821" s="88" t="str">
        <f>HYPERLINK("http://www.bing.com/maps/?lvl=14&amp;sty=h&amp;cp=30.0175~47.9373&amp;sp=point.30.0175_47.9373","Maplink3")</f>
        <v>Maplink3</v>
      </c>
      <c r="AZ821" s="76"/>
    </row>
    <row r="822" spans="1:52" x14ac:dyDescent="0.25">
      <c r="A822" s="86">
        <v>25462</v>
      </c>
      <c r="B822" s="87" t="s">
        <v>15</v>
      </c>
      <c r="C822" s="87" t="s">
        <v>1569</v>
      </c>
      <c r="D822" s="87" t="s">
        <v>1654</v>
      </c>
      <c r="E822" s="87" t="s">
        <v>1655</v>
      </c>
      <c r="F822" s="87">
        <v>30.355550104999999</v>
      </c>
      <c r="G822" s="87">
        <v>47.7158248796</v>
      </c>
      <c r="H822" s="86">
        <v>3</v>
      </c>
      <c r="I822" s="86">
        <v>18</v>
      </c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>
        <v>3</v>
      </c>
      <c r="Y822" s="87"/>
      <c r="Z822" s="87"/>
      <c r="AA822" s="87"/>
      <c r="AB822" s="87"/>
      <c r="AC822" s="87"/>
      <c r="AD822" s="87"/>
      <c r="AE822" s="87"/>
      <c r="AF822" s="87"/>
      <c r="AG822" s="87"/>
      <c r="AH822" s="87">
        <v>3</v>
      </c>
      <c r="AI822" s="87"/>
      <c r="AJ822" s="87"/>
      <c r="AK822" s="87"/>
      <c r="AL822" s="87"/>
      <c r="AM822" s="87"/>
      <c r="AN822" s="87">
        <v>1</v>
      </c>
      <c r="AO822" s="87"/>
      <c r="AP822" s="87"/>
      <c r="AQ822" s="87">
        <v>2</v>
      </c>
      <c r="AR822" s="87"/>
      <c r="AS822" s="87"/>
      <c r="AT822" s="87"/>
      <c r="AU822" s="87"/>
      <c r="AV822" s="87"/>
      <c r="AW822" s="88" t="str">
        <f>HYPERLINK("http://www.openstreetmap.org/?mlat=30.3556&amp;mlon=47.7158&amp;zoom=12#map=12/30.3556/47.7158","Maplink1")</f>
        <v>Maplink1</v>
      </c>
      <c r="AX822" s="88" t="str">
        <f>HYPERLINK("https://www.google.iq/maps/search/+30.3556,47.7158/@30.3556,47.7158,14z?hl=en","Maplink2")</f>
        <v>Maplink2</v>
      </c>
      <c r="AY822" s="88" t="str">
        <f>HYPERLINK("http://www.bing.com/maps/?lvl=14&amp;sty=h&amp;cp=30.3556~47.7158&amp;sp=point.30.3556_47.7158","Maplink3")</f>
        <v>Maplink3</v>
      </c>
      <c r="AZ822" s="76"/>
    </row>
    <row r="823" spans="1:52" x14ac:dyDescent="0.25">
      <c r="A823" s="86">
        <v>24929</v>
      </c>
      <c r="B823" s="87" t="s">
        <v>15</v>
      </c>
      <c r="C823" s="87" t="s">
        <v>15</v>
      </c>
      <c r="D823" s="87" t="s">
        <v>1656</v>
      </c>
      <c r="E823" s="87" t="s">
        <v>1657</v>
      </c>
      <c r="F823" s="87">
        <v>30.542398200000001</v>
      </c>
      <c r="G823" s="87">
        <v>47.7683696</v>
      </c>
      <c r="H823" s="86">
        <v>2</v>
      </c>
      <c r="I823" s="86">
        <v>12</v>
      </c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>
        <v>2</v>
      </c>
      <c r="Y823" s="87"/>
      <c r="Z823" s="87"/>
      <c r="AA823" s="87"/>
      <c r="AB823" s="87"/>
      <c r="AC823" s="87"/>
      <c r="AD823" s="87"/>
      <c r="AE823" s="87"/>
      <c r="AF823" s="87"/>
      <c r="AG823" s="87"/>
      <c r="AH823" s="87">
        <v>2</v>
      </c>
      <c r="AI823" s="87"/>
      <c r="AJ823" s="87"/>
      <c r="AK823" s="87"/>
      <c r="AL823" s="87"/>
      <c r="AM823" s="87"/>
      <c r="AN823" s="87">
        <v>1</v>
      </c>
      <c r="AO823" s="87"/>
      <c r="AP823" s="87"/>
      <c r="AQ823" s="87"/>
      <c r="AR823" s="87">
        <v>1</v>
      </c>
      <c r="AS823" s="87"/>
      <c r="AT823" s="87"/>
      <c r="AU823" s="87"/>
      <c r="AV823" s="87"/>
      <c r="AW823" s="88" t="str">
        <f>HYPERLINK("http://www.openstreetmap.org/?mlat=30.5424&amp;mlon=47.7684&amp;zoom=12#map=12/30.5424/47.7684","Maplink1")</f>
        <v>Maplink1</v>
      </c>
      <c r="AX823" s="88" t="str">
        <f>HYPERLINK("https://www.google.iq/maps/search/+30.5424,47.7684/@30.5424,47.7684,14z?hl=en","Maplink2")</f>
        <v>Maplink2</v>
      </c>
      <c r="AY823" s="88" t="str">
        <f>HYPERLINK("http://www.bing.com/maps/?lvl=14&amp;sty=h&amp;cp=30.5424~47.7684&amp;sp=point.30.5424_47.7684","Maplink3")</f>
        <v>Maplink3</v>
      </c>
      <c r="AZ823" s="76"/>
    </row>
    <row r="824" spans="1:52" x14ac:dyDescent="0.25">
      <c r="A824" s="86">
        <v>24799</v>
      </c>
      <c r="B824" s="87" t="s">
        <v>15</v>
      </c>
      <c r="C824" s="87" t="s">
        <v>15</v>
      </c>
      <c r="D824" s="87" t="s">
        <v>1658</v>
      </c>
      <c r="E824" s="87" t="s">
        <v>1659</v>
      </c>
      <c r="F824" s="87">
        <v>30.547519099999999</v>
      </c>
      <c r="G824" s="87">
        <v>47.763660899999998</v>
      </c>
      <c r="H824" s="86">
        <v>2</v>
      </c>
      <c r="I824" s="86">
        <v>12</v>
      </c>
      <c r="J824" s="87"/>
      <c r="K824" s="87"/>
      <c r="L824" s="87">
        <v>1</v>
      </c>
      <c r="M824" s="87"/>
      <c r="N824" s="87"/>
      <c r="O824" s="87"/>
      <c r="P824" s="87"/>
      <c r="Q824" s="87"/>
      <c r="R824" s="87"/>
      <c r="S824" s="87"/>
      <c r="T824" s="87"/>
      <c r="U824" s="87"/>
      <c r="V824" s="87">
        <v>1</v>
      </c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>
        <v>2</v>
      </c>
      <c r="AI824" s="87"/>
      <c r="AJ824" s="87"/>
      <c r="AK824" s="87"/>
      <c r="AL824" s="87"/>
      <c r="AM824" s="87"/>
      <c r="AN824" s="87"/>
      <c r="AO824" s="87">
        <v>1</v>
      </c>
      <c r="AP824" s="87"/>
      <c r="AQ824" s="87"/>
      <c r="AR824" s="87">
        <v>1</v>
      </c>
      <c r="AS824" s="87"/>
      <c r="AT824" s="87"/>
      <c r="AU824" s="87"/>
      <c r="AV824" s="87"/>
      <c r="AW824" s="88" t="str">
        <f>HYPERLINK("http://www.openstreetmap.org/?mlat=30.5475&amp;mlon=47.7637&amp;zoom=12#map=12/30.5475/47.7637","Maplink1")</f>
        <v>Maplink1</v>
      </c>
      <c r="AX824" s="88" t="str">
        <f>HYPERLINK("https://www.google.iq/maps/search/+30.5475,47.7637/@30.5475,47.7637,14z?hl=en","Maplink2")</f>
        <v>Maplink2</v>
      </c>
      <c r="AY824" s="88" t="str">
        <f>HYPERLINK("http://www.bing.com/maps/?lvl=14&amp;sty=h&amp;cp=30.5475~47.7637&amp;sp=point.30.5475_47.7637","Maplink3")</f>
        <v>Maplink3</v>
      </c>
      <c r="AZ824" s="76"/>
    </row>
    <row r="825" spans="1:52" x14ac:dyDescent="0.25">
      <c r="A825" s="86">
        <v>32088</v>
      </c>
      <c r="B825" s="87" t="s">
        <v>15</v>
      </c>
      <c r="C825" s="87" t="s">
        <v>15</v>
      </c>
      <c r="D825" s="87" t="s">
        <v>1660</v>
      </c>
      <c r="E825" s="87" t="s">
        <v>1661</v>
      </c>
      <c r="F825" s="87">
        <v>30.544590299999999</v>
      </c>
      <c r="G825" s="87">
        <v>47.760112100000001</v>
      </c>
      <c r="H825" s="86">
        <v>1</v>
      </c>
      <c r="I825" s="86">
        <v>6</v>
      </c>
      <c r="J825" s="87"/>
      <c r="K825" s="87"/>
      <c r="L825" s="87"/>
      <c r="M825" s="87"/>
      <c r="N825" s="87"/>
      <c r="O825" s="87"/>
      <c r="P825" s="87"/>
      <c r="Q825" s="87"/>
      <c r="R825" s="87">
        <v>1</v>
      </c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>
        <v>1</v>
      </c>
      <c r="AI825" s="87"/>
      <c r="AJ825" s="87"/>
      <c r="AK825" s="87"/>
      <c r="AL825" s="87"/>
      <c r="AM825" s="87"/>
      <c r="AN825" s="87"/>
      <c r="AO825" s="87"/>
      <c r="AP825" s="87"/>
      <c r="AQ825" s="87">
        <v>1</v>
      </c>
      <c r="AR825" s="87"/>
      <c r="AS825" s="87"/>
      <c r="AT825" s="87"/>
      <c r="AU825" s="87"/>
      <c r="AV825" s="87"/>
      <c r="AW825" s="88" t="str">
        <f>HYPERLINK("http://www.openstreetmap.org/?mlat=30.5446&amp;mlon=47.7601&amp;zoom=12#map=12/30.5446/47.7601","Maplink1")</f>
        <v>Maplink1</v>
      </c>
      <c r="AX825" s="88" t="str">
        <f>HYPERLINK("https://www.google.iq/maps/search/+30.5446,47.7601/@30.5446,47.7601,14z?hl=en","Maplink2")</f>
        <v>Maplink2</v>
      </c>
      <c r="AY825" s="88" t="str">
        <f>HYPERLINK("http://www.bing.com/maps/?lvl=14&amp;sty=h&amp;cp=30.5446~47.7601&amp;sp=point.30.5446_47.7601","Maplink3")</f>
        <v>Maplink3</v>
      </c>
      <c r="AZ825" s="76"/>
    </row>
    <row r="826" spans="1:52" x14ac:dyDescent="0.25">
      <c r="A826" s="86">
        <v>21192</v>
      </c>
      <c r="B826" s="87" t="s">
        <v>15</v>
      </c>
      <c r="C826" s="87" t="s">
        <v>15</v>
      </c>
      <c r="D826" s="87" t="s">
        <v>1662</v>
      </c>
      <c r="E826" s="87" t="s">
        <v>1663</v>
      </c>
      <c r="F826" s="87">
        <v>30.582964499999999</v>
      </c>
      <c r="G826" s="87">
        <v>47.7498766</v>
      </c>
      <c r="H826" s="86">
        <v>1</v>
      </c>
      <c r="I826" s="86">
        <v>6</v>
      </c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>
        <v>1</v>
      </c>
      <c r="Y826" s="87"/>
      <c r="Z826" s="87"/>
      <c r="AA826" s="87"/>
      <c r="AB826" s="87"/>
      <c r="AC826" s="87">
        <v>1</v>
      </c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>
        <v>1</v>
      </c>
      <c r="AQ826" s="87"/>
      <c r="AR826" s="87"/>
      <c r="AS826" s="87"/>
      <c r="AT826" s="87"/>
      <c r="AU826" s="87"/>
      <c r="AV826" s="87"/>
      <c r="AW826" s="88" t="str">
        <f>HYPERLINK("http://www.openstreetmap.org/?mlat=30.583&amp;mlon=47.7499&amp;zoom=12#map=12/30.583/47.7499","Maplink1")</f>
        <v>Maplink1</v>
      </c>
      <c r="AX826" s="88" t="str">
        <f>HYPERLINK("https://www.google.iq/maps/search/+30.583,47.7499/@30.583,47.7499,14z?hl=en","Maplink2")</f>
        <v>Maplink2</v>
      </c>
      <c r="AY826" s="88" t="str">
        <f>HYPERLINK("http://www.bing.com/maps/?lvl=14&amp;sty=h&amp;cp=30.583~47.7499&amp;sp=point.30.583_47.7499","Maplink3")</f>
        <v>Maplink3</v>
      </c>
      <c r="AZ826" s="76"/>
    </row>
    <row r="827" spans="1:52" x14ac:dyDescent="0.25">
      <c r="A827" s="86">
        <v>1003</v>
      </c>
      <c r="B827" s="87" t="s">
        <v>15</v>
      </c>
      <c r="C827" s="87" t="s">
        <v>15</v>
      </c>
      <c r="D827" s="87" t="s">
        <v>1664</v>
      </c>
      <c r="E827" s="87" t="s">
        <v>1665</v>
      </c>
      <c r="F827" s="87">
        <v>30.560096699999999</v>
      </c>
      <c r="G827" s="87">
        <v>47.7360294</v>
      </c>
      <c r="H827" s="86">
        <v>1</v>
      </c>
      <c r="I827" s="86">
        <v>6</v>
      </c>
      <c r="J827" s="87"/>
      <c r="K827" s="87"/>
      <c r="L827" s="87"/>
      <c r="M827" s="87"/>
      <c r="N827" s="87"/>
      <c r="O827" s="87">
        <v>1</v>
      </c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>
        <v>1</v>
      </c>
      <c r="AI827" s="87"/>
      <c r="AJ827" s="87"/>
      <c r="AK827" s="87"/>
      <c r="AL827" s="87"/>
      <c r="AM827" s="87"/>
      <c r="AN827" s="87"/>
      <c r="AO827" s="87"/>
      <c r="AP827" s="87">
        <v>1</v>
      </c>
      <c r="AQ827" s="87"/>
      <c r="AR827" s="87"/>
      <c r="AS827" s="87"/>
      <c r="AT827" s="87"/>
      <c r="AU827" s="87"/>
      <c r="AV827" s="87"/>
      <c r="AW827" s="88" t="str">
        <f>HYPERLINK("http://www.openstreetmap.org/?mlat=30.5601&amp;mlon=47.736&amp;zoom=12#map=12/30.5601/47.736","Maplink1")</f>
        <v>Maplink1</v>
      </c>
      <c r="AX827" s="88" t="str">
        <f>HYPERLINK("https://www.google.iq/maps/search/+30.5601,47.736/@30.5601,47.736,14z?hl=en","Maplink2")</f>
        <v>Maplink2</v>
      </c>
      <c r="AY827" s="88" t="str">
        <f>HYPERLINK("http://www.bing.com/maps/?lvl=14&amp;sty=h&amp;cp=30.5601~47.736&amp;sp=point.30.5601_47.736","Maplink3")</f>
        <v>Maplink3</v>
      </c>
      <c r="AZ827" s="76"/>
    </row>
    <row r="828" spans="1:52" x14ac:dyDescent="0.25">
      <c r="A828" s="86">
        <v>24179</v>
      </c>
      <c r="B828" s="87" t="s">
        <v>15</v>
      </c>
      <c r="C828" s="87" t="s">
        <v>15</v>
      </c>
      <c r="D828" s="87" t="s">
        <v>1666</v>
      </c>
      <c r="E828" s="87" t="s">
        <v>1667</v>
      </c>
      <c r="F828" s="87">
        <v>30.548727599999999</v>
      </c>
      <c r="G828" s="87">
        <v>47.773379400000003</v>
      </c>
      <c r="H828" s="86">
        <v>4</v>
      </c>
      <c r="I828" s="86">
        <v>24</v>
      </c>
      <c r="J828" s="87"/>
      <c r="K828" s="87"/>
      <c r="L828" s="87"/>
      <c r="M828" s="87"/>
      <c r="N828" s="87"/>
      <c r="O828" s="87">
        <v>1</v>
      </c>
      <c r="P828" s="87"/>
      <c r="Q828" s="87"/>
      <c r="R828" s="87"/>
      <c r="S828" s="87"/>
      <c r="T828" s="87"/>
      <c r="U828" s="87"/>
      <c r="V828" s="87"/>
      <c r="W828" s="87"/>
      <c r="X828" s="87">
        <v>3</v>
      </c>
      <c r="Y828" s="87"/>
      <c r="Z828" s="87"/>
      <c r="AA828" s="87"/>
      <c r="AB828" s="87"/>
      <c r="AC828" s="87">
        <v>1</v>
      </c>
      <c r="AD828" s="87"/>
      <c r="AE828" s="87"/>
      <c r="AF828" s="87"/>
      <c r="AG828" s="87"/>
      <c r="AH828" s="87">
        <v>3</v>
      </c>
      <c r="AI828" s="87"/>
      <c r="AJ828" s="87"/>
      <c r="AK828" s="87"/>
      <c r="AL828" s="87"/>
      <c r="AM828" s="87"/>
      <c r="AN828" s="87"/>
      <c r="AO828" s="87">
        <v>3</v>
      </c>
      <c r="AP828" s="87">
        <v>1</v>
      </c>
      <c r="AQ828" s="87"/>
      <c r="AR828" s="87"/>
      <c r="AS828" s="87"/>
      <c r="AT828" s="87"/>
      <c r="AU828" s="87"/>
      <c r="AV828" s="87"/>
      <c r="AW828" s="88" t="str">
        <f>HYPERLINK("http://www.openstreetmap.org/?mlat=30.5487&amp;mlon=47.7734&amp;zoom=12#map=12/30.5487/47.7734","Maplink1")</f>
        <v>Maplink1</v>
      </c>
      <c r="AX828" s="88" t="str">
        <f>HYPERLINK("https://www.google.iq/maps/search/+30.5487,47.7734/@30.5487,47.7734,14z?hl=en","Maplink2")</f>
        <v>Maplink2</v>
      </c>
      <c r="AY828" s="88" t="str">
        <f>HYPERLINK("http://www.bing.com/maps/?lvl=14&amp;sty=h&amp;cp=30.5487~47.7734&amp;sp=point.30.5487_47.7734","Maplink3")</f>
        <v>Maplink3</v>
      </c>
      <c r="AZ828" s="76"/>
    </row>
    <row r="829" spans="1:52" x14ac:dyDescent="0.25">
      <c r="A829" s="86">
        <v>1269</v>
      </c>
      <c r="B829" s="87" t="s">
        <v>15</v>
      </c>
      <c r="C829" s="87" t="s">
        <v>15</v>
      </c>
      <c r="D829" s="87" t="s">
        <v>1668</v>
      </c>
      <c r="E829" s="87" t="s">
        <v>1669</v>
      </c>
      <c r="F829" s="87">
        <v>30.465855000000001</v>
      </c>
      <c r="G829" s="87">
        <v>47.7781414349</v>
      </c>
      <c r="H829" s="86">
        <v>7</v>
      </c>
      <c r="I829" s="86">
        <v>42</v>
      </c>
      <c r="J829" s="87"/>
      <c r="K829" s="87"/>
      <c r="L829" s="87"/>
      <c r="M829" s="87"/>
      <c r="N829" s="87"/>
      <c r="O829" s="87"/>
      <c r="P829" s="87"/>
      <c r="Q829" s="87"/>
      <c r="R829" s="87">
        <v>3</v>
      </c>
      <c r="S829" s="87"/>
      <c r="T829" s="87"/>
      <c r="U829" s="87"/>
      <c r="V829" s="87">
        <v>4</v>
      </c>
      <c r="W829" s="87"/>
      <c r="X829" s="87"/>
      <c r="Y829" s="87"/>
      <c r="Z829" s="87"/>
      <c r="AA829" s="87"/>
      <c r="AB829" s="87"/>
      <c r="AC829" s="87">
        <v>4</v>
      </c>
      <c r="AD829" s="87"/>
      <c r="AE829" s="87"/>
      <c r="AF829" s="87"/>
      <c r="AG829" s="87"/>
      <c r="AH829" s="87">
        <v>3</v>
      </c>
      <c r="AI829" s="87"/>
      <c r="AJ829" s="87"/>
      <c r="AK829" s="87"/>
      <c r="AL829" s="87"/>
      <c r="AM829" s="87"/>
      <c r="AN829" s="87"/>
      <c r="AO829" s="87">
        <v>1</v>
      </c>
      <c r="AP829" s="87">
        <v>4</v>
      </c>
      <c r="AQ829" s="87">
        <v>2</v>
      </c>
      <c r="AR829" s="87"/>
      <c r="AS829" s="87"/>
      <c r="AT829" s="87"/>
      <c r="AU829" s="87"/>
      <c r="AV829" s="87"/>
      <c r="AW829" s="88" t="str">
        <f>HYPERLINK("http://www.openstreetmap.org/?mlat=30.4659&amp;mlon=47.7781&amp;zoom=12#map=12/30.4659/47.7781","Maplink1")</f>
        <v>Maplink1</v>
      </c>
      <c r="AX829" s="88" t="str">
        <f>HYPERLINK("https://www.google.iq/maps/search/+30.4659,47.7781/@30.4659,47.7781,14z?hl=en","Maplink2")</f>
        <v>Maplink2</v>
      </c>
      <c r="AY829" s="88" t="str">
        <f>HYPERLINK("http://www.bing.com/maps/?lvl=14&amp;sty=h&amp;cp=30.4659~47.7781&amp;sp=point.30.4659_47.7781","Maplink3")</f>
        <v>Maplink3</v>
      </c>
      <c r="AZ829" s="76"/>
    </row>
    <row r="830" spans="1:52" x14ac:dyDescent="0.25">
      <c r="A830" s="86">
        <v>968</v>
      </c>
      <c r="B830" s="87" t="s">
        <v>15</v>
      </c>
      <c r="C830" s="87" t="s">
        <v>15</v>
      </c>
      <c r="D830" s="87" t="s">
        <v>1670</v>
      </c>
      <c r="E830" s="87" t="s">
        <v>1671</v>
      </c>
      <c r="F830" s="87">
        <v>30.543560792299999</v>
      </c>
      <c r="G830" s="87">
        <v>47.794787700400001</v>
      </c>
      <c r="H830" s="86">
        <v>4</v>
      </c>
      <c r="I830" s="86">
        <v>24</v>
      </c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>
        <v>4</v>
      </c>
      <c r="W830" s="87"/>
      <c r="X830" s="87"/>
      <c r="Y830" s="87"/>
      <c r="Z830" s="87"/>
      <c r="AA830" s="87"/>
      <c r="AB830" s="87"/>
      <c r="AC830" s="87">
        <v>3</v>
      </c>
      <c r="AD830" s="87"/>
      <c r="AE830" s="87"/>
      <c r="AF830" s="87"/>
      <c r="AG830" s="87"/>
      <c r="AH830" s="87">
        <v>1</v>
      </c>
      <c r="AI830" s="87"/>
      <c r="AJ830" s="87"/>
      <c r="AK830" s="87"/>
      <c r="AL830" s="87"/>
      <c r="AM830" s="87"/>
      <c r="AN830" s="87"/>
      <c r="AO830" s="87"/>
      <c r="AP830" s="87">
        <v>2</v>
      </c>
      <c r="AQ830" s="87">
        <v>2</v>
      </c>
      <c r="AR830" s="87"/>
      <c r="AS830" s="87"/>
      <c r="AT830" s="87"/>
      <c r="AU830" s="87"/>
      <c r="AV830" s="87"/>
      <c r="AW830" s="88" t="str">
        <f>HYPERLINK("http://www.openstreetmap.org/?mlat=30.5436&amp;mlon=47.7948&amp;zoom=12#map=12/30.5436/47.7948","Maplink1")</f>
        <v>Maplink1</v>
      </c>
      <c r="AX830" s="88" t="str">
        <f>HYPERLINK("https://www.google.iq/maps/search/+30.5436,47.7948/@30.5436,47.7948,14z?hl=en","Maplink2")</f>
        <v>Maplink2</v>
      </c>
      <c r="AY830" s="88" t="str">
        <f>HYPERLINK("http://www.bing.com/maps/?lvl=14&amp;sty=h&amp;cp=30.5436~47.7948&amp;sp=point.30.5436_47.7948","Maplink3")</f>
        <v>Maplink3</v>
      </c>
      <c r="AZ830" s="76"/>
    </row>
    <row r="831" spans="1:52" x14ac:dyDescent="0.25">
      <c r="A831" s="86">
        <v>475</v>
      </c>
      <c r="B831" s="87" t="s">
        <v>15</v>
      </c>
      <c r="C831" s="87" t="s">
        <v>15</v>
      </c>
      <c r="D831" s="87" t="s">
        <v>1672</v>
      </c>
      <c r="E831" s="87" t="s">
        <v>1673</v>
      </c>
      <c r="F831" s="87">
        <v>30.524536832399999</v>
      </c>
      <c r="G831" s="87">
        <v>47.830444895200003</v>
      </c>
      <c r="H831" s="86">
        <v>1</v>
      </c>
      <c r="I831" s="86">
        <v>6</v>
      </c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>
        <v>1</v>
      </c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>
        <v>1</v>
      </c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>
        <v>1</v>
      </c>
      <c r="AU831" s="87"/>
      <c r="AV831" s="87"/>
      <c r="AW831" s="88" t="str">
        <f>HYPERLINK("http://www.openstreetmap.org/?mlat=30.5245&amp;mlon=47.8304&amp;zoom=12#map=12/30.5245/47.8304","Maplink1")</f>
        <v>Maplink1</v>
      </c>
      <c r="AX831" s="88" t="str">
        <f>HYPERLINK("https://www.google.iq/maps/search/+30.5245,47.8304/@30.5245,47.8304,14z?hl=en","Maplink2")</f>
        <v>Maplink2</v>
      </c>
      <c r="AY831" s="88" t="str">
        <f>HYPERLINK("http://www.bing.com/maps/?lvl=14&amp;sty=h&amp;cp=30.5245~47.8304&amp;sp=point.30.5245_47.8304","Maplink3")</f>
        <v>Maplink3</v>
      </c>
      <c r="AZ831" s="76"/>
    </row>
    <row r="832" spans="1:52" x14ac:dyDescent="0.25">
      <c r="A832" s="86">
        <v>24346</v>
      </c>
      <c r="B832" s="87" t="s">
        <v>15</v>
      </c>
      <c r="C832" s="87" t="s">
        <v>15</v>
      </c>
      <c r="D832" s="87" t="s">
        <v>1674</v>
      </c>
      <c r="E832" s="87" t="s">
        <v>1675</v>
      </c>
      <c r="F832" s="87">
        <v>30.518526399999999</v>
      </c>
      <c r="G832" s="87">
        <v>47.8327375979</v>
      </c>
      <c r="H832" s="86">
        <v>26</v>
      </c>
      <c r="I832" s="86">
        <v>156</v>
      </c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>
        <v>24</v>
      </c>
      <c r="W832" s="87"/>
      <c r="X832" s="87">
        <v>2</v>
      </c>
      <c r="Y832" s="87"/>
      <c r="Z832" s="87"/>
      <c r="AA832" s="87"/>
      <c r="AB832" s="87"/>
      <c r="AC832" s="87">
        <v>1</v>
      </c>
      <c r="AD832" s="87">
        <v>25</v>
      </c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>
        <v>10</v>
      </c>
      <c r="AP832" s="87">
        <v>5</v>
      </c>
      <c r="AQ832" s="87">
        <v>10</v>
      </c>
      <c r="AR832" s="87"/>
      <c r="AS832" s="87"/>
      <c r="AT832" s="87">
        <v>1</v>
      </c>
      <c r="AU832" s="87"/>
      <c r="AV832" s="87"/>
      <c r="AW832" s="88" t="str">
        <f>HYPERLINK("http://www.openstreetmap.org/?mlat=30.5185&amp;mlon=47.8327&amp;zoom=12#map=12/30.5185/47.8327","Maplink1")</f>
        <v>Maplink1</v>
      </c>
      <c r="AX832" s="88" t="str">
        <f>HYPERLINK("https://www.google.iq/maps/search/+30.5185,47.8327/@30.5185,47.8327,14z?hl=en","Maplink2")</f>
        <v>Maplink2</v>
      </c>
      <c r="AY832" s="88" t="str">
        <f>HYPERLINK("http://www.bing.com/maps/?lvl=14&amp;sty=h&amp;cp=30.5185~47.8327&amp;sp=point.30.5185_47.8327","Maplink3")</f>
        <v>Maplink3</v>
      </c>
      <c r="AZ832" s="76"/>
    </row>
    <row r="833" spans="1:52" x14ac:dyDescent="0.25">
      <c r="A833" s="86">
        <v>29555</v>
      </c>
      <c r="B833" s="87" t="s">
        <v>15</v>
      </c>
      <c r="C833" s="87" t="s">
        <v>15</v>
      </c>
      <c r="D833" s="87" t="s">
        <v>1676</v>
      </c>
      <c r="E833" s="87" t="s">
        <v>1677</v>
      </c>
      <c r="F833" s="87">
        <v>30.5777082</v>
      </c>
      <c r="G833" s="87">
        <v>47.746243499999999</v>
      </c>
      <c r="H833" s="86">
        <v>1</v>
      </c>
      <c r="I833" s="86">
        <v>6</v>
      </c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>
        <v>1</v>
      </c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>
        <v>1</v>
      </c>
      <c r="AI833" s="87"/>
      <c r="AJ833" s="87"/>
      <c r="AK833" s="87"/>
      <c r="AL833" s="87"/>
      <c r="AM833" s="87"/>
      <c r="AN833" s="87"/>
      <c r="AO833" s="87">
        <v>1</v>
      </c>
      <c r="AP833" s="87"/>
      <c r="AQ833" s="87"/>
      <c r="AR833" s="87"/>
      <c r="AS833" s="87"/>
      <c r="AT833" s="87"/>
      <c r="AU833" s="87"/>
      <c r="AV833" s="87"/>
      <c r="AW833" s="88" t="str">
        <f>HYPERLINK("http://www.openstreetmap.org/?mlat=30.5777&amp;mlon=47.7462&amp;zoom=12#map=12/30.5777/47.7462","Maplink1")</f>
        <v>Maplink1</v>
      </c>
      <c r="AX833" s="88" t="str">
        <f>HYPERLINK("https://www.google.iq/maps/search/+30.5777,47.7462/@30.5777,47.7462,14z?hl=en","Maplink2")</f>
        <v>Maplink2</v>
      </c>
      <c r="AY833" s="88" t="str">
        <f>HYPERLINK("http://www.bing.com/maps/?lvl=14&amp;sty=h&amp;cp=30.5777~47.7462&amp;sp=point.30.5777_47.7462","Maplink3")</f>
        <v>Maplink3</v>
      </c>
      <c r="AZ833" s="76"/>
    </row>
    <row r="834" spans="1:52" x14ac:dyDescent="0.25">
      <c r="A834" s="86">
        <v>871</v>
      </c>
      <c r="B834" s="87" t="s">
        <v>15</v>
      </c>
      <c r="C834" s="87" t="s">
        <v>15</v>
      </c>
      <c r="D834" s="87" t="s">
        <v>1678</v>
      </c>
      <c r="E834" s="87" t="s">
        <v>1679</v>
      </c>
      <c r="F834" s="87">
        <v>30.5970753</v>
      </c>
      <c r="G834" s="87">
        <v>47.753337999999999</v>
      </c>
      <c r="H834" s="86">
        <v>1</v>
      </c>
      <c r="I834" s="86">
        <v>6</v>
      </c>
      <c r="J834" s="87"/>
      <c r="K834" s="87"/>
      <c r="L834" s="87"/>
      <c r="M834" s="87"/>
      <c r="N834" s="87"/>
      <c r="O834" s="87"/>
      <c r="P834" s="87"/>
      <c r="Q834" s="87"/>
      <c r="R834" s="87">
        <v>1</v>
      </c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>
        <v>1</v>
      </c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>
        <v>1</v>
      </c>
      <c r="AS834" s="87"/>
      <c r="AT834" s="87"/>
      <c r="AU834" s="87"/>
      <c r="AV834" s="87"/>
      <c r="AW834" s="88" t="str">
        <f>HYPERLINK("http://www.openstreetmap.org/?mlat=30.5971&amp;mlon=47.7533&amp;zoom=12#map=12/30.5971/47.7533","Maplink1")</f>
        <v>Maplink1</v>
      </c>
      <c r="AX834" s="88" t="str">
        <f>HYPERLINK("https://www.google.iq/maps/search/+30.5971,47.7533/@30.5971,47.7533,14z?hl=en","Maplink2")</f>
        <v>Maplink2</v>
      </c>
      <c r="AY834" s="88" t="str">
        <f>HYPERLINK("http://www.bing.com/maps/?lvl=14&amp;sty=h&amp;cp=30.5971~47.7533&amp;sp=point.30.5971_47.7533","Maplink3")</f>
        <v>Maplink3</v>
      </c>
      <c r="AZ834" s="76"/>
    </row>
    <row r="835" spans="1:52" x14ac:dyDescent="0.25">
      <c r="A835" s="86">
        <v>894</v>
      </c>
      <c r="B835" s="87" t="s">
        <v>15</v>
      </c>
      <c r="C835" s="87" t="s">
        <v>15</v>
      </c>
      <c r="D835" s="87" t="s">
        <v>1680</v>
      </c>
      <c r="E835" s="87" t="s">
        <v>1681</v>
      </c>
      <c r="F835" s="87">
        <v>30.502646899999998</v>
      </c>
      <c r="G835" s="87">
        <v>47.826789300000002</v>
      </c>
      <c r="H835" s="86">
        <v>3</v>
      </c>
      <c r="I835" s="86">
        <v>18</v>
      </c>
      <c r="J835" s="87">
        <v>1</v>
      </c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>
        <v>1</v>
      </c>
      <c r="W835" s="87"/>
      <c r="X835" s="87">
        <v>1</v>
      </c>
      <c r="Y835" s="87"/>
      <c r="Z835" s="87"/>
      <c r="AA835" s="87"/>
      <c r="AB835" s="87"/>
      <c r="AC835" s="87">
        <v>2</v>
      </c>
      <c r="AD835" s="87"/>
      <c r="AE835" s="87"/>
      <c r="AF835" s="87"/>
      <c r="AG835" s="87"/>
      <c r="AH835" s="87">
        <v>1</v>
      </c>
      <c r="AI835" s="87"/>
      <c r="AJ835" s="87"/>
      <c r="AK835" s="87"/>
      <c r="AL835" s="87"/>
      <c r="AM835" s="87"/>
      <c r="AN835" s="87">
        <v>1</v>
      </c>
      <c r="AO835" s="87"/>
      <c r="AP835" s="87">
        <v>1</v>
      </c>
      <c r="AQ835" s="87">
        <v>1</v>
      </c>
      <c r="AR835" s="87"/>
      <c r="AS835" s="87"/>
      <c r="AT835" s="87"/>
      <c r="AU835" s="87"/>
      <c r="AV835" s="87"/>
      <c r="AW835" s="88" t="str">
        <f>HYPERLINK("http://www.openstreetmap.org/?mlat=30.5026&amp;mlon=47.8268&amp;zoom=12#map=12/30.5026/47.8268","Maplink1")</f>
        <v>Maplink1</v>
      </c>
      <c r="AX835" s="88" t="str">
        <f>HYPERLINK("https://www.google.iq/maps/search/+30.5026,47.8268/@30.5026,47.8268,14z?hl=en","Maplink2")</f>
        <v>Maplink2</v>
      </c>
      <c r="AY835" s="88" t="str">
        <f>HYPERLINK("http://www.bing.com/maps/?lvl=14&amp;sty=h&amp;cp=30.5026~47.8268&amp;sp=point.30.5026_47.8268","Maplink3")</f>
        <v>Maplink3</v>
      </c>
      <c r="AZ835" s="76"/>
    </row>
    <row r="836" spans="1:52" x14ac:dyDescent="0.25">
      <c r="A836" s="86">
        <v>927</v>
      </c>
      <c r="B836" s="87" t="s">
        <v>15</v>
      </c>
      <c r="C836" s="87" t="s">
        <v>15</v>
      </c>
      <c r="D836" s="87" t="s">
        <v>1682</v>
      </c>
      <c r="E836" s="87" t="s">
        <v>1683</v>
      </c>
      <c r="F836" s="87">
        <v>30.52243352</v>
      </c>
      <c r="G836" s="87">
        <v>47.797671025200003</v>
      </c>
      <c r="H836" s="86">
        <v>9</v>
      </c>
      <c r="I836" s="86">
        <v>54</v>
      </c>
      <c r="J836" s="87">
        <v>1</v>
      </c>
      <c r="K836" s="87"/>
      <c r="L836" s="87"/>
      <c r="M836" s="87"/>
      <c r="N836" s="87"/>
      <c r="O836" s="87"/>
      <c r="P836" s="87"/>
      <c r="Q836" s="87"/>
      <c r="R836" s="87">
        <v>6</v>
      </c>
      <c r="S836" s="87"/>
      <c r="T836" s="87"/>
      <c r="U836" s="87"/>
      <c r="V836" s="87">
        <v>1</v>
      </c>
      <c r="W836" s="87"/>
      <c r="X836" s="87">
        <v>1</v>
      </c>
      <c r="Y836" s="87"/>
      <c r="Z836" s="87"/>
      <c r="AA836" s="87"/>
      <c r="AB836" s="87"/>
      <c r="AC836" s="87">
        <v>6</v>
      </c>
      <c r="AD836" s="87"/>
      <c r="AE836" s="87"/>
      <c r="AF836" s="87"/>
      <c r="AG836" s="87"/>
      <c r="AH836" s="87">
        <v>3</v>
      </c>
      <c r="AI836" s="87"/>
      <c r="AJ836" s="87"/>
      <c r="AK836" s="87"/>
      <c r="AL836" s="87"/>
      <c r="AM836" s="87"/>
      <c r="AN836" s="87"/>
      <c r="AO836" s="87">
        <v>2</v>
      </c>
      <c r="AP836" s="87">
        <v>5</v>
      </c>
      <c r="AQ836" s="87">
        <v>2</v>
      </c>
      <c r="AR836" s="87"/>
      <c r="AS836" s="87"/>
      <c r="AT836" s="87"/>
      <c r="AU836" s="87"/>
      <c r="AV836" s="87"/>
      <c r="AW836" s="88" t="str">
        <f>HYPERLINK("http://www.openstreetmap.org/?mlat=30.5224&amp;mlon=47.7977&amp;zoom=12#map=12/30.5224/47.7977","Maplink1")</f>
        <v>Maplink1</v>
      </c>
      <c r="AX836" s="88" t="str">
        <f>HYPERLINK("https://www.google.iq/maps/search/+30.5224,47.7977/@30.5224,47.7977,14z?hl=en","Maplink2")</f>
        <v>Maplink2</v>
      </c>
      <c r="AY836" s="88" t="str">
        <f>HYPERLINK("http://www.bing.com/maps/?lvl=14&amp;sty=h&amp;cp=30.5224~47.7977&amp;sp=point.30.5224_47.7977","Maplink3")</f>
        <v>Maplink3</v>
      </c>
      <c r="AZ836" s="76"/>
    </row>
    <row r="837" spans="1:52" x14ac:dyDescent="0.25">
      <c r="A837" s="86">
        <v>24344</v>
      </c>
      <c r="B837" s="87" t="s">
        <v>15</v>
      </c>
      <c r="C837" s="87" t="s">
        <v>15</v>
      </c>
      <c r="D837" s="87" t="s">
        <v>1684</v>
      </c>
      <c r="E837" s="87" t="s">
        <v>1685</v>
      </c>
      <c r="F837" s="87">
        <v>30.468351908500001</v>
      </c>
      <c r="G837" s="87">
        <v>47.813220192400003</v>
      </c>
      <c r="H837" s="86">
        <v>4</v>
      </c>
      <c r="I837" s="86">
        <v>24</v>
      </c>
      <c r="J837" s="87">
        <v>1</v>
      </c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>
        <v>3</v>
      </c>
      <c r="Y837" s="87"/>
      <c r="Z837" s="87"/>
      <c r="AA837" s="87"/>
      <c r="AB837" s="87"/>
      <c r="AC837" s="87">
        <v>1</v>
      </c>
      <c r="AD837" s="87"/>
      <c r="AE837" s="87"/>
      <c r="AF837" s="87"/>
      <c r="AG837" s="87"/>
      <c r="AH837" s="87">
        <v>3</v>
      </c>
      <c r="AI837" s="87"/>
      <c r="AJ837" s="87"/>
      <c r="AK837" s="87"/>
      <c r="AL837" s="87"/>
      <c r="AM837" s="87"/>
      <c r="AN837" s="87"/>
      <c r="AO837" s="87">
        <v>2</v>
      </c>
      <c r="AP837" s="87"/>
      <c r="AQ837" s="87"/>
      <c r="AR837" s="87">
        <v>2</v>
      </c>
      <c r="AS837" s="87"/>
      <c r="AT837" s="87"/>
      <c r="AU837" s="87"/>
      <c r="AV837" s="87"/>
      <c r="AW837" s="88" t="str">
        <f>HYPERLINK("http://www.openstreetmap.org/?mlat=30.4684&amp;mlon=47.8132&amp;zoom=12#map=12/30.4684/47.8132","Maplink1")</f>
        <v>Maplink1</v>
      </c>
      <c r="AX837" s="88" t="str">
        <f>HYPERLINK("https://www.google.iq/maps/search/+30.4684,47.8132/@30.4684,47.8132,14z?hl=en","Maplink2")</f>
        <v>Maplink2</v>
      </c>
      <c r="AY837" s="88" t="str">
        <f>HYPERLINK("http://www.bing.com/maps/?lvl=14&amp;sty=h&amp;cp=30.4684~47.8132&amp;sp=point.30.4684_47.8132","Maplink3")</f>
        <v>Maplink3</v>
      </c>
      <c r="AZ837" s="76"/>
    </row>
    <row r="838" spans="1:52" x14ac:dyDescent="0.25">
      <c r="A838" s="86">
        <v>898</v>
      </c>
      <c r="B838" s="87" t="s">
        <v>15</v>
      </c>
      <c r="C838" s="87" t="s">
        <v>15</v>
      </c>
      <c r="D838" s="87" t="s">
        <v>1686</v>
      </c>
      <c r="E838" s="87" t="s">
        <v>1687</v>
      </c>
      <c r="F838" s="87">
        <v>30.4881858</v>
      </c>
      <c r="G838" s="87">
        <v>47.7944062527</v>
      </c>
      <c r="H838" s="86">
        <v>6</v>
      </c>
      <c r="I838" s="86">
        <v>36</v>
      </c>
      <c r="J838" s="87">
        <v>1</v>
      </c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>
        <v>5</v>
      </c>
      <c r="W838" s="87"/>
      <c r="X838" s="87"/>
      <c r="Y838" s="87"/>
      <c r="Z838" s="87"/>
      <c r="AA838" s="87"/>
      <c r="AB838" s="87"/>
      <c r="AC838" s="87">
        <v>1</v>
      </c>
      <c r="AD838" s="87"/>
      <c r="AE838" s="87"/>
      <c r="AF838" s="87"/>
      <c r="AG838" s="87"/>
      <c r="AH838" s="87">
        <v>5</v>
      </c>
      <c r="AI838" s="87"/>
      <c r="AJ838" s="87"/>
      <c r="AK838" s="87"/>
      <c r="AL838" s="87"/>
      <c r="AM838" s="87"/>
      <c r="AN838" s="87">
        <v>1</v>
      </c>
      <c r="AO838" s="87"/>
      <c r="AP838" s="87"/>
      <c r="AQ838" s="87">
        <v>2</v>
      </c>
      <c r="AR838" s="87"/>
      <c r="AS838" s="87"/>
      <c r="AT838" s="87">
        <v>3</v>
      </c>
      <c r="AU838" s="87"/>
      <c r="AV838" s="87"/>
      <c r="AW838" s="88" t="str">
        <f>HYPERLINK("http://www.openstreetmap.org/?mlat=30.4882&amp;mlon=47.7944&amp;zoom=12#map=12/30.4882/47.7944","Maplink1")</f>
        <v>Maplink1</v>
      </c>
      <c r="AX838" s="88" t="str">
        <f>HYPERLINK("https://www.google.iq/maps/search/+30.4882,47.7944/@30.4882,47.7944,14z?hl=en","Maplink2")</f>
        <v>Maplink2</v>
      </c>
      <c r="AY838" s="88" t="str">
        <f>HYPERLINK("http://www.bing.com/maps/?lvl=14&amp;sty=h&amp;cp=30.4882~47.7944&amp;sp=point.30.4882_47.7944","Maplink3")</f>
        <v>Maplink3</v>
      </c>
      <c r="AZ838" s="76"/>
    </row>
    <row r="839" spans="1:52" x14ac:dyDescent="0.25">
      <c r="A839" s="86">
        <v>885</v>
      </c>
      <c r="B839" s="87" t="s">
        <v>15</v>
      </c>
      <c r="C839" s="87" t="s">
        <v>15</v>
      </c>
      <c r="D839" s="87" t="s">
        <v>1688</v>
      </c>
      <c r="E839" s="87" t="s">
        <v>1689</v>
      </c>
      <c r="F839" s="87">
        <v>30.4940009</v>
      </c>
      <c r="G839" s="87">
        <v>47.788857008699999</v>
      </c>
      <c r="H839" s="86">
        <v>6</v>
      </c>
      <c r="I839" s="86">
        <v>36</v>
      </c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>
        <v>5</v>
      </c>
      <c r="W839" s="87"/>
      <c r="X839" s="87">
        <v>1</v>
      </c>
      <c r="Y839" s="87"/>
      <c r="Z839" s="87"/>
      <c r="AA839" s="87"/>
      <c r="AB839" s="87"/>
      <c r="AC839" s="87">
        <v>1</v>
      </c>
      <c r="AD839" s="87"/>
      <c r="AE839" s="87"/>
      <c r="AF839" s="87"/>
      <c r="AG839" s="87"/>
      <c r="AH839" s="87">
        <v>4</v>
      </c>
      <c r="AI839" s="87"/>
      <c r="AJ839" s="87">
        <v>1</v>
      </c>
      <c r="AK839" s="87"/>
      <c r="AL839" s="87"/>
      <c r="AM839" s="87"/>
      <c r="AN839" s="87"/>
      <c r="AO839" s="87">
        <v>1</v>
      </c>
      <c r="AP839" s="87">
        <v>5</v>
      </c>
      <c r="AQ839" s="87"/>
      <c r="AR839" s="87"/>
      <c r="AS839" s="87"/>
      <c r="AT839" s="87"/>
      <c r="AU839" s="87"/>
      <c r="AV839" s="87"/>
      <c r="AW839" s="88" t="str">
        <f>HYPERLINK("http://www.openstreetmap.org/?mlat=30.494&amp;mlon=47.7889&amp;zoom=12#map=12/30.494/47.7889","Maplink1")</f>
        <v>Maplink1</v>
      </c>
      <c r="AX839" s="88" t="str">
        <f>HYPERLINK("https://www.google.iq/maps/search/+30.494,47.7889/@30.494,47.7889,14z?hl=en","Maplink2")</f>
        <v>Maplink2</v>
      </c>
      <c r="AY839" s="88" t="str">
        <f>HYPERLINK("http://www.bing.com/maps/?lvl=14&amp;sty=h&amp;cp=30.494~47.7889&amp;sp=point.30.494_47.7889","Maplink3")</f>
        <v>Maplink3</v>
      </c>
      <c r="AZ839" s="76"/>
    </row>
    <row r="840" spans="1:52" x14ac:dyDescent="0.25">
      <c r="A840" s="86">
        <v>511</v>
      </c>
      <c r="B840" s="87" t="s">
        <v>15</v>
      </c>
      <c r="C840" s="87" t="s">
        <v>15</v>
      </c>
      <c r="D840" s="87" t="s">
        <v>1690</v>
      </c>
      <c r="E840" s="87" t="s">
        <v>1691</v>
      </c>
      <c r="F840" s="87">
        <v>30.505799700000001</v>
      </c>
      <c r="G840" s="87">
        <v>47.781816134800003</v>
      </c>
      <c r="H840" s="86">
        <v>6</v>
      </c>
      <c r="I840" s="86">
        <v>36</v>
      </c>
      <c r="J840" s="87">
        <v>1</v>
      </c>
      <c r="K840" s="87"/>
      <c r="L840" s="87"/>
      <c r="M840" s="87"/>
      <c r="N840" s="87"/>
      <c r="O840" s="87">
        <v>1</v>
      </c>
      <c r="P840" s="87"/>
      <c r="Q840" s="87"/>
      <c r="R840" s="87"/>
      <c r="S840" s="87"/>
      <c r="T840" s="87"/>
      <c r="U840" s="87"/>
      <c r="V840" s="87">
        <v>1</v>
      </c>
      <c r="W840" s="87"/>
      <c r="X840" s="87">
        <v>3</v>
      </c>
      <c r="Y840" s="87"/>
      <c r="Z840" s="87"/>
      <c r="AA840" s="87"/>
      <c r="AB840" s="87"/>
      <c r="AC840" s="87">
        <v>3</v>
      </c>
      <c r="AD840" s="87"/>
      <c r="AE840" s="87"/>
      <c r="AF840" s="87"/>
      <c r="AG840" s="87"/>
      <c r="AH840" s="87">
        <v>3</v>
      </c>
      <c r="AI840" s="87"/>
      <c r="AJ840" s="87"/>
      <c r="AK840" s="87"/>
      <c r="AL840" s="87"/>
      <c r="AM840" s="87"/>
      <c r="AN840" s="87">
        <v>2</v>
      </c>
      <c r="AO840" s="87"/>
      <c r="AP840" s="87">
        <v>1</v>
      </c>
      <c r="AQ840" s="87"/>
      <c r="AR840" s="87"/>
      <c r="AS840" s="87">
        <v>3</v>
      </c>
      <c r="AT840" s="87"/>
      <c r="AU840" s="87"/>
      <c r="AV840" s="87"/>
      <c r="AW840" s="88" t="str">
        <f>HYPERLINK("http://www.openstreetmap.org/?mlat=30.5058&amp;mlon=47.7818&amp;zoom=12#map=12/30.5058/47.7818","Maplink1")</f>
        <v>Maplink1</v>
      </c>
      <c r="AX840" s="88" t="str">
        <f>HYPERLINK("https://www.google.iq/maps/search/+30.5058,47.7818/@30.5058,47.7818,14z?hl=en","Maplink2")</f>
        <v>Maplink2</v>
      </c>
      <c r="AY840" s="88" t="str">
        <f>HYPERLINK("http://www.bing.com/maps/?lvl=14&amp;sty=h&amp;cp=30.5058~47.7818&amp;sp=point.30.5058_47.7818","Maplink3")</f>
        <v>Maplink3</v>
      </c>
      <c r="AZ840" s="76"/>
    </row>
    <row r="841" spans="1:52" x14ac:dyDescent="0.25">
      <c r="A841" s="86">
        <v>996</v>
      </c>
      <c r="B841" s="87" t="s">
        <v>15</v>
      </c>
      <c r="C841" s="87" t="s">
        <v>15</v>
      </c>
      <c r="D841" s="87" t="s">
        <v>1692</v>
      </c>
      <c r="E841" s="87" t="s">
        <v>1693</v>
      </c>
      <c r="F841" s="87">
        <v>30.555786600000001</v>
      </c>
      <c r="G841" s="87">
        <v>47.7892011</v>
      </c>
      <c r="H841" s="86">
        <v>3</v>
      </c>
      <c r="I841" s="86">
        <v>18</v>
      </c>
      <c r="J841" s="87"/>
      <c r="K841" s="87"/>
      <c r="L841" s="87"/>
      <c r="M841" s="87"/>
      <c r="N841" s="87"/>
      <c r="O841" s="87"/>
      <c r="P841" s="87"/>
      <c r="Q841" s="87"/>
      <c r="R841" s="87">
        <v>1</v>
      </c>
      <c r="S841" s="87"/>
      <c r="T841" s="87"/>
      <c r="U841" s="87"/>
      <c r="V841" s="87">
        <v>2</v>
      </c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>
        <v>3</v>
      </c>
      <c r="AI841" s="87"/>
      <c r="AJ841" s="87"/>
      <c r="AK841" s="87"/>
      <c r="AL841" s="87"/>
      <c r="AM841" s="87"/>
      <c r="AN841" s="87"/>
      <c r="AO841" s="87"/>
      <c r="AP841" s="87">
        <v>1</v>
      </c>
      <c r="AQ841" s="87"/>
      <c r="AR841" s="87">
        <v>1</v>
      </c>
      <c r="AS841" s="87"/>
      <c r="AT841" s="87"/>
      <c r="AU841" s="87">
        <v>1</v>
      </c>
      <c r="AV841" s="87"/>
      <c r="AW841" s="88" t="str">
        <f>HYPERLINK("http://www.openstreetmap.org/?mlat=30.5558&amp;mlon=47.7892&amp;zoom=12#map=12/30.5558/47.7892","Maplink1")</f>
        <v>Maplink1</v>
      </c>
      <c r="AX841" s="88" t="str">
        <f>HYPERLINK("https://www.google.iq/maps/search/+30.5558,47.7892/@30.5558,47.7892,14z?hl=en","Maplink2")</f>
        <v>Maplink2</v>
      </c>
      <c r="AY841" s="88" t="str">
        <f>HYPERLINK("http://www.bing.com/maps/?lvl=14&amp;sty=h&amp;cp=30.5558~47.7892&amp;sp=point.30.5558_47.7892","Maplink3")</f>
        <v>Maplink3</v>
      </c>
      <c r="AZ841" s="76"/>
    </row>
    <row r="842" spans="1:52" x14ac:dyDescent="0.25">
      <c r="A842" s="86">
        <v>29595</v>
      </c>
      <c r="B842" s="87" t="s">
        <v>15</v>
      </c>
      <c r="C842" s="87" t="s">
        <v>15</v>
      </c>
      <c r="D842" s="87" t="s">
        <v>1694</v>
      </c>
      <c r="E842" s="87" t="s">
        <v>1695</v>
      </c>
      <c r="F842" s="87">
        <v>30.550005800000001</v>
      </c>
      <c r="G842" s="87">
        <v>47.779087699999998</v>
      </c>
      <c r="H842" s="86">
        <v>3</v>
      </c>
      <c r="I842" s="86">
        <v>18</v>
      </c>
      <c r="J842" s="87">
        <v>2</v>
      </c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>
        <v>1</v>
      </c>
      <c r="W842" s="87"/>
      <c r="X842" s="87"/>
      <c r="Y842" s="87"/>
      <c r="Z842" s="87"/>
      <c r="AA842" s="87"/>
      <c r="AB842" s="87"/>
      <c r="AC842" s="87">
        <v>2</v>
      </c>
      <c r="AD842" s="87"/>
      <c r="AE842" s="87"/>
      <c r="AF842" s="87"/>
      <c r="AG842" s="87"/>
      <c r="AH842" s="87">
        <v>1</v>
      </c>
      <c r="AI842" s="87"/>
      <c r="AJ842" s="87"/>
      <c r="AK842" s="87"/>
      <c r="AL842" s="87"/>
      <c r="AM842" s="87"/>
      <c r="AN842" s="87"/>
      <c r="AO842" s="87">
        <v>1</v>
      </c>
      <c r="AP842" s="87"/>
      <c r="AQ842" s="87">
        <v>1</v>
      </c>
      <c r="AR842" s="87">
        <v>1</v>
      </c>
      <c r="AS842" s="87"/>
      <c r="AT842" s="87"/>
      <c r="AU842" s="87"/>
      <c r="AV842" s="87"/>
      <c r="AW842" s="88" t="str">
        <f>HYPERLINK("http://www.openstreetmap.org/?mlat=30.55&amp;mlon=47.7791&amp;zoom=12#map=12/30.55/47.7791","Maplink1")</f>
        <v>Maplink1</v>
      </c>
      <c r="AX842" s="88" t="str">
        <f>HYPERLINK("https://www.google.iq/maps/search/+30.55,47.7791/@30.55,47.7791,14z?hl=en","Maplink2")</f>
        <v>Maplink2</v>
      </c>
      <c r="AY842" s="88" t="str">
        <f>HYPERLINK("http://www.bing.com/maps/?lvl=14&amp;sty=h&amp;cp=30.55~47.7791&amp;sp=point.30.55_47.7791","Maplink3")</f>
        <v>Maplink3</v>
      </c>
      <c r="AZ842" s="76"/>
    </row>
    <row r="843" spans="1:52" x14ac:dyDescent="0.25">
      <c r="A843" s="86">
        <v>989</v>
      </c>
      <c r="B843" s="87" t="s">
        <v>15</v>
      </c>
      <c r="C843" s="87" t="s">
        <v>15</v>
      </c>
      <c r="D843" s="87" t="s">
        <v>1696</v>
      </c>
      <c r="E843" s="87" t="s">
        <v>1697</v>
      </c>
      <c r="F843" s="87">
        <v>30.5530340428</v>
      </c>
      <c r="G843" s="87">
        <v>47.769666093600001</v>
      </c>
      <c r="H843" s="86">
        <v>2</v>
      </c>
      <c r="I843" s="86">
        <v>12</v>
      </c>
      <c r="J843" s="87"/>
      <c r="K843" s="87"/>
      <c r="L843" s="87"/>
      <c r="M843" s="87"/>
      <c r="N843" s="87"/>
      <c r="O843" s="87">
        <v>1</v>
      </c>
      <c r="P843" s="87"/>
      <c r="Q843" s="87"/>
      <c r="R843" s="87"/>
      <c r="S843" s="87"/>
      <c r="T843" s="87"/>
      <c r="U843" s="87"/>
      <c r="V843" s="87">
        <v>1</v>
      </c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>
        <v>2</v>
      </c>
      <c r="AI843" s="87"/>
      <c r="AJ843" s="87"/>
      <c r="AK843" s="87"/>
      <c r="AL843" s="87"/>
      <c r="AM843" s="87"/>
      <c r="AN843" s="87"/>
      <c r="AO843" s="87">
        <v>1</v>
      </c>
      <c r="AP843" s="87">
        <v>1</v>
      </c>
      <c r="AQ843" s="87"/>
      <c r="AR843" s="87"/>
      <c r="AS843" s="87"/>
      <c r="AT843" s="87"/>
      <c r="AU843" s="87"/>
      <c r="AV843" s="87"/>
      <c r="AW843" s="88" t="str">
        <f>HYPERLINK("http://www.openstreetmap.org/?mlat=30.553&amp;mlon=47.7697&amp;zoom=12#map=12/30.553/47.7697","Maplink1")</f>
        <v>Maplink1</v>
      </c>
      <c r="AX843" s="88" t="str">
        <f>HYPERLINK("https://www.google.iq/maps/search/+30.553,47.7697/@30.553,47.7697,14z?hl=en","Maplink2")</f>
        <v>Maplink2</v>
      </c>
      <c r="AY843" s="88" t="str">
        <f>HYPERLINK("http://www.bing.com/maps/?lvl=14&amp;sty=h&amp;cp=30.553~47.7697&amp;sp=point.30.553_47.7697","Maplink3")</f>
        <v>Maplink3</v>
      </c>
      <c r="AZ843" s="76"/>
    </row>
    <row r="844" spans="1:52" x14ac:dyDescent="0.25">
      <c r="A844" s="86">
        <v>29538</v>
      </c>
      <c r="B844" s="87" t="s">
        <v>15</v>
      </c>
      <c r="C844" s="87" t="s">
        <v>15</v>
      </c>
      <c r="D844" s="87" t="s">
        <v>1698</v>
      </c>
      <c r="E844" s="87" t="s">
        <v>1699</v>
      </c>
      <c r="F844" s="87">
        <v>30.530527200000002</v>
      </c>
      <c r="G844" s="87">
        <v>47.772336000000003</v>
      </c>
      <c r="H844" s="86">
        <v>4</v>
      </c>
      <c r="I844" s="86">
        <v>24</v>
      </c>
      <c r="J844" s="87">
        <v>1</v>
      </c>
      <c r="K844" s="87"/>
      <c r="L844" s="87"/>
      <c r="M844" s="87"/>
      <c r="N844" s="87"/>
      <c r="O844" s="87"/>
      <c r="P844" s="87"/>
      <c r="Q844" s="87"/>
      <c r="R844" s="87">
        <v>2</v>
      </c>
      <c r="S844" s="87"/>
      <c r="T844" s="87"/>
      <c r="U844" s="87"/>
      <c r="V844" s="87"/>
      <c r="W844" s="87"/>
      <c r="X844" s="87">
        <v>1</v>
      </c>
      <c r="Y844" s="87"/>
      <c r="Z844" s="87"/>
      <c r="AA844" s="87"/>
      <c r="AB844" s="87"/>
      <c r="AC844" s="87"/>
      <c r="AD844" s="87"/>
      <c r="AE844" s="87"/>
      <c r="AF844" s="87"/>
      <c r="AG844" s="87"/>
      <c r="AH844" s="87">
        <v>4</v>
      </c>
      <c r="AI844" s="87"/>
      <c r="AJ844" s="87"/>
      <c r="AK844" s="87"/>
      <c r="AL844" s="87"/>
      <c r="AM844" s="87"/>
      <c r="AN844" s="87">
        <v>2</v>
      </c>
      <c r="AO844" s="87"/>
      <c r="AP844" s="87">
        <v>1</v>
      </c>
      <c r="AQ844" s="87"/>
      <c r="AR844" s="87">
        <v>1</v>
      </c>
      <c r="AS844" s="87"/>
      <c r="AT844" s="87"/>
      <c r="AU844" s="87"/>
      <c r="AV844" s="87"/>
      <c r="AW844" s="88" t="str">
        <f>HYPERLINK("http://www.openstreetmap.org/?mlat=30.5305&amp;mlon=47.7723&amp;zoom=12#map=12/30.5305/47.7723","Maplink1")</f>
        <v>Maplink1</v>
      </c>
      <c r="AX844" s="88" t="str">
        <f>HYPERLINK("https://www.google.iq/maps/search/+30.5305,47.7723/@30.5305,47.7723,14z?hl=en","Maplink2")</f>
        <v>Maplink2</v>
      </c>
      <c r="AY844" s="88" t="str">
        <f>HYPERLINK("http://www.bing.com/maps/?lvl=14&amp;sty=h&amp;cp=30.5305~47.7723&amp;sp=point.30.5305_47.7723","Maplink3")</f>
        <v>Maplink3</v>
      </c>
      <c r="AZ844" s="76"/>
    </row>
    <row r="845" spans="1:52" x14ac:dyDescent="0.25">
      <c r="A845" s="86">
        <v>963</v>
      </c>
      <c r="B845" s="87" t="s">
        <v>15</v>
      </c>
      <c r="C845" s="87" t="s">
        <v>15</v>
      </c>
      <c r="D845" s="87" t="s">
        <v>1700</v>
      </c>
      <c r="E845" s="87" t="s">
        <v>1701</v>
      </c>
      <c r="F845" s="87">
        <v>30.5218062</v>
      </c>
      <c r="G845" s="87">
        <v>47.785439395300003</v>
      </c>
      <c r="H845" s="86">
        <v>14</v>
      </c>
      <c r="I845" s="86">
        <v>84</v>
      </c>
      <c r="J845" s="87">
        <v>3</v>
      </c>
      <c r="K845" s="87"/>
      <c r="L845" s="87"/>
      <c r="M845" s="87"/>
      <c r="N845" s="87"/>
      <c r="O845" s="87"/>
      <c r="P845" s="87"/>
      <c r="Q845" s="87"/>
      <c r="R845" s="87">
        <v>4</v>
      </c>
      <c r="S845" s="87"/>
      <c r="T845" s="87"/>
      <c r="U845" s="87"/>
      <c r="V845" s="87">
        <v>5</v>
      </c>
      <c r="W845" s="87"/>
      <c r="X845" s="87">
        <v>2</v>
      </c>
      <c r="Y845" s="87"/>
      <c r="Z845" s="87"/>
      <c r="AA845" s="87"/>
      <c r="AB845" s="87"/>
      <c r="AC845" s="87">
        <v>2</v>
      </c>
      <c r="AD845" s="87"/>
      <c r="AE845" s="87"/>
      <c r="AF845" s="87"/>
      <c r="AG845" s="87"/>
      <c r="AH845" s="87">
        <v>12</v>
      </c>
      <c r="AI845" s="87"/>
      <c r="AJ845" s="87"/>
      <c r="AK845" s="87"/>
      <c r="AL845" s="87"/>
      <c r="AM845" s="87"/>
      <c r="AN845" s="87">
        <v>1</v>
      </c>
      <c r="AO845" s="87">
        <v>3</v>
      </c>
      <c r="AP845" s="87">
        <v>5</v>
      </c>
      <c r="AQ845" s="87">
        <v>4</v>
      </c>
      <c r="AR845" s="87">
        <v>1</v>
      </c>
      <c r="AS845" s="87"/>
      <c r="AT845" s="87"/>
      <c r="AU845" s="87"/>
      <c r="AV845" s="87"/>
      <c r="AW845" s="88" t="str">
        <f>HYPERLINK("http://www.openstreetmap.org/?mlat=30.5218&amp;mlon=47.7854&amp;zoom=12#map=12/30.5218/47.7854","Maplink1")</f>
        <v>Maplink1</v>
      </c>
      <c r="AX845" s="88" t="str">
        <f>HYPERLINK("https://www.google.iq/maps/search/+30.5218,47.7854/@30.5218,47.7854,14z?hl=en","Maplink2")</f>
        <v>Maplink2</v>
      </c>
      <c r="AY845" s="88" t="str">
        <f>HYPERLINK("http://www.bing.com/maps/?lvl=14&amp;sty=h&amp;cp=30.5218~47.7854&amp;sp=point.30.5218_47.7854","Maplink3")</f>
        <v>Maplink3</v>
      </c>
      <c r="AZ845" s="76"/>
    </row>
    <row r="846" spans="1:52" x14ac:dyDescent="0.25">
      <c r="A846" s="86">
        <v>24481</v>
      </c>
      <c r="B846" s="87" t="s">
        <v>15</v>
      </c>
      <c r="C846" s="87" t="s">
        <v>15</v>
      </c>
      <c r="D846" s="87" t="s">
        <v>1702</v>
      </c>
      <c r="E846" s="87" t="s">
        <v>1703</v>
      </c>
      <c r="F846" s="87">
        <v>30.488176876800001</v>
      </c>
      <c r="G846" s="87">
        <v>47.808318016900003</v>
      </c>
      <c r="H846" s="86">
        <v>3</v>
      </c>
      <c r="I846" s="86">
        <v>18</v>
      </c>
      <c r="J846" s="87">
        <v>2</v>
      </c>
      <c r="K846" s="87"/>
      <c r="L846" s="87">
        <v>1</v>
      </c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>
        <v>3</v>
      </c>
      <c r="AI846" s="87"/>
      <c r="AJ846" s="87"/>
      <c r="AK846" s="87"/>
      <c r="AL846" s="87"/>
      <c r="AM846" s="87"/>
      <c r="AN846" s="87">
        <v>1</v>
      </c>
      <c r="AO846" s="87">
        <v>1</v>
      </c>
      <c r="AP846" s="87"/>
      <c r="AQ846" s="87"/>
      <c r="AR846" s="87">
        <v>1</v>
      </c>
      <c r="AS846" s="87"/>
      <c r="AT846" s="87"/>
      <c r="AU846" s="87"/>
      <c r="AV846" s="87"/>
      <c r="AW846" s="88" t="str">
        <f>HYPERLINK("http://www.openstreetmap.org/?mlat=30.4882&amp;mlon=47.8083&amp;zoom=12#map=12/30.4882/47.8083","Maplink1")</f>
        <v>Maplink1</v>
      </c>
      <c r="AX846" s="88" t="str">
        <f>HYPERLINK("https://www.google.iq/maps/search/+30.4882,47.8083/@30.4882,47.8083,14z?hl=en","Maplink2")</f>
        <v>Maplink2</v>
      </c>
      <c r="AY846" s="88" t="str">
        <f>HYPERLINK("http://www.bing.com/maps/?lvl=14&amp;sty=h&amp;cp=30.4882~47.8083&amp;sp=point.30.4882_47.8083","Maplink3")</f>
        <v>Maplink3</v>
      </c>
      <c r="AZ846" s="76"/>
    </row>
    <row r="847" spans="1:52" x14ac:dyDescent="0.25">
      <c r="A847" s="86">
        <v>1310</v>
      </c>
      <c r="B847" s="87" t="s">
        <v>15</v>
      </c>
      <c r="C847" s="87" t="s">
        <v>15</v>
      </c>
      <c r="D847" s="87" t="s">
        <v>1704</v>
      </c>
      <c r="E847" s="87" t="s">
        <v>1705</v>
      </c>
      <c r="F847" s="87">
        <v>30.4648808</v>
      </c>
      <c r="G847" s="87">
        <v>47.804159499999997</v>
      </c>
      <c r="H847" s="86">
        <v>4</v>
      </c>
      <c r="I847" s="86">
        <v>24</v>
      </c>
      <c r="J847" s="87">
        <v>1</v>
      </c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>
        <v>2</v>
      </c>
      <c r="W847" s="87"/>
      <c r="X847" s="87">
        <v>1</v>
      </c>
      <c r="Y847" s="87"/>
      <c r="Z847" s="87"/>
      <c r="AA847" s="87"/>
      <c r="AB847" s="87"/>
      <c r="AC847" s="87">
        <v>2</v>
      </c>
      <c r="AD847" s="87"/>
      <c r="AE847" s="87"/>
      <c r="AF847" s="87"/>
      <c r="AG847" s="87"/>
      <c r="AH847" s="87">
        <v>2</v>
      </c>
      <c r="AI847" s="87"/>
      <c r="AJ847" s="87"/>
      <c r="AK847" s="87"/>
      <c r="AL847" s="87"/>
      <c r="AM847" s="87"/>
      <c r="AN847" s="87"/>
      <c r="AO847" s="87">
        <v>1</v>
      </c>
      <c r="AP847" s="87"/>
      <c r="AQ847" s="87">
        <v>3</v>
      </c>
      <c r="AR847" s="87"/>
      <c r="AS847" s="87"/>
      <c r="AT847" s="87"/>
      <c r="AU847" s="87"/>
      <c r="AV847" s="87"/>
      <c r="AW847" s="88" t="str">
        <f>HYPERLINK("http://www.openstreetmap.org/?mlat=30.4649&amp;mlon=47.8042&amp;zoom=12#map=12/30.4649/47.8042","Maplink1")</f>
        <v>Maplink1</v>
      </c>
      <c r="AX847" s="88" t="str">
        <f>HYPERLINK("https://www.google.iq/maps/search/+30.4649,47.8042/@30.4649,47.8042,14z?hl=en","Maplink2")</f>
        <v>Maplink2</v>
      </c>
      <c r="AY847" s="88" t="str">
        <f>HYPERLINK("http://www.bing.com/maps/?lvl=14&amp;sty=h&amp;cp=30.4649~47.8042&amp;sp=point.30.4649_47.8042","Maplink3")</f>
        <v>Maplink3</v>
      </c>
      <c r="AZ847" s="76"/>
    </row>
    <row r="848" spans="1:52" x14ac:dyDescent="0.25">
      <c r="A848" s="86">
        <v>24627</v>
      </c>
      <c r="B848" s="87" t="s">
        <v>15</v>
      </c>
      <c r="C848" s="87" t="s">
        <v>15</v>
      </c>
      <c r="D848" s="87" t="s">
        <v>1706</v>
      </c>
      <c r="E848" s="87" t="s">
        <v>1707</v>
      </c>
      <c r="F848" s="87">
        <v>30.469681292600001</v>
      </c>
      <c r="G848" s="87">
        <v>47.8221196533</v>
      </c>
      <c r="H848" s="86">
        <v>1</v>
      </c>
      <c r="I848" s="86">
        <v>6</v>
      </c>
      <c r="J848" s="87"/>
      <c r="K848" s="87">
        <v>1</v>
      </c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>
        <v>1</v>
      </c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>
        <v>1</v>
      </c>
      <c r="AQ848" s="87"/>
      <c r="AR848" s="87"/>
      <c r="AS848" s="87"/>
      <c r="AT848" s="87"/>
      <c r="AU848" s="87"/>
      <c r="AV848" s="87"/>
      <c r="AW848" s="88" t="str">
        <f>HYPERLINK("http://www.openstreetmap.org/?mlat=30.4697&amp;mlon=47.8221&amp;zoom=12#map=12/30.4697/47.8221","Maplink1")</f>
        <v>Maplink1</v>
      </c>
      <c r="AX848" s="88" t="str">
        <f>HYPERLINK("https://www.google.iq/maps/search/+30.4697,47.8221/@30.4697,47.8221,14z?hl=en","Maplink2")</f>
        <v>Maplink2</v>
      </c>
      <c r="AY848" s="88" t="str">
        <f>HYPERLINK("http://www.bing.com/maps/?lvl=14&amp;sty=h&amp;cp=30.4697~47.8221&amp;sp=point.30.4697_47.8221","Maplink3")</f>
        <v>Maplink3</v>
      </c>
      <c r="AZ848" s="76"/>
    </row>
    <row r="849" spans="1:52" x14ac:dyDescent="0.25">
      <c r="A849" s="86">
        <v>21641</v>
      </c>
      <c r="B849" s="87" t="s">
        <v>15</v>
      </c>
      <c r="C849" s="87" t="s">
        <v>15</v>
      </c>
      <c r="D849" s="87" t="s">
        <v>1708</v>
      </c>
      <c r="E849" s="87" t="s">
        <v>1709</v>
      </c>
      <c r="F849" s="87">
        <v>30.539919999999999</v>
      </c>
      <c r="G849" s="87">
        <v>47.752913995</v>
      </c>
      <c r="H849" s="86">
        <v>5</v>
      </c>
      <c r="I849" s="86">
        <v>30</v>
      </c>
      <c r="J849" s="87">
        <v>1</v>
      </c>
      <c r="K849" s="87"/>
      <c r="L849" s="87"/>
      <c r="M849" s="87"/>
      <c r="N849" s="87"/>
      <c r="O849" s="87">
        <v>1</v>
      </c>
      <c r="P849" s="87"/>
      <c r="Q849" s="87"/>
      <c r="R849" s="87">
        <v>2</v>
      </c>
      <c r="S849" s="87"/>
      <c r="T849" s="87"/>
      <c r="U849" s="87"/>
      <c r="V849" s="87"/>
      <c r="W849" s="87"/>
      <c r="X849" s="87">
        <v>1</v>
      </c>
      <c r="Y849" s="87"/>
      <c r="Z849" s="87"/>
      <c r="AA849" s="87"/>
      <c r="AB849" s="87"/>
      <c r="AC849" s="87">
        <v>1</v>
      </c>
      <c r="AD849" s="87"/>
      <c r="AE849" s="87"/>
      <c r="AF849" s="87"/>
      <c r="AG849" s="87"/>
      <c r="AH849" s="87">
        <v>4</v>
      </c>
      <c r="AI849" s="87"/>
      <c r="AJ849" s="87"/>
      <c r="AK849" s="87"/>
      <c r="AL849" s="87"/>
      <c r="AM849" s="87"/>
      <c r="AN849" s="87"/>
      <c r="AO849" s="87"/>
      <c r="AP849" s="87">
        <v>2</v>
      </c>
      <c r="AQ849" s="87">
        <v>2</v>
      </c>
      <c r="AR849" s="87">
        <v>1</v>
      </c>
      <c r="AS849" s="87"/>
      <c r="AT849" s="87"/>
      <c r="AU849" s="87"/>
      <c r="AV849" s="87"/>
      <c r="AW849" s="88" t="str">
        <f>HYPERLINK("http://www.openstreetmap.org/?mlat=30.5399&amp;mlon=47.7529&amp;zoom=12#map=12/30.5399/47.7529","Maplink1")</f>
        <v>Maplink1</v>
      </c>
      <c r="AX849" s="88" t="str">
        <f>HYPERLINK("https://www.google.iq/maps/search/+30.5399,47.7529/@30.5399,47.7529,14z?hl=en","Maplink2")</f>
        <v>Maplink2</v>
      </c>
      <c r="AY849" s="88" t="str">
        <f>HYPERLINK("http://www.bing.com/maps/?lvl=14&amp;sty=h&amp;cp=30.5399~47.7529&amp;sp=point.30.5399_47.7529","Maplink3")</f>
        <v>Maplink3</v>
      </c>
      <c r="AZ849" s="76"/>
    </row>
    <row r="850" spans="1:52" x14ac:dyDescent="0.25">
      <c r="A850" s="86">
        <v>959</v>
      </c>
      <c r="B850" s="87" t="s">
        <v>15</v>
      </c>
      <c r="C850" s="87" t="s">
        <v>15</v>
      </c>
      <c r="D850" s="87" t="s">
        <v>1710</v>
      </c>
      <c r="E850" s="87" t="s">
        <v>1711</v>
      </c>
      <c r="F850" s="87">
        <v>30.5354478233</v>
      </c>
      <c r="G850" s="87">
        <v>47.760083760800001</v>
      </c>
      <c r="H850" s="86">
        <v>1</v>
      </c>
      <c r="I850" s="86">
        <v>6</v>
      </c>
      <c r="J850" s="87">
        <v>1</v>
      </c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>
        <v>1</v>
      </c>
      <c r="AF850" s="87"/>
      <c r="AG850" s="87"/>
      <c r="AH850" s="87"/>
      <c r="AI850" s="87"/>
      <c r="AJ850" s="87"/>
      <c r="AK850" s="87"/>
      <c r="AL850" s="87"/>
      <c r="AM850" s="87"/>
      <c r="AN850" s="87">
        <v>1</v>
      </c>
      <c r="AO850" s="87"/>
      <c r="AP850" s="87"/>
      <c r="AQ850" s="87"/>
      <c r="AR850" s="87"/>
      <c r="AS850" s="87"/>
      <c r="AT850" s="87"/>
      <c r="AU850" s="87"/>
      <c r="AV850" s="87"/>
      <c r="AW850" s="88" t="str">
        <f>HYPERLINK("http://www.openstreetmap.org/?mlat=30.5354&amp;mlon=47.7601&amp;zoom=12#map=12/30.5354/47.7601","Maplink1")</f>
        <v>Maplink1</v>
      </c>
      <c r="AX850" s="88" t="str">
        <f>HYPERLINK("https://www.google.iq/maps/search/+30.5354,47.7601/@30.5354,47.7601,14z?hl=en","Maplink2")</f>
        <v>Maplink2</v>
      </c>
      <c r="AY850" s="88" t="str">
        <f>HYPERLINK("http://www.bing.com/maps/?lvl=14&amp;sty=h&amp;cp=30.5354~47.7601&amp;sp=point.30.5354_47.7601","Maplink3")</f>
        <v>Maplink3</v>
      </c>
      <c r="AZ850" s="76"/>
    </row>
    <row r="851" spans="1:52" x14ac:dyDescent="0.25">
      <c r="A851" s="86">
        <v>24180</v>
      </c>
      <c r="B851" s="87" t="s">
        <v>15</v>
      </c>
      <c r="C851" s="87" t="s">
        <v>15</v>
      </c>
      <c r="D851" s="87" t="s">
        <v>1712</v>
      </c>
      <c r="E851" s="87" t="s">
        <v>1713</v>
      </c>
      <c r="F851" s="87">
        <v>30.512095758499999</v>
      </c>
      <c r="G851" s="87">
        <v>47.767969969200003</v>
      </c>
      <c r="H851" s="86">
        <v>6</v>
      </c>
      <c r="I851" s="86">
        <v>36</v>
      </c>
      <c r="J851" s="87"/>
      <c r="K851" s="87"/>
      <c r="L851" s="87">
        <v>1</v>
      </c>
      <c r="M851" s="87"/>
      <c r="N851" s="87"/>
      <c r="O851" s="87"/>
      <c r="P851" s="87"/>
      <c r="Q851" s="87"/>
      <c r="R851" s="87">
        <v>1</v>
      </c>
      <c r="S851" s="87"/>
      <c r="T851" s="87"/>
      <c r="U851" s="87"/>
      <c r="V851" s="87">
        <v>4</v>
      </c>
      <c r="W851" s="87"/>
      <c r="X851" s="87"/>
      <c r="Y851" s="87"/>
      <c r="Z851" s="87"/>
      <c r="AA851" s="87"/>
      <c r="AB851" s="87"/>
      <c r="AC851" s="87">
        <v>1</v>
      </c>
      <c r="AD851" s="87"/>
      <c r="AE851" s="87"/>
      <c r="AF851" s="87"/>
      <c r="AG851" s="87"/>
      <c r="AH851" s="87">
        <v>5</v>
      </c>
      <c r="AI851" s="87"/>
      <c r="AJ851" s="87"/>
      <c r="AK851" s="87"/>
      <c r="AL851" s="87"/>
      <c r="AM851" s="87"/>
      <c r="AN851" s="87"/>
      <c r="AO851" s="87"/>
      <c r="AP851" s="87"/>
      <c r="AQ851" s="87">
        <v>2</v>
      </c>
      <c r="AR851" s="87"/>
      <c r="AS851" s="87"/>
      <c r="AT851" s="87">
        <v>3</v>
      </c>
      <c r="AU851" s="87">
        <v>1</v>
      </c>
      <c r="AV851" s="87"/>
      <c r="AW851" s="88" t="str">
        <f>HYPERLINK("http://www.openstreetmap.org/?mlat=30.5121&amp;mlon=47.768&amp;zoom=12#map=12/30.5121/47.768","Maplink1")</f>
        <v>Maplink1</v>
      </c>
      <c r="AX851" s="88" t="str">
        <f>HYPERLINK("https://www.google.iq/maps/search/+30.5121,47.768/@30.5121,47.768,14z?hl=en","Maplink2")</f>
        <v>Maplink2</v>
      </c>
      <c r="AY851" s="88" t="str">
        <f>HYPERLINK("http://www.bing.com/maps/?lvl=14&amp;sty=h&amp;cp=30.5121~47.768&amp;sp=point.30.5121_47.768","Maplink3")</f>
        <v>Maplink3</v>
      </c>
      <c r="AZ851" s="76"/>
    </row>
    <row r="852" spans="1:52" x14ac:dyDescent="0.25">
      <c r="A852" s="86">
        <v>1296</v>
      </c>
      <c r="B852" s="87" t="s">
        <v>15</v>
      </c>
      <c r="C852" s="87" t="s">
        <v>15</v>
      </c>
      <c r="D852" s="87" t="s">
        <v>1714</v>
      </c>
      <c r="E852" s="87" t="s">
        <v>1715</v>
      </c>
      <c r="F852" s="87">
        <v>30.524280854600001</v>
      </c>
      <c r="G852" s="87">
        <v>47.8274366323</v>
      </c>
      <c r="H852" s="86">
        <v>2</v>
      </c>
      <c r="I852" s="86">
        <v>12</v>
      </c>
      <c r="J852" s="87">
        <v>2</v>
      </c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>
        <v>2</v>
      </c>
      <c r="AI852" s="87"/>
      <c r="AJ852" s="87"/>
      <c r="AK852" s="87"/>
      <c r="AL852" s="87"/>
      <c r="AM852" s="87"/>
      <c r="AN852" s="87"/>
      <c r="AO852" s="87"/>
      <c r="AP852" s="87"/>
      <c r="AQ852" s="87">
        <v>1</v>
      </c>
      <c r="AR852" s="87"/>
      <c r="AS852" s="87"/>
      <c r="AT852" s="87">
        <v>1</v>
      </c>
      <c r="AU852" s="87"/>
      <c r="AV852" s="87"/>
      <c r="AW852" s="88" t="str">
        <f>HYPERLINK("http://www.openstreetmap.org/?mlat=30.5243&amp;mlon=47.8274&amp;zoom=12#map=12/30.5243/47.8274","Maplink1")</f>
        <v>Maplink1</v>
      </c>
      <c r="AX852" s="88" t="str">
        <f>HYPERLINK("https://www.google.iq/maps/search/+30.5243,47.8274/@30.5243,47.8274,14z?hl=en","Maplink2")</f>
        <v>Maplink2</v>
      </c>
      <c r="AY852" s="88" t="str">
        <f>HYPERLINK("http://www.bing.com/maps/?lvl=14&amp;sty=h&amp;cp=30.5243~47.8274&amp;sp=point.30.5243_47.8274","Maplink3")</f>
        <v>Maplink3</v>
      </c>
      <c r="AZ852" s="76"/>
    </row>
    <row r="853" spans="1:52" x14ac:dyDescent="0.25">
      <c r="A853" s="86">
        <v>920</v>
      </c>
      <c r="B853" s="87" t="s">
        <v>15</v>
      </c>
      <c r="C853" s="87" t="s">
        <v>15</v>
      </c>
      <c r="D853" s="87" t="s">
        <v>1716</v>
      </c>
      <c r="E853" s="87" t="s">
        <v>1717</v>
      </c>
      <c r="F853" s="87">
        <v>30.518828468500001</v>
      </c>
      <c r="G853" s="87">
        <v>47.817563798899997</v>
      </c>
      <c r="H853" s="86">
        <v>5</v>
      </c>
      <c r="I853" s="86">
        <v>30</v>
      </c>
      <c r="J853" s="87">
        <v>2</v>
      </c>
      <c r="K853" s="87"/>
      <c r="L853" s="87"/>
      <c r="M853" s="87"/>
      <c r="N853" s="87"/>
      <c r="O853" s="87">
        <v>1</v>
      </c>
      <c r="P853" s="87"/>
      <c r="Q853" s="87"/>
      <c r="R853" s="87"/>
      <c r="S853" s="87"/>
      <c r="T853" s="87"/>
      <c r="U853" s="87"/>
      <c r="V853" s="87">
        <v>2</v>
      </c>
      <c r="W853" s="87"/>
      <c r="X853" s="87"/>
      <c r="Y853" s="87"/>
      <c r="Z853" s="87"/>
      <c r="AA853" s="87"/>
      <c r="AB853" s="87"/>
      <c r="AC853" s="87">
        <v>2</v>
      </c>
      <c r="AD853" s="87"/>
      <c r="AE853" s="87"/>
      <c r="AF853" s="87"/>
      <c r="AG853" s="87"/>
      <c r="AH853" s="87">
        <v>3</v>
      </c>
      <c r="AI853" s="87"/>
      <c r="AJ853" s="87"/>
      <c r="AK853" s="87"/>
      <c r="AL853" s="87"/>
      <c r="AM853" s="87"/>
      <c r="AN853" s="87"/>
      <c r="AO853" s="87">
        <v>4</v>
      </c>
      <c r="AP853" s="87">
        <v>1</v>
      </c>
      <c r="AQ853" s="87"/>
      <c r="AR853" s="87"/>
      <c r="AS853" s="87"/>
      <c r="AT853" s="87"/>
      <c r="AU853" s="87"/>
      <c r="AV853" s="87"/>
      <c r="AW853" s="88" t="str">
        <f>HYPERLINK("http://www.openstreetmap.org/?mlat=30.5188&amp;mlon=47.8176&amp;zoom=12#map=12/30.5188/47.8176","Maplink1")</f>
        <v>Maplink1</v>
      </c>
      <c r="AX853" s="88" t="str">
        <f>HYPERLINK("https://www.google.iq/maps/search/+30.5188,47.8176/@30.5188,47.8176,14z?hl=en","Maplink2")</f>
        <v>Maplink2</v>
      </c>
      <c r="AY853" s="88" t="str">
        <f>HYPERLINK("http://www.bing.com/maps/?lvl=14&amp;sty=h&amp;cp=30.5188~47.8176&amp;sp=point.30.5188_47.8176","Maplink3")</f>
        <v>Maplink3</v>
      </c>
      <c r="AZ853" s="76"/>
    </row>
    <row r="854" spans="1:52" x14ac:dyDescent="0.25">
      <c r="A854" s="86">
        <v>890</v>
      </c>
      <c r="B854" s="87" t="s">
        <v>15</v>
      </c>
      <c r="C854" s="87" t="s">
        <v>15</v>
      </c>
      <c r="D854" s="87" t="s">
        <v>1718</v>
      </c>
      <c r="E854" s="87" t="s">
        <v>1719</v>
      </c>
      <c r="F854" s="87">
        <v>30.507166600000001</v>
      </c>
      <c r="G854" s="87">
        <v>47.831306900000001</v>
      </c>
      <c r="H854" s="86">
        <v>1</v>
      </c>
      <c r="I854" s="86">
        <v>6</v>
      </c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>
        <v>1</v>
      </c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>
        <v>1</v>
      </c>
      <c r="AI854" s="87"/>
      <c r="AJ854" s="87"/>
      <c r="AK854" s="87"/>
      <c r="AL854" s="87"/>
      <c r="AM854" s="87"/>
      <c r="AN854" s="87"/>
      <c r="AO854" s="87"/>
      <c r="AP854" s="87"/>
      <c r="AQ854" s="87">
        <v>1</v>
      </c>
      <c r="AR854" s="87"/>
      <c r="AS854" s="87"/>
      <c r="AT854" s="87"/>
      <c r="AU854" s="87"/>
      <c r="AV854" s="87"/>
      <c r="AW854" s="88" t="str">
        <f>HYPERLINK("http://www.openstreetmap.org/?mlat=30.5072&amp;mlon=47.8313&amp;zoom=12#map=12/30.5072/47.8313","Maplink1")</f>
        <v>Maplink1</v>
      </c>
      <c r="AX854" s="88" t="str">
        <f>HYPERLINK("https://www.google.iq/maps/search/+30.5072,47.8313/@30.5072,47.8313,14z?hl=en","Maplink2")</f>
        <v>Maplink2</v>
      </c>
      <c r="AY854" s="88" t="str">
        <f>HYPERLINK("http://www.bing.com/maps/?lvl=14&amp;sty=h&amp;cp=30.5072~47.8313&amp;sp=point.30.5072_47.8313","Maplink3")</f>
        <v>Maplink3</v>
      </c>
      <c r="AZ854" s="76"/>
    </row>
    <row r="855" spans="1:52" x14ac:dyDescent="0.25">
      <c r="A855" s="86">
        <v>905</v>
      </c>
      <c r="B855" s="87" t="s">
        <v>15</v>
      </c>
      <c r="C855" s="87" t="s">
        <v>15</v>
      </c>
      <c r="D855" s="87" t="s">
        <v>1720</v>
      </c>
      <c r="E855" s="87" t="s">
        <v>1721</v>
      </c>
      <c r="F855" s="87">
        <v>30.508253438699999</v>
      </c>
      <c r="G855" s="87">
        <v>47.791903702699997</v>
      </c>
      <c r="H855" s="86">
        <v>8</v>
      </c>
      <c r="I855" s="86">
        <v>48</v>
      </c>
      <c r="J855" s="87"/>
      <c r="K855" s="87"/>
      <c r="L855" s="87">
        <v>2</v>
      </c>
      <c r="M855" s="87"/>
      <c r="N855" s="87"/>
      <c r="O855" s="87"/>
      <c r="P855" s="87"/>
      <c r="Q855" s="87"/>
      <c r="R855" s="87">
        <v>1</v>
      </c>
      <c r="S855" s="87"/>
      <c r="T855" s="87"/>
      <c r="U855" s="87"/>
      <c r="V855" s="87">
        <v>4</v>
      </c>
      <c r="W855" s="87"/>
      <c r="X855" s="87">
        <v>1</v>
      </c>
      <c r="Y855" s="87"/>
      <c r="Z855" s="87"/>
      <c r="AA855" s="87"/>
      <c r="AB855" s="87"/>
      <c r="AC855" s="87">
        <v>3</v>
      </c>
      <c r="AD855" s="87"/>
      <c r="AE855" s="87"/>
      <c r="AF855" s="87"/>
      <c r="AG855" s="87"/>
      <c r="AH855" s="87">
        <v>5</v>
      </c>
      <c r="AI855" s="87"/>
      <c r="AJ855" s="87"/>
      <c r="AK855" s="87"/>
      <c r="AL855" s="87"/>
      <c r="AM855" s="87"/>
      <c r="AN855" s="87">
        <v>3</v>
      </c>
      <c r="AO855" s="87"/>
      <c r="AP855" s="87">
        <v>2</v>
      </c>
      <c r="AQ855" s="87">
        <v>2</v>
      </c>
      <c r="AR855" s="87"/>
      <c r="AS855" s="87"/>
      <c r="AT855" s="87">
        <v>1</v>
      </c>
      <c r="AU855" s="87"/>
      <c r="AV855" s="87"/>
      <c r="AW855" s="88" t="str">
        <f>HYPERLINK("http://www.openstreetmap.org/?mlat=30.5083&amp;mlon=47.7919&amp;zoom=12#map=12/30.5083/47.7919","Maplink1")</f>
        <v>Maplink1</v>
      </c>
      <c r="AX855" s="88" t="str">
        <f>HYPERLINK("https://www.google.iq/maps/search/+30.5083,47.7919/@30.5083,47.7919,14z?hl=en","Maplink2")</f>
        <v>Maplink2</v>
      </c>
      <c r="AY855" s="88" t="str">
        <f>HYPERLINK("http://www.bing.com/maps/?lvl=14&amp;sty=h&amp;cp=30.5083~47.7919&amp;sp=point.30.5083_47.7919","Maplink3")</f>
        <v>Maplink3</v>
      </c>
      <c r="AZ855" s="76"/>
    </row>
    <row r="856" spans="1:52" x14ac:dyDescent="0.25">
      <c r="A856" s="86">
        <v>1030</v>
      </c>
      <c r="B856" s="87" t="s">
        <v>15</v>
      </c>
      <c r="C856" s="87" t="s">
        <v>15</v>
      </c>
      <c r="D856" s="87" t="s">
        <v>1722</v>
      </c>
      <c r="E856" s="87" t="s">
        <v>1723</v>
      </c>
      <c r="F856" s="87">
        <v>30.585299800000001</v>
      </c>
      <c r="G856" s="87">
        <v>47.757151999999998</v>
      </c>
      <c r="H856" s="86">
        <v>4</v>
      </c>
      <c r="I856" s="86">
        <v>24</v>
      </c>
      <c r="J856" s="87">
        <v>1</v>
      </c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>
        <v>3</v>
      </c>
      <c r="W856" s="87"/>
      <c r="X856" s="87"/>
      <c r="Y856" s="87"/>
      <c r="Z856" s="87"/>
      <c r="AA856" s="87"/>
      <c r="AB856" s="87"/>
      <c r="AC856" s="87">
        <v>3</v>
      </c>
      <c r="AD856" s="87"/>
      <c r="AE856" s="87"/>
      <c r="AF856" s="87"/>
      <c r="AG856" s="87"/>
      <c r="AH856" s="87">
        <v>1</v>
      </c>
      <c r="AI856" s="87"/>
      <c r="AJ856" s="87"/>
      <c r="AK856" s="87"/>
      <c r="AL856" s="87"/>
      <c r="AM856" s="87"/>
      <c r="AN856" s="87"/>
      <c r="AO856" s="87">
        <v>3</v>
      </c>
      <c r="AP856" s="87"/>
      <c r="AQ856" s="87">
        <v>1</v>
      </c>
      <c r="AR856" s="87"/>
      <c r="AS856" s="87"/>
      <c r="AT856" s="87"/>
      <c r="AU856" s="87"/>
      <c r="AV856" s="87"/>
      <c r="AW856" s="88" t="str">
        <f>HYPERLINK("http://www.openstreetmap.org/?mlat=30.5853&amp;mlon=47.7572&amp;zoom=12#map=12/30.5853/47.7572","Maplink1")</f>
        <v>Maplink1</v>
      </c>
      <c r="AX856" s="88" t="str">
        <f>HYPERLINK("https://www.google.iq/maps/search/+30.5853,47.7572/@30.5853,47.7572,14z?hl=en","Maplink2")</f>
        <v>Maplink2</v>
      </c>
      <c r="AY856" s="88" t="str">
        <f>HYPERLINK("http://www.bing.com/maps/?lvl=14&amp;sty=h&amp;cp=30.5853~47.7572&amp;sp=point.30.5853_47.7572","Maplink3")</f>
        <v>Maplink3</v>
      </c>
      <c r="AZ856" s="76"/>
    </row>
    <row r="857" spans="1:52" x14ac:dyDescent="0.25">
      <c r="A857" s="86">
        <v>1308</v>
      </c>
      <c r="B857" s="87" t="s">
        <v>15</v>
      </c>
      <c r="C857" s="87" t="s">
        <v>15</v>
      </c>
      <c r="D857" s="87" t="s">
        <v>1724</v>
      </c>
      <c r="E857" s="87" t="s">
        <v>1725</v>
      </c>
      <c r="F857" s="87">
        <v>30.499993700000001</v>
      </c>
      <c r="G857" s="87">
        <v>47.812547130600002</v>
      </c>
      <c r="H857" s="86">
        <v>11</v>
      </c>
      <c r="I857" s="86">
        <v>66</v>
      </c>
      <c r="J857" s="87">
        <v>5</v>
      </c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>
        <v>5</v>
      </c>
      <c r="W857" s="87"/>
      <c r="X857" s="87">
        <v>1</v>
      </c>
      <c r="Y857" s="87"/>
      <c r="Z857" s="87"/>
      <c r="AA857" s="87"/>
      <c r="AB857" s="87"/>
      <c r="AC857" s="87">
        <v>2</v>
      </c>
      <c r="AD857" s="87"/>
      <c r="AE857" s="87"/>
      <c r="AF857" s="87"/>
      <c r="AG857" s="87">
        <v>1</v>
      </c>
      <c r="AH857" s="87">
        <v>8</v>
      </c>
      <c r="AI857" s="87"/>
      <c r="AJ857" s="87"/>
      <c r="AK857" s="87"/>
      <c r="AL857" s="87"/>
      <c r="AM857" s="87"/>
      <c r="AN857" s="87">
        <v>3</v>
      </c>
      <c r="AO857" s="87">
        <v>1</v>
      </c>
      <c r="AP857" s="87"/>
      <c r="AQ857" s="87">
        <v>6</v>
      </c>
      <c r="AR857" s="87"/>
      <c r="AS857" s="87">
        <v>1</v>
      </c>
      <c r="AT857" s="87"/>
      <c r="AU857" s="87"/>
      <c r="AV857" s="87"/>
      <c r="AW857" s="88" t="str">
        <f>HYPERLINK("http://www.openstreetmap.org/?mlat=30.5&amp;mlon=47.8125&amp;zoom=12#map=12/30.5/47.8125","Maplink1")</f>
        <v>Maplink1</v>
      </c>
      <c r="AX857" s="88" t="str">
        <f>HYPERLINK("https://www.google.iq/maps/search/+30.5,47.8125/@30.5,47.8125,14z?hl=en","Maplink2")</f>
        <v>Maplink2</v>
      </c>
      <c r="AY857" s="88" t="str">
        <f>HYPERLINK("http://www.bing.com/maps/?lvl=14&amp;sty=h&amp;cp=30.5~47.8125&amp;sp=point.30.5_47.8125","Maplink3")</f>
        <v>Maplink3</v>
      </c>
      <c r="AZ857" s="76"/>
    </row>
    <row r="858" spans="1:52" x14ac:dyDescent="0.25">
      <c r="A858" s="86">
        <v>872</v>
      </c>
      <c r="B858" s="87" t="s">
        <v>15</v>
      </c>
      <c r="C858" s="87" t="s">
        <v>15</v>
      </c>
      <c r="D858" s="87" t="s">
        <v>1726</v>
      </c>
      <c r="E858" s="87" t="s">
        <v>1727</v>
      </c>
      <c r="F858" s="87">
        <v>30.5043407</v>
      </c>
      <c r="G858" s="87">
        <v>47.8521891547</v>
      </c>
      <c r="H858" s="86">
        <v>7</v>
      </c>
      <c r="I858" s="86">
        <v>42</v>
      </c>
      <c r="J858" s="87"/>
      <c r="K858" s="87"/>
      <c r="L858" s="87"/>
      <c r="M858" s="87"/>
      <c r="N858" s="87"/>
      <c r="O858" s="87"/>
      <c r="P858" s="87"/>
      <c r="Q858" s="87"/>
      <c r="R858" s="87">
        <v>2</v>
      </c>
      <c r="S858" s="87"/>
      <c r="T858" s="87"/>
      <c r="U858" s="87"/>
      <c r="V858" s="87">
        <v>2</v>
      </c>
      <c r="W858" s="87"/>
      <c r="X858" s="87">
        <v>3</v>
      </c>
      <c r="Y858" s="87"/>
      <c r="Z858" s="87"/>
      <c r="AA858" s="87"/>
      <c r="AB858" s="87"/>
      <c r="AC858" s="87">
        <v>2</v>
      </c>
      <c r="AD858" s="87"/>
      <c r="AE858" s="87"/>
      <c r="AF858" s="87"/>
      <c r="AG858" s="87"/>
      <c r="AH858" s="87">
        <v>5</v>
      </c>
      <c r="AI858" s="87"/>
      <c r="AJ858" s="87"/>
      <c r="AK858" s="87"/>
      <c r="AL858" s="87"/>
      <c r="AM858" s="87"/>
      <c r="AN858" s="87"/>
      <c r="AO858" s="87"/>
      <c r="AP858" s="87">
        <v>3</v>
      </c>
      <c r="AQ858" s="87">
        <v>1</v>
      </c>
      <c r="AR858" s="87">
        <v>2</v>
      </c>
      <c r="AS858" s="87"/>
      <c r="AT858" s="87">
        <v>1</v>
      </c>
      <c r="AU858" s="87"/>
      <c r="AV858" s="87"/>
      <c r="AW858" s="88" t="str">
        <f>HYPERLINK("http://www.openstreetmap.org/?mlat=30.5043&amp;mlon=47.8522&amp;zoom=12#map=12/30.5043/47.8522","Maplink1")</f>
        <v>Maplink1</v>
      </c>
      <c r="AX858" s="88" t="str">
        <f>HYPERLINK("https://www.google.iq/maps/search/+30.5043,47.8522/@30.5043,47.8522,14z?hl=en","Maplink2")</f>
        <v>Maplink2</v>
      </c>
      <c r="AY858" s="88" t="str">
        <f>HYPERLINK("http://www.bing.com/maps/?lvl=14&amp;sty=h&amp;cp=30.5043~47.8522&amp;sp=point.30.5043_47.8522","Maplink3")</f>
        <v>Maplink3</v>
      </c>
      <c r="AZ858" s="76"/>
    </row>
    <row r="859" spans="1:52" x14ac:dyDescent="0.25">
      <c r="A859" s="86">
        <v>998</v>
      </c>
      <c r="B859" s="87" t="s">
        <v>15</v>
      </c>
      <c r="C859" s="87" t="s">
        <v>15</v>
      </c>
      <c r="D859" s="87" t="s">
        <v>1728</v>
      </c>
      <c r="E859" s="87" t="s">
        <v>1729</v>
      </c>
      <c r="F859" s="87">
        <v>30.4567041</v>
      </c>
      <c r="G859" s="87">
        <v>47.8011762832</v>
      </c>
      <c r="H859" s="86">
        <v>8</v>
      </c>
      <c r="I859" s="86">
        <v>48</v>
      </c>
      <c r="J859" s="87"/>
      <c r="K859" s="87">
        <v>2</v>
      </c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>
        <v>6</v>
      </c>
      <c r="Y859" s="87"/>
      <c r="Z859" s="87"/>
      <c r="AA859" s="87"/>
      <c r="AB859" s="87"/>
      <c r="AC859" s="87">
        <v>2</v>
      </c>
      <c r="AD859" s="87"/>
      <c r="AE859" s="87"/>
      <c r="AF859" s="87"/>
      <c r="AG859" s="87"/>
      <c r="AH859" s="87">
        <v>6</v>
      </c>
      <c r="AI859" s="87"/>
      <c r="AJ859" s="87"/>
      <c r="AK859" s="87"/>
      <c r="AL859" s="87"/>
      <c r="AM859" s="87"/>
      <c r="AN859" s="87">
        <v>2</v>
      </c>
      <c r="AO859" s="87"/>
      <c r="AP859" s="87">
        <v>2</v>
      </c>
      <c r="AQ859" s="87">
        <v>4</v>
      </c>
      <c r="AR859" s="87"/>
      <c r="AS859" s="87"/>
      <c r="AT859" s="87"/>
      <c r="AU859" s="87"/>
      <c r="AV859" s="87"/>
      <c r="AW859" s="88" t="str">
        <f>HYPERLINK("http://www.openstreetmap.org/?mlat=30.4567&amp;mlon=47.8012&amp;zoom=12#map=12/30.4567/47.8012","Maplink1")</f>
        <v>Maplink1</v>
      </c>
      <c r="AX859" s="88" t="str">
        <f>HYPERLINK("https://www.google.iq/maps/search/+30.4567,47.8012/@30.4567,47.8012,14z?hl=en","Maplink2")</f>
        <v>Maplink2</v>
      </c>
      <c r="AY859" s="88" t="str">
        <f>HYPERLINK("http://www.bing.com/maps/?lvl=14&amp;sty=h&amp;cp=30.4567~47.8012&amp;sp=point.30.4567_47.8012","Maplink3")</f>
        <v>Maplink3</v>
      </c>
      <c r="AZ859" s="76"/>
    </row>
    <row r="860" spans="1:52" x14ac:dyDescent="0.25">
      <c r="A860" s="86">
        <v>951</v>
      </c>
      <c r="B860" s="87" t="s">
        <v>15</v>
      </c>
      <c r="C860" s="87" t="s">
        <v>15</v>
      </c>
      <c r="D860" s="87" t="s">
        <v>1730</v>
      </c>
      <c r="E860" s="87" t="s">
        <v>1731</v>
      </c>
      <c r="F860" s="87">
        <v>30.526910300000001</v>
      </c>
      <c r="G860" s="87">
        <v>47.8152058939</v>
      </c>
      <c r="H860" s="86">
        <v>6</v>
      </c>
      <c r="I860" s="86">
        <v>36</v>
      </c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>
        <v>4</v>
      </c>
      <c r="W860" s="87"/>
      <c r="X860" s="87">
        <v>2</v>
      </c>
      <c r="Y860" s="87"/>
      <c r="Z860" s="87"/>
      <c r="AA860" s="87"/>
      <c r="AB860" s="87"/>
      <c r="AC860" s="87">
        <v>2</v>
      </c>
      <c r="AD860" s="87"/>
      <c r="AE860" s="87"/>
      <c r="AF860" s="87"/>
      <c r="AG860" s="87"/>
      <c r="AH860" s="87">
        <v>4</v>
      </c>
      <c r="AI860" s="87"/>
      <c r="AJ860" s="87"/>
      <c r="AK860" s="87"/>
      <c r="AL860" s="87"/>
      <c r="AM860" s="87"/>
      <c r="AN860" s="87">
        <v>1</v>
      </c>
      <c r="AO860" s="87">
        <v>2</v>
      </c>
      <c r="AP860" s="87"/>
      <c r="AQ860" s="87"/>
      <c r="AR860" s="87">
        <v>1</v>
      </c>
      <c r="AS860" s="87">
        <v>1</v>
      </c>
      <c r="AT860" s="87">
        <v>1</v>
      </c>
      <c r="AU860" s="87"/>
      <c r="AV860" s="87"/>
      <c r="AW860" s="88" t="str">
        <f>HYPERLINK("http://www.openstreetmap.org/?mlat=30.5269&amp;mlon=47.8152&amp;zoom=12#map=12/30.5269/47.8152","Maplink1")</f>
        <v>Maplink1</v>
      </c>
      <c r="AX860" s="88" t="str">
        <f>HYPERLINK("https://www.google.iq/maps/search/+30.5269,47.8152/@30.5269,47.8152,14z?hl=en","Maplink2")</f>
        <v>Maplink2</v>
      </c>
      <c r="AY860" s="88" t="str">
        <f>HYPERLINK("http://www.bing.com/maps/?lvl=14&amp;sty=h&amp;cp=30.5269~47.8152&amp;sp=point.30.5269_47.8152","Maplink3")</f>
        <v>Maplink3</v>
      </c>
      <c r="AZ860" s="76"/>
    </row>
    <row r="861" spans="1:52" x14ac:dyDescent="0.25">
      <c r="A861" s="86">
        <v>884</v>
      </c>
      <c r="B861" s="87" t="s">
        <v>15</v>
      </c>
      <c r="C861" s="87" t="s">
        <v>15</v>
      </c>
      <c r="D861" s="87" t="s">
        <v>1732</v>
      </c>
      <c r="E861" s="87" t="s">
        <v>1733</v>
      </c>
      <c r="F861" s="87">
        <v>30.499694300000002</v>
      </c>
      <c r="G861" s="87">
        <v>47.824298200000001</v>
      </c>
      <c r="H861" s="86">
        <v>1</v>
      </c>
      <c r="I861" s="86">
        <v>6</v>
      </c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>
        <v>1</v>
      </c>
      <c r="W861" s="87"/>
      <c r="X861" s="87"/>
      <c r="Y861" s="87"/>
      <c r="Z861" s="87"/>
      <c r="AA861" s="87"/>
      <c r="AB861" s="87"/>
      <c r="AC861" s="87">
        <v>1</v>
      </c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>
        <v>1</v>
      </c>
      <c r="AS861" s="87"/>
      <c r="AT861" s="87"/>
      <c r="AU861" s="87"/>
      <c r="AV861" s="87"/>
      <c r="AW861" s="88" t="str">
        <f>HYPERLINK("http://www.openstreetmap.org/?mlat=30.4997&amp;mlon=47.8243&amp;zoom=12#map=12/30.4997/47.8243","Maplink1")</f>
        <v>Maplink1</v>
      </c>
      <c r="AX861" s="88" t="str">
        <f>HYPERLINK("https://www.google.iq/maps/search/+30.4997,47.8243/@30.4997,47.8243,14z?hl=en","Maplink2")</f>
        <v>Maplink2</v>
      </c>
      <c r="AY861" s="88" t="str">
        <f>HYPERLINK("http://www.bing.com/maps/?lvl=14&amp;sty=h&amp;cp=30.4997~47.8243&amp;sp=point.30.4997_47.8243","Maplink3")</f>
        <v>Maplink3</v>
      </c>
      <c r="AZ861" s="76"/>
    </row>
    <row r="862" spans="1:52" x14ac:dyDescent="0.25">
      <c r="A862" s="86">
        <v>1275</v>
      </c>
      <c r="B862" s="87" t="s">
        <v>15</v>
      </c>
      <c r="C862" s="87" t="s">
        <v>15</v>
      </c>
      <c r="D862" s="87" t="s">
        <v>1734</v>
      </c>
      <c r="E862" s="87" t="s">
        <v>1735</v>
      </c>
      <c r="F862" s="87">
        <v>30.541248849700001</v>
      </c>
      <c r="G862" s="87">
        <v>47.795445029600003</v>
      </c>
      <c r="H862" s="86">
        <v>10</v>
      </c>
      <c r="I862" s="86">
        <v>60</v>
      </c>
      <c r="J862" s="87"/>
      <c r="K862" s="87"/>
      <c r="L862" s="87"/>
      <c r="M862" s="87"/>
      <c r="N862" s="87"/>
      <c r="O862" s="87">
        <v>1</v>
      </c>
      <c r="P862" s="87"/>
      <c r="Q862" s="87"/>
      <c r="R862" s="87">
        <v>3</v>
      </c>
      <c r="S862" s="87"/>
      <c r="T862" s="87"/>
      <c r="U862" s="87"/>
      <c r="V862" s="87">
        <v>3</v>
      </c>
      <c r="W862" s="87"/>
      <c r="X862" s="87">
        <v>3</v>
      </c>
      <c r="Y862" s="87"/>
      <c r="Z862" s="87"/>
      <c r="AA862" s="87"/>
      <c r="AB862" s="87"/>
      <c r="AC862" s="87">
        <v>5</v>
      </c>
      <c r="AD862" s="87"/>
      <c r="AE862" s="87"/>
      <c r="AF862" s="87"/>
      <c r="AG862" s="87"/>
      <c r="AH862" s="87">
        <v>5</v>
      </c>
      <c r="AI862" s="87"/>
      <c r="AJ862" s="87"/>
      <c r="AK862" s="87"/>
      <c r="AL862" s="87"/>
      <c r="AM862" s="87"/>
      <c r="AN862" s="87"/>
      <c r="AO862" s="87">
        <v>2</v>
      </c>
      <c r="AP862" s="87">
        <v>1</v>
      </c>
      <c r="AQ862" s="87">
        <v>5</v>
      </c>
      <c r="AR862" s="87">
        <v>1</v>
      </c>
      <c r="AS862" s="87"/>
      <c r="AT862" s="87">
        <v>1</v>
      </c>
      <c r="AU862" s="87"/>
      <c r="AV862" s="87"/>
      <c r="AW862" s="88" t="str">
        <f>HYPERLINK("http://www.openstreetmap.org/?mlat=30.5412&amp;mlon=47.7954&amp;zoom=12#map=12/30.5412/47.7954","Maplink1")</f>
        <v>Maplink1</v>
      </c>
      <c r="AX862" s="88" t="str">
        <f>HYPERLINK("https://www.google.iq/maps/search/+30.5412,47.7954/@30.5412,47.7954,14z?hl=en","Maplink2")</f>
        <v>Maplink2</v>
      </c>
      <c r="AY862" s="88" t="str">
        <f>HYPERLINK("http://www.bing.com/maps/?lvl=14&amp;sty=h&amp;cp=30.5412~47.7954&amp;sp=point.30.5412_47.7954","Maplink3")</f>
        <v>Maplink3</v>
      </c>
      <c r="AZ862" s="76"/>
    </row>
    <row r="863" spans="1:52" x14ac:dyDescent="0.25">
      <c r="A863" s="86">
        <v>986</v>
      </c>
      <c r="B863" s="87" t="s">
        <v>15</v>
      </c>
      <c r="C863" s="87" t="s">
        <v>15</v>
      </c>
      <c r="D863" s="87" t="s">
        <v>1736</v>
      </c>
      <c r="E863" s="87" t="s">
        <v>1737</v>
      </c>
      <c r="F863" s="87">
        <v>30.546051274300002</v>
      </c>
      <c r="G863" s="87">
        <v>47.809987037799999</v>
      </c>
      <c r="H863" s="86">
        <v>11</v>
      </c>
      <c r="I863" s="86">
        <v>66</v>
      </c>
      <c r="J863" s="87"/>
      <c r="K863" s="87">
        <v>1</v>
      </c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>
        <v>5</v>
      </c>
      <c r="W863" s="87"/>
      <c r="X863" s="87">
        <v>5</v>
      </c>
      <c r="Y863" s="87"/>
      <c r="Z863" s="87"/>
      <c r="AA863" s="87"/>
      <c r="AB863" s="87"/>
      <c r="AC863" s="87">
        <v>3</v>
      </c>
      <c r="AD863" s="87"/>
      <c r="AE863" s="87"/>
      <c r="AF863" s="87"/>
      <c r="AG863" s="87"/>
      <c r="AH863" s="87">
        <v>8</v>
      </c>
      <c r="AI863" s="87"/>
      <c r="AJ863" s="87"/>
      <c r="AK863" s="87"/>
      <c r="AL863" s="87"/>
      <c r="AM863" s="87"/>
      <c r="AN863" s="87">
        <v>1</v>
      </c>
      <c r="AO863" s="87">
        <v>3</v>
      </c>
      <c r="AP863" s="87">
        <v>3</v>
      </c>
      <c r="AQ863" s="87">
        <v>4</v>
      </c>
      <c r="AR863" s="87"/>
      <c r="AS863" s="87"/>
      <c r="AT863" s="87"/>
      <c r="AU863" s="87"/>
      <c r="AV863" s="87"/>
      <c r="AW863" s="88" t="str">
        <f>HYPERLINK("http://www.openstreetmap.org/?mlat=30.5461&amp;mlon=47.81&amp;zoom=12#map=12/30.5461/47.81","Maplink1")</f>
        <v>Maplink1</v>
      </c>
      <c r="AX863" s="88" t="str">
        <f>HYPERLINK("https://www.google.iq/maps/search/+30.5461,47.81/@30.5461,47.81,14z?hl=en","Maplink2")</f>
        <v>Maplink2</v>
      </c>
      <c r="AY863" s="88" t="str">
        <f>HYPERLINK("http://www.bing.com/maps/?lvl=14&amp;sty=h&amp;cp=30.5461~47.81&amp;sp=point.30.5461_47.81","Maplink3")</f>
        <v>Maplink3</v>
      </c>
      <c r="AZ863" s="76"/>
    </row>
    <row r="864" spans="1:52" x14ac:dyDescent="0.25">
      <c r="A864" s="86">
        <v>847</v>
      </c>
      <c r="B864" s="87" t="s">
        <v>15</v>
      </c>
      <c r="C864" s="87" t="s">
        <v>15</v>
      </c>
      <c r="D864" s="87" t="s">
        <v>1738</v>
      </c>
      <c r="E864" s="87" t="s">
        <v>1739</v>
      </c>
      <c r="F864" s="87">
        <v>30.490824058499999</v>
      </c>
      <c r="G864" s="87">
        <v>47.8161600456</v>
      </c>
      <c r="H864" s="86">
        <v>10</v>
      </c>
      <c r="I864" s="86">
        <v>60</v>
      </c>
      <c r="J864" s="87">
        <v>4</v>
      </c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>
        <v>4</v>
      </c>
      <c r="W864" s="87"/>
      <c r="X864" s="87">
        <v>2</v>
      </c>
      <c r="Y864" s="87"/>
      <c r="Z864" s="87"/>
      <c r="AA864" s="87"/>
      <c r="AB864" s="87"/>
      <c r="AC864" s="87">
        <v>6</v>
      </c>
      <c r="AD864" s="87"/>
      <c r="AE864" s="87"/>
      <c r="AF864" s="87"/>
      <c r="AG864" s="87"/>
      <c r="AH864" s="87">
        <v>4</v>
      </c>
      <c r="AI864" s="87"/>
      <c r="AJ864" s="87"/>
      <c r="AK864" s="87"/>
      <c r="AL864" s="87"/>
      <c r="AM864" s="87"/>
      <c r="AN864" s="87">
        <v>2</v>
      </c>
      <c r="AO864" s="87">
        <v>1</v>
      </c>
      <c r="AP864" s="87">
        <v>1</v>
      </c>
      <c r="AQ864" s="87">
        <v>5</v>
      </c>
      <c r="AR864" s="87">
        <v>1</v>
      </c>
      <c r="AS864" s="87"/>
      <c r="AT864" s="87"/>
      <c r="AU864" s="87"/>
      <c r="AV864" s="87"/>
      <c r="AW864" s="88" t="str">
        <f>HYPERLINK("http://www.openstreetmap.org/?mlat=30.4908&amp;mlon=47.8162&amp;zoom=12#map=12/30.4908/47.8162","Maplink1")</f>
        <v>Maplink1</v>
      </c>
      <c r="AX864" s="88" t="str">
        <f>HYPERLINK("https://www.google.iq/maps/search/+30.4908,47.8162/@30.4908,47.8162,14z?hl=en","Maplink2")</f>
        <v>Maplink2</v>
      </c>
      <c r="AY864" s="88" t="str">
        <f>HYPERLINK("http://www.bing.com/maps/?lvl=14&amp;sty=h&amp;cp=30.4908~47.8162&amp;sp=point.30.4908_47.8162","Maplink3")</f>
        <v>Maplink3</v>
      </c>
      <c r="AZ864" s="76"/>
    </row>
    <row r="865" spans="1:52" x14ac:dyDescent="0.25">
      <c r="A865" s="86">
        <v>1306</v>
      </c>
      <c r="B865" s="87" t="s">
        <v>15</v>
      </c>
      <c r="C865" s="87" t="s">
        <v>15</v>
      </c>
      <c r="D865" s="87" t="s">
        <v>1740</v>
      </c>
      <c r="E865" s="87" t="s">
        <v>1741</v>
      </c>
      <c r="F865" s="87">
        <v>30.484874392999998</v>
      </c>
      <c r="G865" s="87">
        <v>47.812200795099997</v>
      </c>
      <c r="H865" s="86">
        <v>9</v>
      </c>
      <c r="I865" s="86">
        <v>54</v>
      </c>
      <c r="J865" s="87">
        <v>2</v>
      </c>
      <c r="K865" s="87"/>
      <c r="L865" s="87"/>
      <c r="M865" s="87"/>
      <c r="N865" s="87"/>
      <c r="O865" s="87">
        <v>1</v>
      </c>
      <c r="P865" s="87"/>
      <c r="Q865" s="87"/>
      <c r="R865" s="87"/>
      <c r="S865" s="87"/>
      <c r="T865" s="87"/>
      <c r="U865" s="87"/>
      <c r="V865" s="87">
        <v>4</v>
      </c>
      <c r="W865" s="87"/>
      <c r="X865" s="87">
        <v>2</v>
      </c>
      <c r="Y865" s="87"/>
      <c r="Z865" s="87"/>
      <c r="AA865" s="87"/>
      <c r="AB865" s="87"/>
      <c r="AC865" s="87">
        <v>2</v>
      </c>
      <c r="AD865" s="87"/>
      <c r="AE865" s="87"/>
      <c r="AF865" s="87"/>
      <c r="AG865" s="87"/>
      <c r="AH865" s="87">
        <v>7</v>
      </c>
      <c r="AI865" s="87"/>
      <c r="AJ865" s="87"/>
      <c r="AK865" s="87"/>
      <c r="AL865" s="87"/>
      <c r="AM865" s="87"/>
      <c r="AN865" s="87">
        <v>1</v>
      </c>
      <c r="AO865" s="87">
        <v>1</v>
      </c>
      <c r="AP865" s="87">
        <v>3</v>
      </c>
      <c r="AQ865" s="87">
        <v>1</v>
      </c>
      <c r="AR865" s="87">
        <v>2</v>
      </c>
      <c r="AS865" s="87"/>
      <c r="AT865" s="87">
        <v>1</v>
      </c>
      <c r="AU865" s="87"/>
      <c r="AV865" s="87"/>
      <c r="AW865" s="88" t="str">
        <f>HYPERLINK("http://www.openstreetmap.org/?mlat=30.4849&amp;mlon=47.8122&amp;zoom=12#map=12/30.4849/47.8122","Maplink1")</f>
        <v>Maplink1</v>
      </c>
      <c r="AX865" s="88" t="str">
        <f>HYPERLINK("https://www.google.iq/maps/search/+30.4849,47.8122/@30.4849,47.8122,14z?hl=en","Maplink2")</f>
        <v>Maplink2</v>
      </c>
      <c r="AY865" s="88" t="str">
        <f>HYPERLINK("http://www.bing.com/maps/?lvl=14&amp;sty=h&amp;cp=30.4849~47.8122&amp;sp=point.30.4849_47.8122","Maplink3")</f>
        <v>Maplink3</v>
      </c>
      <c r="AZ865" s="76"/>
    </row>
    <row r="866" spans="1:52" x14ac:dyDescent="0.25">
      <c r="A866" s="86">
        <v>849</v>
      </c>
      <c r="B866" s="87" t="s">
        <v>15</v>
      </c>
      <c r="C866" s="87" t="s">
        <v>15</v>
      </c>
      <c r="D866" s="87" t="s">
        <v>1742</v>
      </c>
      <c r="E866" s="87" t="s">
        <v>1743</v>
      </c>
      <c r="F866" s="87">
        <v>30.484321099999999</v>
      </c>
      <c r="G866" s="87">
        <v>47.829706550899999</v>
      </c>
      <c r="H866" s="86">
        <v>13</v>
      </c>
      <c r="I866" s="86">
        <v>78</v>
      </c>
      <c r="J866" s="87">
        <v>3</v>
      </c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>
        <v>7</v>
      </c>
      <c r="W866" s="87"/>
      <c r="X866" s="87">
        <v>3</v>
      </c>
      <c r="Y866" s="87"/>
      <c r="Z866" s="87"/>
      <c r="AA866" s="87"/>
      <c r="AB866" s="87"/>
      <c r="AC866" s="87">
        <v>5</v>
      </c>
      <c r="AD866" s="87"/>
      <c r="AE866" s="87"/>
      <c r="AF866" s="87"/>
      <c r="AG866" s="87"/>
      <c r="AH866" s="87">
        <v>8</v>
      </c>
      <c r="AI866" s="87"/>
      <c r="AJ866" s="87"/>
      <c r="AK866" s="87"/>
      <c r="AL866" s="87"/>
      <c r="AM866" s="87"/>
      <c r="AN866" s="87">
        <v>1</v>
      </c>
      <c r="AO866" s="87">
        <v>1</v>
      </c>
      <c r="AP866" s="87"/>
      <c r="AQ866" s="87">
        <v>5</v>
      </c>
      <c r="AR866" s="87">
        <v>1</v>
      </c>
      <c r="AS866" s="87">
        <v>1</v>
      </c>
      <c r="AT866" s="87">
        <v>4</v>
      </c>
      <c r="AU866" s="87"/>
      <c r="AV866" s="87"/>
      <c r="AW866" s="88" t="str">
        <f>HYPERLINK("http://www.openstreetmap.org/?mlat=30.4843&amp;mlon=47.8297&amp;zoom=12#map=12/30.4843/47.8297","Maplink1")</f>
        <v>Maplink1</v>
      </c>
      <c r="AX866" s="88" t="str">
        <f>HYPERLINK("https://www.google.iq/maps/search/+30.4843,47.8297/@30.4843,47.8297,14z?hl=en","Maplink2")</f>
        <v>Maplink2</v>
      </c>
      <c r="AY866" s="88" t="str">
        <f>HYPERLINK("http://www.bing.com/maps/?lvl=14&amp;sty=h&amp;cp=30.4843~47.8297&amp;sp=point.30.4843_47.8297","Maplink3")</f>
        <v>Maplink3</v>
      </c>
      <c r="AZ866" s="76"/>
    </row>
    <row r="867" spans="1:52" x14ac:dyDescent="0.25">
      <c r="A867" s="86">
        <v>1313</v>
      </c>
      <c r="B867" s="87" t="s">
        <v>15</v>
      </c>
      <c r="C867" s="87" t="s">
        <v>15</v>
      </c>
      <c r="D867" s="87" t="s">
        <v>1744</v>
      </c>
      <c r="E867" s="87" t="s">
        <v>1745</v>
      </c>
      <c r="F867" s="87">
        <v>30.505391599999999</v>
      </c>
      <c r="G867" s="87">
        <v>47.816490000000002</v>
      </c>
      <c r="H867" s="86">
        <v>3</v>
      </c>
      <c r="I867" s="86">
        <v>18</v>
      </c>
      <c r="J867" s="87">
        <v>2</v>
      </c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>
        <v>1</v>
      </c>
      <c r="Y867" s="87"/>
      <c r="Z867" s="87"/>
      <c r="AA867" s="87"/>
      <c r="AB867" s="87"/>
      <c r="AC867" s="87"/>
      <c r="AD867" s="87"/>
      <c r="AE867" s="87"/>
      <c r="AF867" s="87"/>
      <c r="AG867" s="87"/>
      <c r="AH867" s="87">
        <v>3</v>
      </c>
      <c r="AI867" s="87"/>
      <c r="AJ867" s="87"/>
      <c r="AK867" s="87"/>
      <c r="AL867" s="87"/>
      <c r="AM867" s="87"/>
      <c r="AN867" s="87">
        <v>1</v>
      </c>
      <c r="AO867" s="87">
        <v>2</v>
      </c>
      <c r="AP867" s="87"/>
      <c r="AQ867" s="87"/>
      <c r="AR867" s="87"/>
      <c r="AS867" s="87"/>
      <c r="AT867" s="87"/>
      <c r="AU867" s="87"/>
      <c r="AV867" s="87"/>
      <c r="AW867" s="88" t="str">
        <f>HYPERLINK("http://www.openstreetmap.org/?mlat=30.5054&amp;mlon=47.8165&amp;zoom=12#map=12/30.5054/47.8165","Maplink1")</f>
        <v>Maplink1</v>
      </c>
      <c r="AX867" s="88" t="str">
        <f>HYPERLINK("https://www.google.iq/maps/search/+30.5054,47.8165/@30.5054,47.8165,14z?hl=en","Maplink2")</f>
        <v>Maplink2</v>
      </c>
      <c r="AY867" s="88" t="str">
        <f>HYPERLINK("http://www.bing.com/maps/?lvl=14&amp;sty=h&amp;cp=30.5054~47.8165&amp;sp=point.30.5054_47.8165","Maplink3")</f>
        <v>Maplink3</v>
      </c>
      <c r="AZ867" s="76"/>
    </row>
    <row r="868" spans="1:52" x14ac:dyDescent="0.25">
      <c r="A868" s="86">
        <v>28457</v>
      </c>
      <c r="B868" s="87" t="s">
        <v>15</v>
      </c>
      <c r="C868" s="87" t="s">
        <v>15</v>
      </c>
      <c r="D868" s="87" t="s">
        <v>1746</v>
      </c>
      <c r="E868" s="87" t="s">
        <v>1747</v>
      </c>
      <c r="F868" s="87">
        <v>30.503171999999999</v>
      </c>
      <c r="G868" s="87">
        <v>47.816053099999998</v>
      </c>
      <c r="H868" s="86">
        <v>1</v>
      </c>
      <c r="I868" s="86">
        <v>6</v>
      </c>
      <c r="J868" s="87"/>
      <c r="K868" s="87"/>
      <c r="L868" s="87"/>
      <c r="M868" s="87"/>
      <c r="N868" s="87"/>
      <c r="O868" s="87"/>
      <c r="P868" s="87"/>
      <c r="Q868" s="87"/>
      <c r="R868" s="87">
        <v>1</v>
      </c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>
        <v>1</v>
      </c>
      <c r="AI868" s="87"/>
      <c r="AJ868" s="87"/>
      <c r="AK868" s="87"/>
      <c r="AL868" s="87"/>
      <c r="AM868" s="87"/>
      <c r="AN868" s="87"/>
      <c r="AO868" s="87"/>
      <c r="AP868" s="87"/>
      <c r="AQ868" s="87">
        <v>1</v>
      </c>
      <c r="AR868" s="87"/>
      <c r="AS868" s="87"/>
      <c r="AT868" s="87"/>
      <c r="AU868" s="87"/>
      <c r="AV868" s="87"/>
      <c r="AW868" s="88" t="str">
        <f>HYPERLINK("http://www.openstreetmap.org/?mlat=30.5032&amp;mlon=47.8161&amp;zoom=12#map=12/30.5032/47.8161","Maplink1")</f>
        <v>Maplink1</v>
      </c>
      <c r="AX868" s="88" t="str">
        <f>HYPERLINK("https://www.google.iq/maps/search/+30.5032,47.8161/@30.5032,47.8161,14z?hl=en","Maplink2")</f>
        <v>Maplink2</v>
      </c>
      <c r="AY868" s="88" t="str">
        <f>HYPERLINK("http://www.bing.com/maps/?lvl=14&amp;sty=h&amp;cp=30.5032~47.8161&amp;sp=point.30.5032_47.8161","Maplink3")</f>
        <v>Maplink3</v>
      </c>
      <c r="AZ868" s="76"/>
    </row>
    <row r="869" spans="1:52" x14ac:dyDescent="0.25">
      <c r="A869" s="86">
        <v>896</v>
      </c>
      <c r="B869" s="87" t="s">
        <v>15</v>
      </c>
      <c r="C869" s="87" t="s">
        <v>15</v>
      </c>
      <c r="D869" s="87" t="s">
        <v>1748</v>
      </c>
      <c r="E869" s="87" t="s">
        <v>1749</v>
      </c>
      <c r="F869" s="87">
        <v>30.505560899999999</v>
      </c>
      <c r="G869" s="87">
        <v>47.819226100000002</v>
      </c>
      <c r="H869" s="86">
        <v>4</v>
      </c>
      <c r="I869" s="86">
        <v>24</v>
      </c>
      <c r="J869" s="87">
        <v>1</v>
      </c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>
        <v>3</v>
      </c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>
        <v>4</v>
      </c>
      <c r="AI869" s="87"/>
      <c r="AJ869" s="87"/>
      <c r="AK869" s="87"/>
      <c r="AL869" s="87"/>
      <c r="AM869" s="87"/>
      <c r="AN869" s="87">
        <v>1</v>
      </c>
      <c r="AO869" s="87"/>
      <c r="AP869" s="87">
        <v>1</v>
      </c>
      <c r="AQ869" s="87"/>
      <c r="AR869" s="87">
        <v>1</v>
      </c>
      <c r="AS869" s="87"/>
      <c r="AT869" s="87">
        <v>1</v>
      </c>
      <c r="AU869" s="87"/>
      <c r="AV869" s="87"/>
      <c r="AW869" s="88" t="str">
        <f>HYPERLINK("http://www.openstreetmap.org/?mlat=30.5056&amp;mlon=47.8192&amp;zoom=12#map=12/30.5056/47.8192","Maplink1")</f>
        <v>Maplink1</v>
      </c>
      <c r="AX869" s="88" t="str">
        <f>HYPERLINK("https://www.google.iq/maps/search/+30.5056,47.8192/@30.5056,47.8192,14z?hl=en","Maplink2")</f>
        <v>Maplink2</v>
      </c>
      <c r="AY869" s="88" t="str">
        <f>HYPERLINK("http://www.bing.com/maps/?lvl=14&amp;sty=h&amp;cp=30.5056~47.8192&amp;sp=point.30.5056_47.8192","Maplink3")</f>
        <v>Maplink3</v>
      </c>
      <c r="AZ869" s="76"/>
    </row>
    <row r="870" spans="1:52" x14ac:dyDescent="0.25">
      <c r="A870" s="86">
        <v>24128</v>
      </c>
      <c r="B870" s="87" t="s">
        <v>15</v>
      </c>
      <c r="C870" s="87" t="s">
        <v>15</v>
      </c>
      <c r="D870" s="87" t="s">
        <v>1750</v>
      </c>
      <c r="E870" s="87" t="s">
        <v>1751</v>
      </c>
      <c r="F870" s="87">
        <v>30.544252</v>
      </c>
      <c r="G870" s="87">
        <v>47.779412000000001</v>
      </c>
      <c r="H870" s="86">
        <v>4</v>
      </c>
      <c r="I870" s="86">
        <v>24</v>
      </c>
      <c r="J870" s="87">
        <v>3</v>
      </c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>
        <v>1</v>
      </c>
      <c r="W870" s="87"/>
      <c r="X870" s="87"/>
      <c r="Y870" s="87"/>
      <c r="Z870" s="87"/>
      <c r="AA870" s="87"/>
      <c r="AB870" s="87"/>
      <c r="AC870" s="87">
        <v>1</v>
      </c>
      <c r="AD870" s="87"/>
      <c r="AE870" s="87"/>
      <c r="AF870" s="87"/>
      <c r="AG870" s="87"/>
      <c r="AH870" s="87">
        <v>3</v>
      </c>
      <c r="AI870" s="87"/>
      <c r="AJ870" s="87"/>
      <c r="AK870" s="87"/>
      <c r="AL870" s="87"/>
      <c r="AM870" s="87"/>
      <c r="AN870" s="87">
        <v>2</v>
      </c>
      <c r="AO870" s="87"/>
      <c r="AP870" s="87"/>
      <c r="AQ870" s="87">
        <v>2</v>
      </c>
      <c r="AR870" s="87"/>
      <c r="AS870" s="87"/>
      <c r="AT870" s="87"/>
      <c r="AU870" s="87"/>
      <c r="AV870" s="87"/>
      <c r="AW870" s="88" t="str">
        <f>HYPERLINK("http://www.openstreetmap.org/?mlat=30.5443&amp;mlon=47.7794&amp;zoom=12#map=12/30.5443/47.7794","Maplink1")</f>
        <v>Maplink1</v>
      </c>
      <c r="AX870" s="88" t="str">
        <f>HYPERLINK("https://www.google.iq/maps/search/+30.5443,47.7794/@30.5443,47.7794,14z?hl=en","Maplink2")</f>
        <v>Maplink2</v>
      </c>
      <c r="AY870" s="88" t="str">
        <f>HYPERLINK("http://www.bing.com/maps/?lvl=14&amp;sty=h&amp;cp=30.5443~47.7794&amp;sp=point.30.5443_47.7794","Maplink3")</f>
        <v>Maplink3</v>
      </c>
      <c r="AZ870" s="76"/>
    </row>
    <row r="871" spans="1:52" x14ac:dyDescent="0.25">
      <c r="A871" s="86">
        <v>918</v>
      </c>
      <c r="B871" s="87" t="s">
        <v>15</v>
      </c>
      <c r="C871" s="87" t="s">
        <v>15</v>
      </c>
      <c r="D871" s="87" t="s">
        <v>1752</v>
      </c>
      <c r="E871" s="87" t="s">
        <v>1753</v>
      </c>
      <c r="F871" s="87">
        <v>30.511398100000001</v>
      </c>
      <c r="G871" s="87">
        <v>47.826654499999997</v>
      </c>
      <c r="H871" s="86">
        <v>2</v>
      </c>
      <c r="I871" s="86">
        <v>12</v>
      </c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>
        <v>2</v>
      </c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>
        <v>2</v>
      </c>
      <c r="AI871" s="87"/>
      <c r="AJ871" s="87"/>
      <c r="AK871" s="87"/>
      <c r="AL871" s="87"/>
      <c r="AM871" s="87"/>
      <c r="AN871" s="87"/>
      <c r="AO871" s="87"/>
      <c r="AP871" s="87">
        <v>2</v>
      </c>
      <c r="AQ871" s="87"/>
      <c r="AR871" s="87"/>
      <c r="AS871" s="87"/>
      <c r="AT871" s="87"/>
      <c r="AU871" s="87"/>
      <c r="AV871" s="87"/>
      <c r="AW871" s="88" t="str">
        <f>HYPERLINK("http://www.openstreetmap.org/?mlat=30.5114&amp;mlon=47.8267&amp;zoom=12#map=12/30.5114/47.8267","Maplink1")</f>
        <v>Maplink1</v>
      </c>
      <c r="AX871" s="88" t="str">
        <f>HYPERLINK("https://www.google.iq/maps/search/+30.5114,47.8267/@30.5114,47.8267,14z?hl=en","Maplink2")</f>
        <v>Maplink2</v>
      </c>
      <c r="AY871" s="88" t="str">
        <f>HYPERLINK("http://www.bing.com/maps/?lvl=14&amp;sty=h&amp;cp=30.5114~47.8267&amp;sp=point.30.5114_47.8267","Maplink3")</f>
        <v>Maplink3</v>
      </c>
      <c r="AZ871" s="76"/>
    </row>
    <row r="872" spans="1:52" x14ac:dyDescent="0.25">
      <c r="A872" s="86">
        <v>857</v>
      </c>
      <c r="B872" s="87" t="s">
        <v>15</v>
      </c>
      <c r="C872" s="87" t="s">
        <v>15</v>
      </c>
      <c r="D872" s="87" t="s">
        <v>1754</v>
      </c>
      <c r="E872" s="87" t="s">
        <v>1755</v>
      </c>
      <c r="F872" s="87">
        <v>30.495004999999999</v>
      </c>
      <c r="G872" s="87">
        <v>47.817524915100002</v>
      </c>
      <c r="H872" s="86">
        <v>6</v>
      </c>
      <c r="I872" s="86">
        <v>36</v>
      </c>
      <c r="J872" s="87">
        <v>3</v>
      </c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>
        <v>3</v>
      </c>
      <c r="Y872" s="87"/>
      <c r="Z872" s="87"/>
      <c r="AA872" s="87"/>
      <c r="AB872" s="87"/>
      <c r="AC872" s="87">
        <v>6</v>
      </c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>
        <v>3</v>
      </c>
      <c r="AQ872" s="87">
        <v>3</v>
      </c>
      <c r="AR872" s="87"/>
      <c r="AS872" s="87"/>
      <c r="AT872" s="87"/>
      <c r="AU872" s="87"/>
      <c r="AV872" s="87"/>
      <c r="AW872" s="88" t="str">
        <f>HYPERLINK("http://www.openstreetmap.org/?mlat=30.495&amp;mlon=47.8175&amp;zoom=12#map=12/30.495/47.8175","Maplink1")</f>
        <v>Maplink1</v>
      </c>
      <c r="AX872" s="88" t="str">
        <f>HYPERLINK("https://www.google.iq/maps/search/+30.495,47.8175/@30.495,47.8175,14z?hl=en","Maplink2")</f>
        <v>Maplink2</v>
      </c>
      <c r="AY872" s="88" t="str">
        <f>HYPERLINK("http://www.bing.com/maps/?lvl=14&amp;sty=h&amp;cp=30.495~47.8175&amp;sp=point.30.495_47.8175","Maplink3")</f>
        <v>Maplink3</v>
      </c>
      <c r="AZ872" s="76"/>
    </row>
    <row r="873" spans="1:52" x14ac:dyDescent="0.25">
      <c r="A873" s="86">
        <v>903</v>
      </c>
      <c r="B873" s="87" t="s">
        <v>15</v>
      </c>
      <c r="C873" s="87" t="s">
        <v>15</v>
      </c>
      <c r="D873" s="87" t="s">
        <v>1756</v>
      </c>
      <c r="E873" s="87" t="s">
        <v>1757</v>
      </c>
      <c r="F873" s="87">
        <v>30.507744200000001</v>
      </c>
      <c r="G873" s="87">
        <v>47.822227499999997</v>
      </c>
      <c r="H873" s="86">
        <v>3</v>
      </c>
      <c r="I873" s="86">
        <v>18</v>
      </c>
      <c r="J873" s="87">
        <v>1</v>
      </c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>
        <v>1</v>
      </c>
      <c r="W873" s="87"/>
      <c r="X873" s="87">
        <v>1</v>
      </c>
      <c r="Y873" s="87"/>
      <c r="Z873" s="87"/>
      <c r="AA873" s="87"/>
      <c r="AB873" s="87"/>
      <c r="AC873" s="87">
        <v>3</v>
      </c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>
        <v>1</v>
      </c>
      <c r="AP873" s="87"/>
      <c r="AQ873" s="87">
        <v>2</v>
      </c>
      <c r="AR873" s="87"/>
      <c r="AS873" s="87"/>
      <c r="AT873" s="87"/>
      <c r="AU873" s="87"/>
      <c r="AV873" s="87"/>
      <c r="AW873" s="88" t="str">
        <f>HYPERLINK("http://www.openstreetmap.org/?mlat=30.5077&amp;mlon=47.8222&amp;zoom=12#map=12/30.5077/47.8222","Maplink1")</f>
        <v>Maplink1</v>
      </c>
      <c r="AX873" s="88" t="str">
        <f>HYPERLINK("https://www.google.iq/maps/search/+30.5077,47.8222/@30.5077,47.8222,14z?hl=en","Maplink2")</f>
        <v>Maplink2</v>
      </c>
      <c r="AY873" s="88" t="str">
        <f>HYPERLINK("http://www.bing.com/maps/?lvl=14&amp;sty=h&amp;cp=30.5077~47.8222&amp;sp=point.30.5077_47.8222","Maplink3")</f>
        <v>Maplink3</v>
      </c>
      <c r="AZ873" s="76"/>
    </row>
    <row r="874" spans="1:52" x14ac:dyDescent="0.25">
      <c r="A874" s="86">
        <v>24624</v>
      </c>
      <c r="B874" s="87" t="s">
        <v>15</v>
      </c>
      <c r="C874" s="87" t="s">
        <v>15</v>
      </c>
      <c r="D874" s="87" t="s">
        <v>1758</v>
      </c>
      <c r="E874" s="87" t="s">
        <v>1759</v>
      </c>
      <c r="F874" s="87">
        <v>30.496528447700001</v>
      </c>
      <c r="G874" s="87">
        <v>47.804616103100003</v>
      </c>
      <c r="H874" s="86">
        <v>7</v>
      </c>
      <c r="I874" s="86">
        <v>42</v>
      </c>
      <c r="J874" s="87">
        <v>1</v>
      </c>
      <c r="K874" s="87"/>
      <c r="L874" s="87"/>
      <c r="M874" s="87"/>
      <c r="N874" s="87"/>
      <c r="O874" s="87">
        <v>2</v>
      </c>
      <c r="P874" s="87"/>
      <c r="Q874" s="87"/>
      <c r="R874" s="87">
        <v>1</v>
      </c>
      <c r="S874" s="87"/>
      <c r="T874" s="87"/>
      <c r="U874" s="87"/>
      <c r="V874" s="87">
        <v>2</v>
      </c>
      <c r="W874" s="87"/>
      <c r="X874" s="87">
        <v>1</v>
      </c>
      <c r="Y874" s="87"/>
      <c r="Z874" s="87"/>
      <c r="AA874" s="87"/>
      <c r="AB874" s="87"/>
      <c r="AC874" s="87">
        <v>3</v>
      </c>
      <c r="AD874" s="87"/>
      <c r="AE874" s="87"/>
      <c r="AF874" s="87"/>
      <c r="AG874" s="87"/>
      <c r="AH874" s="87">
        <v>4</v>
      </c>
      <c r="AI874" s="87"/>
      <c r="AJ874" s="87"/>
      <c r="AK874" s="87"/>
      <c r="AL874" s="87"/>
      <c r="AM874" s="87"/>
      <c r="AN874" s="87">
        <v>2</v>
      </c>
      <c r="AO874" s="87">
        <v>1</v>
      </c>
      <c r="AP874" s="87">
        <v>2</v>
      </c>
      <c r="AQ874" s="87">
        <v>1</v>
      </c>
      <c r="AR874" s="87">
        <v>1</v>
      </c>
      <c r="AS874" s="87"/>
      <c r="AT874" s="87"/>
      <c r="AU874" s="87"/>
      <c r="AV874" s="87"/>
      <c r="AW874" s="88" t="str">
        <f>HYPERLINK("http://www.openstreetmap.org/?mlat=30.4965&amp;mlon=47.8046&amp;zoom=12#map=12/30.4965/47.8046","Maplink1")</f>
        <v>Maplink1</v>
      </c>
      <c r="AX874" s="88" t="str">
        <f>HYPERLINK("https://www.google.iq/maps/search/+30.4965,47.8046/@30.4965,47.8046,14z?hl=en","Maplink2")</f>
        <v>Maplink2</v>
      </c>
      <c r="AY874" s="88" t="str">
        <f>HYPERLINK("http://www.bing.com/maps/?lvl=14&amp;sty=h&amp;cp=30.4965~47.8046&amp;sp=point.30.4965_47.8046","Maplink3")</f>
        <v>Maplink3</v>
      </c>
      <c r="AZ874" s="76"/>
    </row>
    <row r="875" spans="1:52" x14ac:dyDescent="0.25">
      <c r="A875" s="86">
        <v>907</v>
      </c>
      <c r="B875" s="87" t="s">
        <v>15</v>
      </c>
      <c r="C875" s="87" t="s">
        <v>15</v>
      </c>
      <c r="D875" s="87" t="s">
        <v>1760</v>
      </c>
      <c r="E875" s="87" t="s">
        <v>1761</v>
      </c>
      <c r="F875" s="87">
        <v>30.5131295184</v>
      </c>
      <c r="G875" s="87">
        <v>47.838210379300001</v>
      </c>
      <c r="H875" s="86">
        <v>7</v>
      </c>
      <c r="I875" s="86">
        <v>42</v>
      </c>
      <c r="J875" s="87">
        <v>1</v>
      </c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>
        <v>5</v>
      </c>
      <c r="W875" s="87"/>
      <c r="X875" s="87">
        <v>1</v>
      </c>
      <c r="Y875" s="87"/>
      <c r="Z875" s="87"/>
      <c r="AA875" s="87"/>
      <c r="AB875" s="87"/>
      <c r="AC875" s="87">
        <v>3</v>
      </c>
      <c r="AD875" s="87"/>
      <c r="AE875" s="87"/>
      <c r="AF875" s="87"/>
      <c r="AG875" s="87"/>
      <c r="AH875" s="87">
        <v>4</v>
      </c>
      <c r="AI875" s="87"/>
      <c r="AJ875" s="87"/>
      <c r="AK875" s="87"/>
      <c r="AL875" s="87"/>
      <c r="AM875" s="87"/>
      <c r="AN875" s="87"/>
      <c r="AO875" s="87"/>
      <c r="AP875" s="87">
        <v>7</v>
      </c>
      <c r="AQ875" s="87"/>
      <c r="AR875" s="87"/>
      <c r="AS875" s="87"/>
      <c r="AT875" s="87"/>
      <c r="AU875" s="87"/>
      <c r="AV875" s="87"/>
      <c r="AW875" s="88" t="str">
        <f>HYPERLINK("http://www.openstreetmap.org/?mlat=30.5131&amp;mlon=47.8382&amp;zoom=12#map=12/30.5131/47.8382","Maplink1")</f>
        <v>Maplink1</v>
      </c>
      <c r="AX875" s="88" t="str">
        <f>HYPERLINK("https://www.google.iq/maps/search/+30.5131,47.8382/@30.5131,47.8382,14z?hl=en","Maplink2")</f>
        <v>Maplink2</v>
      </c>
      <c r="AY875" s="88" t="str">
        <f>HYPERLINK("http://www.bing.com/maps/?lvl=14&amp;sty=h&amp;cp=30.5131~47.8382&amp;sp=point.30.5131_47.8382","Maplink3")</f>
        <v>Maplink3</v>
      </c>
      <c r="AZ875" s="76"/>
    </row>
    <row r="876" spans="1:52" x14ac:dyDescent="0.25">
      <c r="A876" s="86">
        <v>24182</v>
      </c>
      <c r="B876" s="87" t="s">
        <v>15</v>
      </c>
      <c r="C876" s="87" t="s">
        <v>15</v>
      </c>
      <c r="D876" s="87" t="s">
        <v>1762</v>
      </c>
      <c r="E876" s="87" t="s">
        <v>1763</v>
      </c>
      <c r="F876" s="87">
        <v>30.5077651</v>
      </c>
      <c r="G876" s="87">
        <v>47.808117051099998</v>
      </c>
      <c r="H876" s="86">
        <v>9</v>
      </c>
      <c r="I876" s="86">
        <v>54</v>
      </c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>
        <v>9</v>
      </c>
      <c r="W876" s="87"/>
      <c r="X876" s="87"/>
      <c r="Y876" s="87"/>
      <c r="Z876" s="87"/>
      <c r="AA876" s="87"/>
      <c r="AB876" s="87"/>
      <c r="AC876" s="87"/>
      <c r="AD876" s="87"/>
      <c r="AE876" s="87">
        <v>9</v>
      </c>
      <c r="AF876" s="87"/>
      <c r="AG876" s="87"/>
      <c r="AH876" s="87"/>
      <c r="AI876" s="87"/>
      <c r="AJ876" s="87"/>
      <c r="AK876" s="87"/>
      <c r="AL876" s="87"/>
      <c r="AM876" s="87"/>
      <c r="AN876" s="87"/>
      <c r="AO876" s="87">
        <v>3</v>
      </c>
      <c r="AP876" s="87">
        <v>6</v>
      </c>
      <c r="AQ876" s="87"/>
      <c r="AR876" s="87"/>
      <c r="AS876" s="87"/>
      <c r="AT876" s="87"/>
      <c r="AU876" s="87"/>
      <c r="AV876" s="87"/>
      <c r="AW876" s="88" t="str">
        <f>HYPERLINK("http://www.openstreetmap.org/?mlat=30.5078&amp;mlon=47.8081&amp;zoom=12#map=12/30.5078/47.8081","Maplink1")</f>
        <v>Maplink1</v>
      </c>
      <c r="AX876" s="88" t="str">
        <f>HYPERLINK("https://www.google.iq/maps/search/+30.5078,47.8081/@30.5078,47.8081,14z?hl=en","Maplink2")</f>
        <v>Maplink2</v>
      </c>
      <c r="AY876" s="88" t="str">
        <f>HYPERLINK("http://www.bing.com/maps/?lvl=14&amp;sty=h&amp;cp=30.5078~47.8081&amp;sp=point.30.5078_47.8081","Maplink3")</f>
        <v>Maplink3</v>
      </c>
      <c r="AZ876" s="76"/>
    </row>
    <row r="877" spans="1:52" x14ac:dyDescent="0.25">
      <c r="A877" s="86">
        <v>24798</v>
      </c>
      <c r="B877" s="87" t="s">
        <v>15</v>
      </c>
      <c r="C877" s="87" t="s">
        <v>15</v>
      </c>
      <c r="D877" s="87" t="s">
        <v>1764</v>
      </c>
      <c r="E877" s="87" t="s">
        <v>1765</v>
      </c>
      <c r="F877" s="87">
        <v>30.5484516</v>
      </c>
      <c r="G877" s="87">
        <v>47.759112131400002</v>
      </c>
      <c r="H877" s="86">
        <v>4</v>
      </c>
      <c r="I877" s="86">
        <v>24</v>
      </c>
      <c r="J877" s="87">
        <v>1</v>
      </c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>
        <v>3</v>
      </c>
      <c r="Y877" s="87"/>
      <c r="Z877" s="87"/>
      <c r="AA877" s="87"/>
      <c r="AB877" s="87"/>
      <c r="AC877" s="87"/>
      <c r="AD877" s="87"/>
      <c r="AE877" s="87">
        <v>4</v>
      </c>
      <c r="AF877" s="87"/>
      <c r="AG877" s="87"/>
      <c r="AH877" s="87"/>
      <c r="AI877" s="87"/>
      <c r="AJ877" s="87"/>
      <c r="AK877" s="87"/>
      <c r="AL877" s="87"/>
      <c r="AM877" s="87"/>
      <c r="AN877" s="87"/>
      <c r="AO877" s="87">
        <v>2</v>
      </c>
      <c r="AP877" s="87">
        <v>1</v>
      </c>
      <c r="AQ877" s="87"/>
      <c r="AR877" s="87">
        <v>1</v>
      </c>
      <c r="AS877" s="87"/>
      <c r="AT877" s="87"/>
      <c r="AU877" s="87"/>
      <c r="AV877" s="87"/>
      <c r="AW877" s="88" t="str">
        <f>HYPERLINK("http://www.openstreetmap.org/?mlat=30.5485&amp;mlon=47.7591&amp;zoom=12#map=12/30.5485/47.7591","Maplink1")</f>
        <v>Maplink1</v>
      </c>
      <c r="AX877" s="88" t="str">
        <f>HYPERLINK("https://www.google.iq/maps/search/+30.5485,47.7591/@30.5485,47.7591,14z?hl=en","Maplink2")</f>
        <v>Maplink2</v>
      </c>
      <c r="AY877" s="88" t="str">
        <f>HYPERLINK("http://www.bing.com/maps/?lvl=14&amp;sty=h&amp;cp=30.5485~47.7591&amp;sp=point.30.5485_47.7591","Maplink3")</f>
        <v>Maplink3</v>
      </c>
      <c r="AZ877" s="76"/>
    </row>
    <row r="878" spans="1:52" x14ac:dyDescent="0.25">
      <c r="A878" s="86">
        <v>1295</v>
      </c>
      <c r="B878" s="87" t="s">
        <v>15</v>
      </c>
      <c r="C878" s="87" t="s">
        <v>15</v>
      </c>
      <c r="D878" s="87" t="s">
        <v>1766</v>
      </c>
      <c r="E878" s="87" t="s">
        <v>1767</v>
      </c>
      <c r="F878" s="87">
        <v>30.534119159100001</v>
      </c>
      <c r="G878" s="87">
        <v>47.788725549299997</v>
      </c>
      <c r="H878" s="86">
        <v>12</v>
      </c>
      <c r="I878" s="86">
        <v>72</v>
      </c>
      <c r="J878" s="87">
        <v>3</v>
      </c>
      <c r="K878" s="87"/>
      <c r="L878" s="87"/>
      <c r="M878" s="87"/>
      <c r="N878" s="87"/>
      <c r="O878" s="87"/>
      <c r="P878" s="87"/>
      <c r="Q878" s="87"/>
      <c r="R878" s="87">
        <v>1</v>
      </c>
      <c r="S878" s="87"/>
      <c r="T878" s="87"/>
      <c r="U878" s="87"/>
      <c r="V878" s="87"/>
      <c r="W878" s="87"/>
      <c r="X878" s="87">
        <v>8</v>
      </c>
      <c r="Y878" s="87"/>
      <c r="Z878" s="87"/>
      <c r="AA878" s="87"/>
      <c r="AB878" s="87"/>
      <c r="AC878" s="87">
        <v>2</v>
      </c>
      <c r="AD878" s="87"/>
      <c r="AE878" s="87"/>
      <c r="AF878" s="87"/>
      <c r="AG878" s="87"/>
      <c r="AH878" s="87">
        <v>10</v>
      </c>
      <c r="AI878" s="87"/>
      <c r="AJ878" s="87"/>
      <c r="AK878" s="87"/>
      <c r="AL878" s="87"/>
      <c r="AM878" s="87"/>
      <c r="AN878" s="87"/>
      <c r="AO878" s="87"/>
      <c r="AP878" s="87"/>
      <c r="AQ878" s="87">
        <v>9</v>
      </c>
      <c r="AR878" s="87">
        <v>2</v>
      </c>
      <c r="AS878" s="87"/>
      <c r="AT878" s="87">
        <v>1</v>
      </c>
      <c r="AU878" s="87"/>
      <c r="AV878" s="87"/>
      <c r="AW878" s="88" t="str">
        <f>HYPERLINK("http://www.openstreetmap.org/?mlat=30.5341&amp;mlon=47.7887&amp;zoom=12#map=12/30.5341/47.7887","Maplink1")</f>
        <v>Maplink1</v>
      </c>
      <c r="AX878" s="88" t="str">
        <f>HYPERLINK("https://www.google.iq/maps/search/+30.5341,47.7887/@30.5341,47.7887,14z?hl=en","Maplink2")</f>
        <v>Maplink2</v>
      </c>
      <c r="AY878" s="88" t="str">
        <f>HYPERLINK("http://www.bing.com/maps/?lvl=14&amp;sty=h&amp;cp=30.5341~47.7887&amp;sp=point.30.5341_47.7887","Maplink3")</f>
        <v>Maplink3</v>
      </c>
      <c r="AZ878" s="76"/>
    </row>
    <row r="879" spans="1:52" x14ac:dyDescent="0.25">
      <c r="A879" s="86">
        <v>983</v>
      </c>
      <c r="B879" s="87" t="s">
        <v>15</v>
      </c>
      <c r="C879" s="87" t="s">
        <v>15</v>
      </c>
      <c r="D879" s="87" t="s">
        <v>1768</v>
      </c>
      <c r="E879" s="87" t="s">
        <v>1769</v>
      </c>
      <c r="F879" s="87">
        <v>30.5448277391</v>
      </c>
      <c r="G879" s="87">
        <v>47.789437044099998</v>
      </c>
      <c r="H879" s="86">
        <v>4</v>
      </c>
      <c r="I879" s="86">
        <v>24</v>
      </c>
      <c r="J879" s="87"/>
      <c r="K879" s="87"/>
      <c r="L879" s="87"/>
      <c r="M879" s="87"/>
      <c r="N879" s="87"/>
      <c r="O879" s="87"/>
      <c r="P879" s="87"/>
      <c r="Q879" s="87"/>
      <c r="R879" s="87">
        <v>1</v>
      </c>
      <c r="S879" s="87"/>
      <c r="T879" s="87"/>
      <c r="U879" s="87"/>
      <c r="V879" s="87">
        <v>1</v>
      </c>
      <c r="W879" s="87"/>
      <c r="X879" s="87">
        <v>2</v>
      </c>
      <c r="Y879" s="87"/>
      <c r="Z879" s="87"/>
      <c r="AA879" s="87"/>
      <c r="AB879" s="87"/>
      <c r="AC879" s="87"/>
      <c r="AD879" s="87"/>
      <c r="AE879" s="87"/>
      <c r="AF879" s="87"/>
      <c r="AG879" s="87"/>
      <c r="AH879" s="87">
        <v>4</v>
      </c>
      <c r="AI879" s="87"/>
      <c r="AJ879" s="87"/>
      <c r="AK879" s="87"/>
      <c r="AL879" s="87"/>
      <c r="AM879" s="87"/>
      <c r="AN879" s="87"/>
      <c r="AO879" s="87"/>
      <c r="AP879" s="87">
        <v>1</v>
      </c>
      <c r="AQ879" s="87">
        <v>3</v>
      </c>
      <c r="AR879" s="87"/>
      <c r="AS879" s="87"/>
      <c r="AT879" s="87"/>
      <c r="AU879" s="87"/>
      <c r="AV879" s="87"/>
      <c r="AW879" s="88" t="str">
        <f>HYPERLINK("http://www.openstreetmap.org/?mlat=30.5448&amp;mlon=47.7894&amp;zoom=12#map=12/30.5448/47.7894","Maplink1")</f>
        <v>Maplink1</v>
      </c>
      <c r="AX879" s="88" t="str">
        <f>HYPERLINK("https://www.google.iq/maps/search/+30.5448,47.7894/@30.5448,47.7894,14z?hl=en","Maplink2")</f>
        <v>Maplink2</v>
      </c>
      <c r="AY879" s="88" t="str">
        <f>HYPERLINK("http://www.bing.com/maps/?lvl=14&amp;sty=h&amp;cp=30.5448~47.7894&amp;sp=point.30.5448_47.7894","Maplink3")</f>
        <v>Maplink3</v>
      </c>
      <c r="AZ879" s="76"/>
    </row>
    <row r="880" spans="1:52" x14ac:dyDescent="0.25">
      <c r="A880" s="86">
        <v>910</v>
      </c>
      <c r="B880" s="87" t="s">
        <v>15</v>
      </c>
      <c r="C880" s="87" t="s">
        <v>15</v>
      </c>
      <c r="D880" s="87" t="s">
        <v>1770</v>
      </c>
      <c r="E880" s="87" t="s">
        <v>1771</v>
      </c>
      <c r="F880" s="87">
        <v>30.513022500000002</v>
      </c>
      <c r="G880" s="87">
        <v>47.804324000000001</v>
      </c>
      <c r="H880" s="86">
        <v>2</v>
      </c>
      <c r="I880" s="86">
        <v>12</v>
      </c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>
        <v>2</v>
      </c>
      <c r="W880" s="87"/>
      <c r="X880" s="87"/>
      <c r="Y880" s="87"/>
      <c r="Z880" s="87"/>
      <c r="AA880" s="87"/>
      <c r="AB880" s="87"/>
      <c r="AC880" s="87">
        <v>2</v>
      </c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>
        <v>1</v>
      </c>
      <c r="AP880" s="87"/>
      <c r="AQ880" s="87"/>
      <c r="AR880" s="87"/>
      <c r="AS880" s="87"/>
      <c r="AT880" s="87">
        <v>1</v>
      </c>
      <c r="AU880" s="87"/>
      <c r="AV880" s="87"/>
      <c r="AW880" s="88" t="str">
        <f>HYPERLINK("http://www.openstreetmap.org/?mlat=30.513&amp;mlon=47.8043&amp;zoom=12#map=12/30.513/47.8043","Maplink1")</f>
        <v>Maplink1</v>
      </c>
      <c r="AX880" s="88" t="str">
        <f>HYPERLINK("https://www.google.iq/maps/search/+30.513,47.8043/@30.513,47.8043,14z?hl=en","Maplink2")</f>
        <v>Maplink2</v>
      </c>
      <c r="AY880" s="88" t="str">
        <f>HYPERLINK("http://www.bing.com/maps/?lvl=14&amp;sty=h&amp;cp=30.513~47.8043&amp;sp=point.30.513_47.8043","Maplink3")</f>
        <v>Maplink3</v>
      </c>
      <c r="AZ880" s="76"/>
    </row>
    <row r="881" spans="1:52" x14ac:dyDescent="0.25">
      <c r="A881" s="86">
        <v>1284</v>
      </c>
      <c r="B881" s="87" t="s">
        <v>15</v>
      </c>
      <c r="C881" s="87" t="s">
        <v>15</v>
      </c>
      <c r="D881" s="87" t="s">
        <v>1772</v>
      </c>
      <c r="E881" s="87" t="s">
        <v>1773</v>
      </c>
      <c r="F881" s="87">
        <v>30.494775799999999</v>
      </c>
      <c r="G881" s="87">
        <v>47.810935700000002</v>
      </c>
      <c r="H881" s="86">
        <v>4</v>
      </c>
      <c r="I881" s="86">
        <v>24</v>
      </c>
      <c r="J881" s="87">
        <v>3</v>
      </c>
      <c r="K881" s="87"/>
      <c r="L881" s="87"/>
      <c r="M881" s="87"/>
      <c r="N881" s="87"/>
      <c r="O881" s="87">
        <v>1</v>
      </c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>
        <v>1</v>
      </c>
      <c r="AD881" s="87"/>
      <c r="AE881" s="87"/>
      <c r="AF881" s="87"/>
      <c r="AG881" s="87"/>
      <c r="AH881" s="87">
        <v>3</v>
      </c>
      <c r="AI881" s="87"/>
      <c r="AJ881" s="87"/>
      <c r="AK881" s="87"/>
      <c r="AL881" s="87"/>
      <c r="AM881" s="87"/>
      <c r="AN881" s="87"/>
      <c r="AO881" s="87"/>
      <c r="AP881" s="87">
        <v>1</v>
      </c>
      <c r="AQ881" s="87">
        <v>3</v>
      </c>
      <c r="AR881" s="87"/>
      <c r="AS881" s="87"/>
      <c r="AT881" s="87"/>
      <c r="AU881" s="87"/>
      <c r="AV881" s="87"/>
      <c r="AW881" s="88" t="str">
        <f>HYPERLINK("http://www.openstreetmap.org/?mlat=30.4948&amp;mlon=47.8109&amp;zoom=12#map=12/30.4948/47.8109","Maplink1")</f>
        <v>Maplink1</v>
      </c>
      <c r="AX881" s="88" t="str">
        <f>HYPERLINK("https://www.google.iq/maps/search/+30.4948,47.8109/@30.4948,47.8109,14z?hl=en","Maplink2")</f>
        <v>Maplink2</v>
      </c>
      <c r="AY881" s="88" t="str">
        <f>HYPERLINK("http://www.bing.com/maps/?lvl=14&amp;sty=h&amp;cp=30.4948~47.8109&amp;sp=point.30.4948_47.8109","Maplink3")</f>
        <v>Maplink3</v>
      </c>
      <c r="AZ881" s="76"/>
    </row>
    <row r="882" spans="1:52" x14ac:dyDescent="0.25">
      <c r="A882" s="86">
        <v>914</v>
      </c>
      <c r="B882" s="87" t="s">
        <v>15</v>
      </c>
      <c r="C882" s="87" t="s">
        <v>15</v>
      </c>
      <c r="D882" s="87" t="s">
        <v>1774</v>
      </c>
      <c r="E882" s="87" t="s">
        <v>1775</v>
      </c>
      <c r="F882" s="87">
        <v>30.506441200000001</v>
      </c>
      <c r="G882" s="87">
        <v>47.762365000000003</v>
      </c>
      <c r="H882" s="86">
        <v>3</v>
      </c>
      <c r="I882" s="86">
        <v>18</v>
      </c>
      <c r="J882" s="87"/>
      <c r="K882" s="87"/>
      <c r="L882" s="87"/>
      <c r="M882" s="87"/>
      <c r="N882" s="87"/>
      <c r="O882" s="87"/>
      <c r="P882" s="87"/>
      <c r="Q882" s="87"/>
      <c r="R882" s="87">
        <v>1</v>
      </c>
      <c r="S882" s="87"/>
      <c r="T882" s="87"/>
      <c r="U882" s="87"/>
      <c r="V882" s="87">
        <v>1</v>
      </c>
      <c r="W882" s="87"/>
      <c r="X882" s="87">
        <v>1</v>
      </c>
      <c r="Y882" s="87"/>
      <c r="Z882" s="87"/>
      <c r="AA882" s="87"/>
      <c r="AB882" s="87"/>
      <c r="AC882" s="87">
        <v>2</v>
      </c>
      <c r="AD882" s="87"/>
      <c r="AE882" s="87"/>
      <c r="AF882" s="87"/>
      <c r="AG882" s="87"/>
      <c r="AH882" s="87">
        <v>1</v>
      </c>
      <c r="AI882" s="87"/>
      <c r="AJ882" s="87"/>
      <c r="AK882" s="87"/>
      <c r="AL882" s="87"/>
      <c r="AM882" s="87"/>
      <c r="AN882" s="87"/>
      <c r="AO882" s="87"/>
      <c r="AP882" s="87">
        <v>3</v>
      </c>
      <c r="AQ882" s="87"/>
      <c r="AR882" s="87"/>
      <c r="AS882" s="87"/>
      <c r="AT882" s="87"/>
      <c r="AU882" s="87"/>
      <c r="AV882" s="87"/>
      <c r="AW882" s="88" t="str">
        <f>HYPERLINK("http://www.openstreetmap.org/?mlat=30.5064&amp;mlon=47.7624&amp;zoom=12#map=12/30.5064/47.7624","Maplink1")</f>
        <v>Maplink1</v>
      </c>
      <c r="AX882" s="88" t="str">
        <f>HYPERLINK("https://www.google.iq/maps/search/+30.5064,47.7624/@30.5064,47.7624,14z?hl=en","Maplink2")</f>
        <v>Maplink2</v>
      </c>
      <c r="AY882" s="88" t="str">
        <f>HYPERLINK("http://www.bing.com/maps/?lvl=14&amp;sty=h&amp;cp=30.5064~47.7624&amp;sp=point.30.5064_47.7624","Maplink3")</f>
        <v>Maplink3</v>
      </c>
      <c r="AZ882" s="76"/>
    </row>
    <row r="883" spans="1:52" x14ac:dyDescent="0.25">
      <c r="A883" s="86">
        <v>966</v>
      </c>
      <c r="B883" s="87" t="s">
        <v>15</v>
      </c>
      <c r="C883" s="87" t="s">
        <v>15</v>
      </c>
      <c r="D883" s="87" t="s">
        <v>1776</v>
      </c>
      <c r="E883" s="87" t="s">
        <v>1777</v>
      </c>
      <c r="F883" s="87">
        <v>30.5375143909</v>
      </c>
      <c r="G883" s="87">
        <v>47.809472561</v>
      </c>
      <c r="H883" s="86">
        <v>4</v>
      </c>
      <c r="I883" s="86">
        <v>24</v>
      </c>
      <c r="J883" s="87">
        <v>1</v>
      </c>
      <c r="K883" s="87"/>
      <c r="L883" s="87"/>
      <c r="M883" s="87"/>
      <c r="N883" s="87"/>
      <c r="O883" s="87">
        <v>1</v>
      </c>
      <c r="P883" s="87"/>
      <c r="Q883" s="87"/>
      <c r="R883" s="87">
        <v>1</v>
      </c>
      <c r="S883" s="87"/>
      <c r="T883" s="87"/>
      <c r="U883" s="87"/>
      <c r="V883" s="87">
        <v>1</v>
      </c>
      <c r="W883" s="87"/>
      <c r="X883" s="87"/>
      <c r="Y883" s="87"/>
      <c r="Z883" s="87"/>
      <c r="AA883" s="87"/>
      <c r="AB883" s="87"/>
      <c r="AC883" s="87">
        <v>3</v>
      </c>
      <c r="AD883" s="87"/>
      <c r="AE883" s="87"/>
      <c r="AF883" s="87"/>
      <c r="AG883" s="87"/>
      <c r="AH883" s="87">
        <v>1</v>
      </c>
      <c r="AI883" s="87"/>
      <c r="AJ883" s="87"/>
      <c r="AK883" s="87"/>
      <c r="AL883" s="87"/>
      <c r="AM883" s="87"/>
      <c r="AN883" s="87"/>
      <c r="AO883" s="87">
        <v>1</v>
      </c>
      <c r="AP883" s="87">
        <v>1</v>
      </c>
      <c r="AQ883" s="87">
        <v>2</v>
      </c>
      <c r="AR883" s="87"/>
      <c r="AS883" s="87"/>
      <c r="AT883" s="87"/>
      <c r="AU883" s="87"/>
      <c r="AV883" s="87"/>
      <c r="AW883" s="88" t="str">
        <f>HYPERLINK("http://www.openstreetmap.org/?mlat=30.5375&amp;mlon=47.8095&amp;zoom=12#map=12/30.5375/47.8095","Maplink1")</f>
        <v>Maplink1</v>
      </c>
      <c r="AX883" s="88" t="str">
        <f>HYPERLINK("https://www.google.iq/maps/search/+30.5375,47.8095/@30.5375,47.8095,14z?hl=en","Maplink2")</f>
        <v>Maplink2</v>
      </c>
      <c r="AY883" s="88" t="str">
        <f>HYPERLINK("http://www.bing.com/maps/?lvl=14&amp;sty=h&amp;cp=30.5375~47.8095&amp;sp=point.30.5375_47.8095","Maplink3")</f>
        <v>Maplink3</v>
      </c>
      <c r="AZ883" s="76"/>
    </row>
    <row r="884" spans="1:52" x14ac:dyDescent="0.25">
      <c r="A884" s="86">
        <v>1048</v>
      </c>
      <c r="B884" s="87" t="s">
        <v>15</v>
      </c>
      <c r="C884" s="87" t="s">
        <v>15</v>
      </c>
      <c r="D884" s="87" t="s">
        <v>1778</v>
      </c>
      <c r="E884" s="87" t="s">
        <v>1779</v>
      </c>
      <c r="F884" s="87">
        <v>30.677143300000001</v>
      </c>
      <c r="G884" s="87">
        <v>47.745237899999999</v>
      </c>
      <c r="H884" s="86">
        <v>2</v>
      </c>
      <c r="I884" s="86">
        <v>12</v>
      </c>
      <c r="J884" s="87"/>
      <c r="K884" s="87">
        <v>2</v>
      </c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>
        <v>2</v>
      </c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>
        <v>2</v>
      </c>
      <c r="AR884" s="87"/>
      <c r="AS884" s="87"/>
      <c r="AT884" s="87"/>
      <c r="AU884" s="87"/>
      <c r="AV884" s="87"/>
      <c r="AW884" s="88" t="str">
        <f>HYPERLINK("http://www.openstreetmap.org/?mlat=30.6771&amp;mlon=47.7452&amp;zoom=12#map=12/30.6771/47.7452","Maplink1")</f>
        <v>Maplink1</v>
      </c>
      <c r="AX884" s="88" t="str">
        <f>HYPERLINK("https://www.google.iq/maps/search/+30.6771,47.7452/@30.6771,47.7452,14z?hl=en","Maplink2")</f>
        <v>Maplink2</v>
      </c>
      <c r="AY884" s="88" t="str">
        <f>HYPERLINK("http://www.bing.com/maps/?lvl=14&amp;sty=h&amp;cp=30.6771~47.7452&amp;sp=point.30.6771_47.7452","Maplink3")</f>
        <v>Maplink3</v>
      </c>
      <c r="AZ884" s="76"/>
    </row>
    <row r="885" spans="1:52" x14ac:dyDescent="0.25">
      <c r="A885" s="86">
        <v>934</v>
      </c>
      <c r="B885" s="87" t="s">
        <v>15</v>
      </c>
      <c r="C885" s="87" t="s">
        <v>15</v>
      </c>
      <c r="D885" s="87" t="s">
        <v>1780</v>
      </c>
      <c r="E885" s="87" t="s">
        <v>1781</v>
      </c>
      <c r="F885" s="87">
        <v>30.5272782877</v>
      </c>
      <c r="G885" s="87">
        <v>47.786994979900001</v>
      </c>
      <c r="H885" s="86">
        <v>2</v>
      </c>
      <c r="I885" s="86">
        <v>12</v>
      </c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>
        <v>2</v>
      </c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>
        <v>2</v>
      </c>
      <c r="AI885" s="87"/>
      <c r="AJ885" s="87"/>
      <c r="AK885" s="87"/>
      <c r="AL885" s="87"/>
      <c r="AM885" s="87"/>
      <c r="AN885" s="87">
        <v>1</v>
      </c>
      <c r="AO885" s="87"/>
      <c r="AP885" s="87"/>
      <c r="AQ885" s="87">
        <v>1</v>
      </c>
      <c r="AR885" s="87"/>
      <c r="AS885" s="87"/>
      <c r="AT885" s="87"/>
      <c r="AU885" s="87"/>
      <c r="AV885" s="87"/>
      <c r="AW885" s="88" t="str">
        <f>HYPERLINK("http://www.openstreetmap.org/?mlat=30.5273&amp;mlon=47.787&amp;zoom=12#map=12/30.5273/47.787","Maplink1")</f>
        <v>Maplink1</v>
      </c>
      <c r="AX885" s="88" t="str">
        <f>HYPERLINK("https://www.google.iq/maps/search/+30.5273,47.787/@30.5273,47.787,14z?hl=en","Maplink2")</f>
        <v>Maplink2</v>
      </c>
      <c r="AY885" s="88" t="str">
        <f>HYPERLINK("http://www.bing.com/maps/?lvl=14&amp;sty=h&amp;cp=30.5273~47.787&amp;sp=point.30.5273_47.787","Maplink3")</f>
        <v>Maplink3</v>
      </c>
      <c r="AZ885" s="76"/>
    </row>
    <row r="886" spans="1:52" x14ac:dyDescent="0.25">
      <c r="A886" s="86">
        <v>28473</v>
      </c>
      <c r="B886" s="87" t="s">
        <v>15</v>
      </c>
      <c r="C886" s="87" t="s">
        <v>15</v>
      </c>
      <c r="D886" s="87" t="s">
        <v>1782</v>
      </c>
      <c r="E886" s="87" t="s">
        <v>1783</v>
      </c>
      <c r="F886" s="87">
        <v>30.483625199999999</v>
      </c>
      <c r="G886" s="87">
        <v>47.822147100000002</v>
      </c>
      <c r="H886" s="86">
        <v>1</v>
      </c>
      <c r="I886" s="86">
        <v>6</v>
      </c>
      <c r="J886" s="87">
        <v>1</v>
      </c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>
        <v>1</v>
      </c>
      <c r="AI886" s="87"/>
      <c r="AJ886" s="87"/>
      <c r="AK886" s="87"/>
      <c r="AL886" s="87"/>
      <c r="AM886" s="87"/>
      <c r="AN886" s="87"/>
      <c r="AO886" s="87">
        <v>1</v>
      </c>
      <c r="AP886" s="87"/>
      <c r="AQ886" s="87"/>
      <c r="AR886" s="87"/>
      <c r="AS886" s="87"/>
      <c r="AT886" s="87"/>
      <c r="AU886" s="87"/>
      <c r="AV886" s="87"/>
      <c r="AW886" s="88" t="str">
        <f>HYPERLINK("http://www.openstreetmap.org/?mlat=30.4836&amp;mlon=47.8221&amp;zoom=12#map=12/30.4836/47.8221","Maplink1")</f>
        <v>Maplink1</v>
      </c>
      <c r="AX886" s="88" t="str">
        <f>HYPERLINK("https://www.google.iq/maps/search/+30.4836,47.8221/@30.4836,47.8221,14z?hl=en","Maplink2")</f>
        <v>Maplink2</v>
      </c>
      <c r="AY886" s="88" t="str">
        <f>HYPERLINK("http://www.bing.com/maps/?lvl=14&amp;sty=h&amp;cp=30.4836~47.8221&amp;sp=point.30.4836_47.8221","Maplink3")</f>
        <v>Maplink3</v>
      </c>
      <c r="AZ886" s="76"/>
    </row>
    <row r="887" spans="1:52" x14ac:dyDescent="0.25">
      <c r="A887" s="86">
        <v>954</v>
      </c>
      <c r="B887" s="87" t="s">
        <v>15</v>
      </c>
      <c r="C887" s="87" t="s">
        <v>15</v>
      </c>
      <c r="D887" s="87" t="s">
        <v>1784</v>
      </c>
      <c r="E887" s="87" t="s">
        <v>1785</v>
      </c>
      <c r="F887" s="87">
        <v>30.537725310300001</v>
      </c>
      <c r="G887" s="87">
        <v>47.780302758700003</v>
      </c>
      <c r="H887" s="86">
        <v>5</v>
      </c>
      <c r="I887" s="86">
        <v>30</v>
      </c>
      <c r="J887" s="87">
        <v>1</v>
      </c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>
        <v>1</v>
      </c>
      <c r="W887" s="87"/>
      <c r="X887" s="87">
        <v>3</v>
      </c>
      <c r="Y887" s="87"/>
      <c r="Z887" s="87"/>
      <c r="AA887" s="87"/>
      <c r="AB887" s="87"/>
      <c r="AC887" s="87">
        <v>2</v>
      </c>
      <c r="AD887" s="87"/>
      <c r="AE887" s="87"/>
      <c r="AF887" s="87"/>
      <c r="AG887" s="87"/>
      <c r="AH887" s="87">
        <v>3</v>
      </c>
      <c r="AI887" s="87"/>
      <c r="AJ887" s="87"/>
      <c r="AK887" s="87"/>
      <c r="AL887" s="87"/>
      <c r="AM887" s="87"/>
      <c r="AN887" s="87">
        <v>1</v>
      </c>
      <c r="AO887" s="87"/>
      <c r="AP887" s="87">
        <v>2</v>
      </c>
      <c r="AQ887" s="87">
        <v>2</v>
      </c>
      <c r="AR887" s="87"/>
      <c r="AS887" s="87"/>
      <c r="AT887" s="87"/>
      <c r="AU887" s="87"/>
      <c r="AV887" s="87"/>
      <c r="AW887" s="88" t="str">
        <f>HYPERLINK("http://www.openstreetmap.org/?mlat=30.5377&amp;mlon=47.7803&amp;zoom=12#map=12/30.5377/47.7803","Maplink1")</f>
        <v>Maplink1</v>
      </c>
      <c r="AX887" s="88" t="str">
        <f>HYPERLINK("https://www.google.iq/maps/search/+30.5377,47.7803/@30.5377,47.7803,14z?hl=en","Maplink2")</f>
        <v>Maplink2</v>
      </c>
      <c r="AY887" s="88" t="str">
        <f>HYPERLINK("http://www.bing.com/maps/?lvl=14&amp;sty=h&amp;cp=30.5377~47.7803&amp;sp=point.30.5377_47.7803","Maplink3")</f>
        <v>Maplink3</v>
      </c>
      <c r="AZ887" s="76"/>
    </row>
    <row r="888" spans="1:52" x14ac:dyDescent="0.25">
      <c r="A888" s="86">
        <v>24124</v>
      </c>
      <c r="B888" s="87" t="s">
        <v>15</v>
      </c>
      <c r="C888" s="87" t="s">
        <v>15</v>
      </c>
      <c r="D888" s="87" t="s">
        <v>1786</v>
      </c>
      <c r="E888" s="87" t="s">
        <v>1787</v>
      </c>
      <c r="F888" s="87">
        <v>30.503423399999999</v>
      </c>
      <c r="G888" s="87">
        <v>47.774917199999997</v>
      </c>
      <c r="H888" s="86">
        <v>2</v>
      </c>
      <c r="I888" s="86">
        <v>12</v>
      </c>
      <c r="J888" s="87">
        <v>2</v>
      </c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>
        <v>1</v>
      </c>
      <c r="AH888" s="87">
        <v>1</v>
      </c>
      <c r="AI888" s="87"/>
      <c r="AJ888" s="87"/>
      <c r="AK888" s="87"/>
      <c r="AL888" s="87"/>
      <c r="AM888" s="87"/>
      <c r="AN888" s="87"/>
      <c r="AO888" s="87"/>
      <c r="AP888" s="87">
        <v>1</v>
      </c>
      <c r="AQ888" s="87">
        <v>1</v>
      </c>
      <c r="AR888" s="87"/>
      <c r="AS888" s="87"/>
      <c r="AT888" s="87"/>
      <c r="AU888" s="87"/>
      <c r="AV888" s="87"/>
      <c r="AW888" s="88" t="str">
        <f>HYPERLINK("http://www.openstreetmap.org/?mlat=30.5034&amp;mlon=47.7749&amp;zoom=12#map=12/30.5034/47.7749","Maplink1")</f>
        <v>Maplink1</v>
      </c>
      <c r="AX888" s="88" t="str">
        <f>HYPERLINK("https://www.google.iq/maps/search/+30.5034,47.7749/@30.5034,47.7749,14z?hl=en","Maplink2")</f>
        <v>Maplink2</v>
      </c>
      <c r="AY888" s="88" t="str">
        <f>HYPERLINK("http://www.bing.com/maps/?lvl=14&amp;sty=h&amp;cp=30.5034~47.7749&amp;sp=point.30.5034_47.7749","Maplink3")</f>
        <v>Maplink3</v>
      </c>
      <c r="AZ888" s="76"/>
    </row>
    <row r="889" spans="1:52" x14ac:dyDescent="0.25">
      <c r="A889" s="86">
        <v>869</v>
      </c>
      <c r="B889" s="87" t="s">
        <v>15</v>
      </c>
      <c r="C889" s="87" t="s">
        <v>15</v>
      </c>
      <c r="D889" s="87" t="s">
        <v>1788</v>
      </c>
      <c r="E889" s="87" t="s">
        <v>1789</v>
      </c>
      <c r="F889" s="87">
        <v>30.496869199999999</v>
      </c>
      <c r="G889" s="87">
        <v>47.772865799999998</v>
      </c>
      <c r="H889" s="86">
        <v>2</v>
      </c>
      <c r="I889" s="86">
        <v>12</v>
      </c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>
        <v>1</v>
      </c>
      <c r="W889" s="87"/>
      <c r="X889" s="87">
        <v>1</v>
      </c>
      <c r="Y889" s="87"/>
      <c r="Z889" s="87"/>
      <c r="AA889" s="87"/>
      <c r="AB889" s="87"/>
      <c r="AC889" s="87">
        <v>1</v>
      </c>
      <c r="AD889" s="87"/>
      <c r="AE889" s="87"/>
      <c r="AF889" s="87"/>
      <c r="AG889" s="87"/>
      <c r="AH889" s="87">
        <v>1</v>
      </c>
      <c r="AI889" s="87"/>
      <c r="AJ889" s="87"/>
      <c r="AK889" s="87"/>
      <c r="AL889" s="87"/>
      <c r="AM889" s="87"/>
      <c r="AN889" s="87">
        <v>1</v>
      </c>
      <c r="AO889" s="87"/>
      <c r="AP889" s="87"/>
      <c r="AQ889" s="87"/>
      <c r="AR889" s="87"/>
      <c r="AS889" s="87"/>
      <c r="AT889" s="87">
        <v>1</v>
      </c>
      <c r="AU889" s="87"/>
      <c r="AV889" s="87"/>
      <c r="AW889" s="88" t="str">
        <f>HYPERLINK("http://www.openstreetmap.org/?mlat=30.4969&amp;mlon=47.7729&amp;zoom=12#map=12/30.4969/47.7729","Maplink1")</f>
        <v>Maplink1</v>
      </c>
      <c r="AX889" s="88" t="str">
        <f>HYPERLINK("https://www.google.iq/maps/search/+30.4969,47.7729/@30.4969,47.7729,14z?hl=en","Maplink2")</f>
        <v>Maplink2</v>
      </c>
      <c r="AY889" s="88" t="str">
        <f>HYPERLINK("http://www.bing.com/maps/?lvl=14&amp;sty=h&amp;cp=30.4969~47.7729&amp;sp=point.30.4969_47.7729","Maplink3")</f>
        <v>Maplink3</v>
      </c>
      <c r="AZ889" s="76"/>
    </row>
    <row r="890" spans="1:52" x14ac:dyDescent="0.25">
      <c r="A890" s="86">
        <v>854</v>
      </c>
      <c r="B890" s="87" t="s">
        <v>15</v>
      </c>
      <c r="C890" s="87" t="s">
        <v>15</v>
      </c>
      <c r="D890" s="87" t="s">
        <v>1790</v>
      </c>
      <c r="E890" s="87" t="s">
        <v>1791</v>
      </c>
      <c r="F890" s="87">
        <v>30.4915877</v>
      </c>
      <c r="G890" s="87">
        <v>47.799597721799998</v>
      </c>
      <c r="H890" s="86">
        <v>4</v>
      </c>
      <c r="I890" s="86">
        <v>24</v>
      </c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>
        <v>4</v>
      </c>
      <c r="W890" s="87"/>
      <c r="X890" s="87"/>
      <c r="Y890" s="87"/>
      <c r="Z890" s="87"/>
      <c r="AA890" s="87"/>
      <c r="AB890" s="87"/>
      <c r="AC890" s="87">
        <v>4</v>
      </c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>
        <v>1</v>
      </c>
      <c r="AQ890" s="87">
        <v>2</v>
      </c>
      <c r="AR890" s="87">
        <v>1</v>
      </c>
      <c r="AS890" s="87"/>
      <c r="AT890" s="87"/>
      <c r="AU890" s="87"/>
      <c r="AV890" s="87"/>
      <c r="AW890" s="88" t="str">
        <f>HYPERLINK("http://www.openstreetmap.org/?mlat=30.4916&amp;mlon=47.7996&amp;zoom=12#map=12/30.4916/47.7996","Maplink1")</f>
        <v>Maplink1</v>
      </c>
      <c r="AX890" s="88" t="str">
        <f>HYPERLINK("https://www.google.iq/maps/search/+30.4916,47.7996/@30.4916,47.7996,14z?hl=en","Maplink2")</f>
        <v>Maplink2</v>
      </c>
      <c r="AY890" s="88" t="str">
        <f>HYPERLINK("http://www.bing.com/maps/?lvl=14&amp;sty=h&amp;cp=30.4916~47.7996&amp;sp=point.30.4916_47.7996","Maplink3")</f>
        <v>Maplink3</v>
      </c>
      <c r="AZ890" s="76"/>
    </row>
    <row r="891" spans="1:52" x14ac:dyDescent="0.25">
      <c r="A891" s="86">
        <v>933</v>
      </c>
      <c r="B891" s="87" t="s">
        <v>15</v>
      </c>
      <c r="C891" s="87" t="s">
        <v>15</v>
      </c>
      <c r="D891" s="87" t="s">
        <v>1792</v>
      </c>
      <c r="E891" s="87" t="s">
        <v>1793</v>
      </c>
      <c r="F891" s="87">
        <v>30.5224816084</v>
      </c>
      <c r="G891" s="87">
        <v>47.8092186461</v>
      </c>
      <c r="H891" s="86">
        <v>1</v>
      </c>
      <c r="I891" s="86">
        <v>6</v>
      </c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>
        <v>1</v>
      </c>
      <c r="W891" s="87"/>
      <c r="X891" s="87"/>
      <c r="Y891" s="87"/>
      <c r="Z891" s="87"/>
      <c r="AA891" s="87"/>
      <c r="AB891" s="87"/>
      <c r="AC891" s="87">
        <v>1</v>
      </c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>
        <v>1</v>
      </c>
      <c r="AP891" s="87"/>
      <c r="AQ891" s="87"/>
      <c r="AR891" s="87"/>
      <c r="AS891" s="87"/>
      <c r="AT891" s="87"/>
      <c r="AU891" s="87"/>
      <c r="AV891" s="87"/>
      <c r="AW891" s="88" t="str">
        <f>HYPERLINK("http://www.openstreetmap.org/?mlat=30.5225&amp;mlon=47.8092&amp;zoom=12#map=12/30.5225/47.8092","Maplink1")</f>
        <v>Maplink1</v>
      </c>
      <c r="AX891" s="88" t="str">
        <f>HYPERLINK("https://www.google.iq/maps/search/+30.5225,47.8092/@30.5225,47.8092,14z?hl=en","Maplink2")</f>
        <v>Maplink2</v>
      </c>
      <c r="AY891" s="88" t="str">
        <f>HYPERLINK("http://www.bing.com/maps/?lvl=14&amp;sty=h&amp;cp=30.5225~47.8092&amp;sp=point.30.5225_47.8092","Maplink3")</f>
        <v>Maplink3</v>
      </c>
      <c r="AZ891" s="76"/>
    </row>
    <row r="892" spans="1:52" x14ac:dyDescent="0.25">
      <c r="A892" s="86">
        <v>602</v>
      </c>
      <c r="B892" s="87" t="s">
        <v>15</v>
      </c>
      <c r="C892" s="87" t="s">
        <v>15</v>
      </c>
      <c r="D892" s="87" t="s">
        <v>1794</v>
      </c>
      <c r="E892" s="87" t="s">
        <v>1795</v>
      </c>
      <c r="F892" s="87">
        <v>30.464642099999999</v>
      </c>
      <c r="G892" s="87">
        <v>47.7885523952</v>
      </c>
      <c r="H892" s="86">
        <v>11</v>
      </c>
      <c r="I892" s="86">
        <v>66</v>
      </c>
      <c r="J892" s="87">
        <v>2</v>
      </c>
      <c r="K892" s="87"/>
      <c r="L892" s="87"/>
      <c r="M892" s="87"/>
      <c r="N892" s="87"/>
      <c r="O892" s="87">
        <v>2</v>
      </c>
      <c r="P892" s="87"/>
      <c r="Q892" s="87"/>
      <c r="R892" s="87"/>
      <c r="S892" s="87"/>
      <c r="T892" s="87"/>
      <c r="U892" s="87"/>
      <c r="V892" s="87"/>
      <c r="W892" s="87"/>
      <c r="X892" s="87">
        <v>7</v>
      </c>
      <c r="Y892" s="87"/>
      <c r="Z892" s="87"/>
      <c r="AA892" s="87"/>
      <c r="AB892" s="87"/>
      <c r="AC892" s="87">
        <v>2</v>
      </c>
      <c r="AD892" s="87"/>
      <c r="AE892" s="87"/>
      <c r="AF892" s="87"/>
      <c r="AG892" s="87"/>
      <c r="AH892" s="87">
        <v>9</v>
      </c>
      <c r="AI892" s="87"/>
      <c r="AJ892" s="87"/>
      <c r="AK892" s="87"/>
      <c r="AL892" s="87"/>
      <c r="AM892" s="87"/>
      <c r="AN892" s="87"/>
      <c r="AO892" s="87">
        <v>4</v>
      </c>
      <c r="AP892" s="87">
        <v>3</v>
      </c>
      <c r="AQ892" s="87">
        <v>3</v>
      </c>
      <c r="AR892" s="87">
        <v>1</v>
      </c>
      <c r="AS892" s="87"/>
      <c r="AT892" s="87"/>
      <c r="AU892" s="87"/>
      <c r="AV892" s="87"/>
      <c r="AW892" s="88" t="str">
        <f>HYPERLINK("http://www.openstreetmap.org/?mlat=30.4646&amp;mlon=47.7886&amp;zoom=12#map=12/30.4646/47.7886","Maplink1")</f>
        <v>Maplink1</v>
      </c>
      <c r="AX892" s="88" t="str">
        <f>HYPERLINK("https://www.google.iq/maps/search/+30.4646,47.7886/@30.4646,47.7886,14z?hl=en","Maplink2")</f>
        <v>Maplink2</v>
      </c>
      <c r="AY892" s="88" t="str">
        <f>HYPERLINK("http://www.bing.com/maps/?lvl=14&amp;sty=h&amp;cp=30.4646~47.7886&amp;sp=point.30.4646_47.7886","Maplink3")</f>
        <v>Maplink3</v>
      </c>
      <c r="AZ892" s="76"/>
    </row>
    <row r="893" spans="1:52" x14ac:dyDescent="0.25">
      <c r="A893" s="86">
        <v>874</v>
      </c>
      <c r="B893" s="87" t="s">
        <v>15</v>
      </c>
      <c r="C893" s="87" t="s">
        <v>15</v>
      </c>
      <c r="D893" s="87" t="s">
        <v>1796</v>
      </c>
      <c r="E893" s="87" t="s">
        <v>1797</v>
      </c>
      <c r="F893" s="87">
        <v>30.496512299999999</v>
      </c>
      <c r="G893" s="87">
        <v>47.807957299999998</v>
      </c>
      <c r="H893" s="86">
        <v>1</v>
      </c>
      <c r="I893" s="86">
        <v>6</v>
      </c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>
        <v>1</v>
      </c>
      <c r="Y893" s="87"/>
      <c r="Z893" s="87"/>
      <c r="AA893" s="87"/>
      <c r="AB893" s="87"/>
      <c r="AC893" s="87"/>
      <c r="AD893" s="87"/>
      <c r="AE893" s="87"/>
      <c r="AF893" s="87"/>
      <c r="AG893" s="87"/>
      <c r="AH893" s="87">
        <v>1</v>
      </c>
      <c r="AI893" s="87"/>
      <c r="AJ893" s="87"/>
      <c r="AK893" s="87"/>
      <c r="AL893" s="87"/>
      <c r="AM893" s="87"/>
      <c r="AN893" s="87"/>
      <c r="AO893" s="87">
        <v>1</v>
      </c>
      <c r="AP893" s="87"/>
      <c r="AQ893" s="87"/>
      <c r="AR893" s="87"/>
      <c r="AS893" s="87"/>
      <c r="AT893" s="87"/>
      <c r="AU893" s="87"/>
      <c r="AV893" s="87"/>
      <c r="AW893" s="88" t="str">
        <f>HYPERLINK("http://www.openstreetmap.org/?mlat=30.4965&amp;mlon=47.808&amp;zoom=12#map=12/30.4965/47.808","Maplink1")</f>
        <v>Maplink1</v>
      </c>
      <c r="AX893" s="88" t="str">
        <f>HYPERLINK("https://www.google.iq/maps/search/+30.4965,47.808/@30.4965,47.808,14z?hl=en","Maplink2")</f>
        <v>Maplink2</v>
      </c>
      <c r="AY893" s="88" t="str">
        <f>HYPERLINK("http://www.bing.com/maps/?lvl=14&amp;sty=h&amp;cp=30.4965~47.808&amp;sp=point.30.4965_47.808","Maplink3")</f>
        <v>Maplink3</v>
      </c>
      <c r="AZ893" s="76"/>
    </row>
    <row r="894" spans="1:52" x14ac:dyDescent="0.25">
      <c r="A894" s="86">
        <v>886</v>
      </c>
      <c r="B894" s="87" t="s">
        <v>15</v>
      </c>
      <c r="C894" s="87" t="s">
        <v>15</v>
      </c>
      <c r="D894" s="87" t="s">
        <v>1798</v>
      </c>
      <c r="E894" s="87" t="s">
        <v>1799</v>
      </c>
      <c r="F894" s="87">
        <v>30.5028733788</v>
      </c>
      <c r="G894" s="87">
        <v>47.833293064599999</v>
      </c>
      <c r="H894" s="86">
        <v>1</v>
      </c>
      <c r="I894" s="86">
        <v>6</v>
      </c>
      <c r="J894" s="87">
        <v>1</v>
      </c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>
        <v>1</v>
      </c>
      <c r="AI894" s="87"/>
      <c r="AJ894" s="87"/>
      <c r="AK894" s="87"/>
      <c r="AL894" s="87"/>
      <c r="AM894" s="87"/>
      <c r="AN894" s="87"/>
      <c r="AO894" s="87"/>
      <c r="AP894" s="87">
        <v>1</v>
      </c>
      <c r="AQ894" s="87"/>
      <c r="AR894" s="87"/>
      <c r="AS894" s="87"/>
      <c r="AT894" s="87"/>
      <c r="AU894" s="87"/>
      <c r="AV894" s="87"/>
      <c r="AW894" s="88" t="str">
        <f>HYPERLINK("http://www.openstreetmap.org/?mlat=30.5029&amp;mlon=47.8333&amp;zoom=12#map=12/30.5029/47.8333","Maplink1")</f>
        <v>Maplink1</v>
      </c>
      <c r="AX894" s="88" t="str">
        <f>HYPERLINK("https://www.google.iq/maps/search/+30.5029,47.8333/@30.5029,47.8333,14z?hl=en","Maplink2")</f>
        <v>Maplink2</v>
      </c>
      <c r="AY894" s="88" t="str">
        <f>HYPERLINK("http://www.bing.com/maps/?lvl=14&amp;sty=h&amp;cp=30.5029~47.8333&amp;sp=point.30.5029_47.8333","Maplink3")</f>
        <v>Maplink3</v>
      </c>
      <c r="AZ894" s="76"/>
    </row>
    <row r="895" spans="1:52" x14ac:dyDescent="0.25">
      <c r="A895" s="86">
        <v>33236</v>
      </c>
      <c r="B895" s="87" t="s">
        <v>15</v>
      </c>
      <c r="C895" s="87" t="s">
        <v>15</v>
      </c>
      <c r="D895" s="87" t="s">
        <v>425</v>
      </c>
      <c r="E895" s="87" t="s">
        <v>1800</v>
      </c>
      <c r="F895" s="87">
        <v>30.534793839300001</v>
      </c>
      <c r="G895" s="87">
        <v>47.775097619500002</v>
      </c>
      <c r="H895" s="86">
        <v>4</v>
      </c>
      <c r="I895" s="86">
        <v>24</v>
      </c>
      <c r="J895" s="87"/>
      <c r="K895" s="87"/>
      <c r="L895" s="87"/>
      <c r="M895" s="87"/>
      <c r="N895" s="87"/>
      <c r="O895" s="87"/>
      <c r="P895" s="87"/>
      <c r="Q895" s="87"/>
      <c r="R895" s="87">
        <v>1</v>
      </c>
      <c r="S895" s="87"/>
      <c r="T895" s="87"/>
      <c r="U895" s="87"/>
      <c r="V895" s="87">
        <v>3</v>
      </c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>
        <v>4</v>
      </c>
      <c r="AI895" s="87"/>
      <c r="AJ895" s="87"/>
      <c r="AK895" s="87"/>
      <c r="AL895" s="87"/>
      <c r="AM895" s="87"/>
      <c r="AN895" s="87">
        <v>1</v>
      </c>
      <c r="AO895" s="87">
        <v>1</v>
      </c>
      <c r="AP895" s="87">
        <v>2</v>
      </c>
      <c r="AQ895" s="87"/>
      <c r="AR895" s="87"/>
      <c r="AS895" s="87"/>
      <c r="AT895" s="87"/>
      <c r="AU895" s="87"/>
      <c r="AV895" s="87"/>
      <c r="AW895" s="88" t="str">
        <f>HYPERLINK("http://www.openstreetmap.org/?mlat=30.5348&amp;mlon=47.7751&amp;zoom=12#map=12/30.5348/47.7751","Maplink1")</f>
        <v>Maplink1</v>
      </c>
      <c r="AX895" s="88" t="str">
        <f>HYPERLINK("https://www.google.iq/maps/search/+30.5348,47.7751/@30.5348,47.7751,14z?hl=en","Maplink2")</f>
        <v>Maplink2</v>
      </c>
      <c r="AY895" s="88" t="str">
        <f>HYPERLINK("http://www.bing.com/maps/?lvl=14&amp;sty=h&amp;cp=30.5348~47.7751&amp;sp=point.30.5348_47.7751","Maplink3")</f>
        <v>Maplink3</v>
      </c>
      <c r="AZ895" s="76"/>
    </row>
    <row r="896" spans="1:52" x14ac:dyDescent="0.25">
      <c r="A896" s="86">
        <v>21099</v>
      </c>
      <c r="B896" s="87" t="s">
        <v>15</v>
      </c>
      <c r="C896" s="87" t="s">
        <v>15</v>
      </c>
      <c r="D896" s="87" t="s">
        <v>1801</v>
      </c>
      <c r="E896" s="87" t="s">
        <v>1802</v>
      </c>
      <c r="F896" s="87">
        <v>30.482281400000002</v>
      </c>
      <c r="G896" s="87">
        <v>47.789109699999997</v>
      </c>
      <c r="H896" s="86">
        <v>6</v>
      </c>
      <c r="I896" s="86">
        <v>36</v>
      </c>
      <c r="J896" s="87"/>
      <c r="K896" s="87"/>
      <c r="L896" s="87"/>
      <c r="M896" s="87"/>
      <c r="N896" s="87"/>
      <c r="O896" s="87"/>
      <c r="P896" s="87"/>
      <c r="Q896" s="87"/>
      <c r="R896" s="87">
        <v>2</v>
      </c>
      <c r="S896" s="87"/>
      <c r="T896" s="87"/>
      <c r="U896" s="87"/>
      <c r="V896" s="87">
        <v>3</v>
      </c>
      <c r="W896" s="87"/>
      <c r="X896" s="87">
        <v>1</v>
      </c>
      <c r="Y896" s="87"/>
      <c r="Z896" s="87"/>
      <c r="AA896" s="87"/>
      <c r="AB896" s="87"/>
      <c r="AC896" s="87">
        <v>1</v>
      </c>
      <c r="AD896" s="87"/>
      <c r="AE896" s="87">
        <v>3</v>
      </c>
      <c r="AF896" s="87"/>
      <c r="AG896" s="87"/>
      <c r="AH896" s="87">
        <v>2</v>
      </c>
      <c r="AI896" s="87"/>
      <c r="AJ896" s="87"/>
      <c r="AK896" s="87"/>
      <c r="AL896" s="87"/>
      <c r="AM896" s="87"/>
      <c r="AN896" s="87"/>
      <c r="AO896" s="87"/>
      <c r="AP896" s="87">
        <v>1</v>
      </c>
      <c r="AQ896" s="87">
        <v>5</v>
      </c>
      <c r="AR896" s="87"/>
      <c r="AS896" s="87"/>
      <c r="AT896" s="87"/>
      <c r="AU896" s="87"/>
      <c r="AV896" s="87"/>
      <c r="AW896" s="88" t="str">
        <f>HYPERLINK("http://www.openstreetmap.org/?mlat=30.4823&amp;mlon=47.7891&amp;zoom=12#map=12/30.4823/47.7891","Maplink1")</f>
        <v>Maplink1</v>
      </c>
      <c r="AX896" s="88" t="str">
        <f>HYPERLINK("https://www.google.iq/maps/search/+30.4823,47.7891/@30.4823,47.7891,14z?hl=en","Maplink2")</f>
        <v>Maplink2</v>
      </c>
      <c r="AY896" s="88" t="str">
        <f>HYPERLINK("http://www.bing.com/maps/?lvl=14&amp;sty=h&amp;cp=30.4823~47.7891&amp;sp=point.30.4823_47.7891","Maplink3")</f>
        <v>Maplink3</v>
      </c>
      <c r="AZ896" s="76"/>
    </row>
    <row r="897" spans="1:52" x14ac:dyDescent="0.25">
      <c r="A897" s="86">
        <v>23897</v>
      </c>
      <c r="B897" s="87" t="s">
        <v>15</v>
      </c>
      <c r="C897" s="87" t="s">
        <v>15</v>
      </c>
      <c r="D897" s="87" t="s">
        <v>1803</v>
      </c>
      <c r="E897" s="87" t="s">
        <v>1804</v>
      </c>
      <c r="F897" s="87">
        <v>30.4789195</v>
      </c>
      <c r="G897" s="87">
        <v>47.829860799999999</v>
      </c>
      <c r="H897" s="86">
        <v>4</v>
      </c>
      <c r="I897" s="86">
        <v>24</v>
      </c>
      <c r="J897" s="87">
        <v>3</v>
      </c>
      <c r="K897" s="87"/>
      <c r="L897" s="87"/>
      <c r="M897" s="87"/>
      <c r="N897" s="87"/>
      <c r="O897" s="87">
        <v>1</v>
      </c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>
        <v>3</v>
      </c>
      <c r="AF897" s="87"/>
      <c r="AG897" s="87"/>
      <c r="AH897" s="87">
        <v>1</v>
      </c>
      <c r="AI897" s="87"/>
      <c r="AJ897" s="87"/>
      <c r="AK897" s="87"/>
      <c r="AL897" s="87"/>
      <c r="AM897" s="87"/>
      <c r="AN897" s="87">
        <v>1</v>
      </c>
      <c r="AO897" s="87">
        <v>1</v>
      </c>
      <c r="AP897" s="87"/>
      <c r="AQ897" s="87">
        <v>2</v>
      </c>
      <c r="AR897" s="87"/>
      <c r="AS897" s="87"/>
      <c r="AT897" s="87"/>
      <c r="AU897" s="87"/>
      <c r="AV897" s="87"/>
      <c r="AW897" s="88" t="str">
        <f>HYPERLINK("http://www.openstreetmap.org/?mlat=30.4789&amp;mlon=47.8299&amp;zoom=12#map=12/30.4789/47.8299","Maplink1")</f>
        <v>Maplink1</v>
      </c>
      <c r="AX897" s="88" t="str">
        <f>HYPERLINK("https://www.google.iq/maps/search/+30.4789,47.8299/@30.4789,47.8299,14z?hl=en","Maplink2")</f>
        <v>Maplink2</v>
      </c>
      <c r="AY897" s="88" t="str">
        <f>HYPERLINK("http://www.bing.com/maps/?lvl=14&amp;sty=h&amp;cp=30.4789~47.8299&amp;sp=point.30.4789_47.8299","Maplink3")</f>
        <v>Maplink3</v>
      </c>
      <c r="AZ897" s="76"/>
    </row>
    <row r="898" spans="1:52" x14ac:dyDescent="0.25">
      <c r="A898" s="86">
        <v>24126</v>
      </c>
      <c r="B898" s="87" t="s">
        <v>15</v>
      </c>
      <c r="C898" s="87" t="s">
        <v>15</v>
      </c>
      <c r="D898" s="87" t="s">
        <v>1805</v>
      </c>
      <c r="E898" s="87" t="s">
        <v>1806</v>
      </c>
      <c r="F898" s="87">
        <v>30.473545600000001</v>
      </c>
      <c r="G898" s="87">
        <v>47.804901131000001</v>
      </c>
      <c r="H898" s="86">
        <v>10</v>
      </c>
      <c r="I898" s="86">
        <v>60</v>
      </c>
      <c r="J898" s="87">
        <v>2</v>
      </c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>
        <v>5</v>
      </c>
      <c r="W898" s="87"/>
      <c r="X898" s="87">
        <v>3</v>
      </c>
      <c r="Y898" s="87"/>
      <c r="Z898" s="87"/>
      <c r="AA898" s="87"/>
      <c r="AB898" s="87"/>
      <c r="AC898" s="87"/>
      <c r="AD898" s="87"/>
      <c r="AE898" s="87"/>
      <c r="AF898" s="87"/>
      <c r="AG898" s="87"/>
      <c r="AH898" s="87">
        <v>10</v>
      </c>
      <c r="AI898" s="87"/>
      <c r="AJ898" s="87"/>
      <c r="AK898" s="87"/>
      <c r="AL898" s="87"/>
      <c r="AM898" s="87"/>
      <c r="AN898" s="87"/>
      <c r="AO898" s="87">
        <v>3</v>
      </c>
      <c r="AP898" s="87">
        <v>3</v>
      </c>
      <c r="AQ898" s="87">
        <v>1</v>
      </c>
      <c r="AR898" s="87">
        <v>2</v>
      </c>
      <c r="AS898" s="87"/>
      <c r="AT898" s="87">
        <v>1</v>
      </c>
      <c r="AU898" s="87"/>
      <c r="AV898" s="87"/>
      <c r="AW898" s="88" t="str">
        <f>HYPERLINK("http://www.openstreetmap.org/?mlat=30.4735&amp;mlon=47.8049&amp;zoom=12#map=12/30.4735/47.8049","Maplink1")</f>
        <v>Maplink1</v>
      </c>
      <c r="AX898" s="88" t="str">
        <f>HYPERLINK("https://www.google.iq/maps/search/+30.4735,47.8049/@30.4735,47.8049,14z?hl=en","Maplink2")</f>
        <v>Maplink2</v>
      </c>
      <c r="AY898" s="88" t="str">
        <f>HYPERLINK("http://www.bing.com/maps/?lvl=14&amp;sty=h&amp;cp=30.4735~47.8049&amp;sp=point.30.4735_47.8049","Maplink3")</f>
        <v>Maplink3</v>
      </c>
      <c r="AZ898" s="76"/>
    </row>
    <row r="899" spans="1:52" x14ac:dyDescent="0.25">
      <c r="A899" s="86">
        <v>21096</v>
      </c>
      <c r="B899" s="87" t="s">
        <v>15</v>
      </c>
      <c r="C899" s="87" t="s">
        <v>15</v>
      </c>
      <c r="D899" s="87" t="s">
        <v>1807</v>
      </c>
      <c r="E899" s="87" t="s">
        <v>1808</v>
      </c>
      <c r="F899" s="87">
        <v>30.476898899599998</v>
      </c>
      <c r="G899" s="87">
        <v>47.815153243899999</v>
      </c>
      <c r="H899" s="86">
        <v>3</v>
      </c>
      <c r="I899" s="86">
        <v>18</v>
      </c>
      <c r="J899" s="87"/>
      <c r="K899" s="87"/>
      <c r="L899" s="87"/>
      <c r="M899" s="87"/>
      <c r="N899" s="87"/>
      <c r="O899" s="87"/>
      <c r="P899" s="87"/>
      <c r="Q899" s="87"/>
      <c r="R899" s="87">
        <v>2</v>
      </c>
      <c r="S899" s="87"/>
      <c r="T899" s="87"/>
      <c r="U899" s="87"/>
      <c r="V899" s="87">
        <v>1</v>
      </c>
      <c r="W899" s="87"/>
      <c r="X899" s="87"/>
      <c r="Y899" s="87"/>
      <c r="Z899" s="87"/>
      <c r="AA899" s="87"/>
      <c r="AB899" s="87"/>
      <c r="AC899" s="87">
        <v>2</v>
      </c>
      <c r="AD899" s="87"/>
      <c r="AE899" s="87"/>
      <c r="AF899" s="87"/>
      <c r="AG899" s="87"/>
      <c r="AH899" s="87">
        <v>1</v>
      </c>
      <c r="AI899" s="87"/>
      <c r="AJ899" s="87"/>
      <c r="AK899" s="87"/>
      <c r="AL899" s="87"/>
      <c r="AM899" s="87"/>
      <c r="AN899" s="87"/>
      <c r="AO899" s="87"/>
      <c r="AP899" s="87"/>
      <c r="AQ899" s="87">
        <v>2</v>
      </c>
      <c r="AR899" s="87"/>
      <c r="AS899" s="87">
        <v>1</v>
      </c>
      <c r="AT899" s="87"/>
      <c r="AU899" s="87"/>
      <c r="AV899" s="87"/>
      <c r="AW899" s="88" t="str">
        <f>HYPERLINK("http://www.openstreetmap.org/?mlat=30.4769&amp;mlon=47.8152&amp;zoom=12#map=12/30.4769/47.8152","Maplink1")</f>
        <v>Maplink1</v>
      </c>
      <c r="AX899" s="88" t="str">
        <f>HYPERLINK("https://www.google.iq/maps/search/+30.4769,47.8152/@30.4769,47.8152,14z?hl=en","Maplink2")</f>
        <v>Maplink2</v>
      </c>
      <c r="AY899" s="88" t="str">
        <f>HYPERLINK("http://www.bing.com/maps/?lvl=14&amp;sty=h&amp;cp=30.4769~47.8152&amp;sp=point.30.4769_47.8152","Maplink3")</f>
        <v>Maplink3</v>
      </c>
      <c r="AZ899" s="76"/>
    </row>
    <row r="900" spans="1:52" x14ac:dyDescent="0.25">
      <c r="A900" s="86">
        <v>22095</v>
      </c>
      <c r="B900" s="87" t="s">
        <v>15</v>
      </c>
      <c r="C900" s="87" t="s">
        <v>15</v>
      </c>
      <c r="D900" s="87" t="s">
        <v>1809</v>
      </c>
      <c r="E900" s="87" t="s">
        <v>1810</v>
      </c>
      <c r="F900" s="87">
        <v>30.460522947200001</v>
      </c>
      <c r="G900" s="87">
        <v>47.811367332000003</v>
      </c>
      <c r="H900" s="86">
        <v>2</v>
      </c>
      <c r="I900" s="86">
        <v>12</v>
      </c>
      <c r="J900" s="87"/>
      <c r="K900" s="87"/>
      <c r="L900" s="87">
        <v>2</v>
      </c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>
        <v>2</v>
      </c>
      <c r="AI900" s="87"/>
      <c r="AJ900" s="87"/>
      <c r="AK900" s="87"/>
      <c r="AL900" s="87"/>
      <c r="AM900" s="87"/>
      <c r="AN900" s="87"/>
      <c r="AO900" s="87"/>
      <c r="AP900" s="87">
        <v>2</v>
      </c>
      <c r="AQ900" s="87"/>
      <c r="AR900" s="87"/>
      <c r="AS900" s="87"/>
      <c r="AT900" s="87"/>
      <c r="AU900" s="87"/>
      <c r="AV900" s="87"/>
      <c r="AW900" s="88" t="str">
        <f>HYPERLINK("http://www.openstreetmap.org/?mlat=30.4605&amp;mlon=47.8114&amp;zoom=12#map=12/30.4605/47.8114","Maplink1")</f>
        <v>Maplink1</v>
      </c>
      <c r="AX900" s="88" t="str">
        <f>HYPERLINK("https://www.google.iq/maps/search/+30.4605,47.8114/@30.4605,47.8114,14z?hl=en","Maplink2")</f>
        <v>Maplink2</v>
      </c>
      <c r="AY900" s="88" t="str">
        <f>HYPERLINK("http://www.bing.com/maps/?lvl=14&amp;sty=h&amp;cp=30.4605~47.8114&amp;sp=point.30.4605_47.8114","Maplink3")</f>
        <v>Maplink3</v>
      </c>
      <c r="AZ900" s="76"/>
    </row>
    <row r="901" spans="1:52" x14ac:dyDescent="0.25">
      <c r="A901" s="86">
        <v>860</v>
      </c>
      <c r="B901" s="87" t="s">
        <v>15</v>
      </c>
      <c r="C901" s="87" t="s">
        <v>15</v>
      </c>
      <c r="D901" s="87" t="s">
        <v>1811</v>
      </c>
      <c r="E901" s="87" t="s">
        <v>1812</v>
      </c>
      <c r="F901" s="87">
        <v>30.4988958</v>
      </c>
      <c r="G901" s="87">
        <v>47.805932714800001</v>
      </c>
      <c r="H901" s="86">
        <v>8</v>
      </c>
      <c r="I901" s="86">
        <v>48</v>
      </c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>
        <v>8</v>
      </c>
      <c r="W901" s="87"/>
      <c r="X901" s="87"/>
      <c r="Y901" s="87"/>
      <c r="Z901" s="87"/>
      <c r="AA901" s="87"/>
      <c r="AB901" s="87"/>
      <c r="AC901" s="87"/>
      <c r="AD901" s="87"/>
      <c r="AE901" s="87">
        <v>8</v>
      </c>
      <c r="AF901" s="87"/>
      <c r="AG901" s="87"/>
      <c r="AH901" s="87"/>
      <c r="AI901" s="87"/>
      <c r="AJ901" s="87"/>
      <c r="AK901" s="87"/>
      <c r="AL901" s="87"/>
      <c r="AM901" s="87"/>
      <c r="AN901" s="87"/>
      <c r="AO901" s="87">
        <v>2</v>
      </c>
      <c r="AP901" s="87">
        <v>3</v>
      </c>
      <c r="AQ901" s="87">
        <v>3</v>
      </c>
      <c r="AR901" s="87"/>
      <c r="AS901" s="87"/>
      <c r="AT901" s="87"/>
      <c r="AU901" s="87"/>
      <c r="AV901" s="87"/>
      <c r="AW901" s="88" t="str">
        <f>HYPERLINK("http://www.openstreetmap.org/?mlat=30.4989&amp;mlon=47.8059&amp;zoom=12#map=12/30.4989/47.8059","Maplink1")</f>
        <v>Maplink1</v>
      </c>
      <c r="AX901" s="88" t="str">
        <f>HYPERLINK("https://www.google.iq/maps/search/+30.4989,47.8059/@30.4989,47.8059,14z?hl=en","Maplink2")</f>
        <v>Maplink2</v>
      </c>
      <c r="AY901" s="88" t="str">
        <f>HYPERLINK("http://www.bing.com/maps/?lvl=14&amp;sty=h&amp;cp=30.4989~47.8059&amp;sp=point.30.4989_47.8059","Maplink3")</f>
        <v>Maplink3</v>
      </c>
      <c r="AZ901" s="76"/>
    </row>
    <row r="902" spans="1:52" x14ac:dyDescent="0.25">
      <c r="A902" s="86">
        <v>24479</v>
      </c>
      <c r="B902" s="87" t="s">
        <v>15</v>
      </c>
      <c r="C902" s="87" t="s">
        <v>15</v>
      </c>
      <c r="D902" s="87" t="s">
        <v>207</v>
      </c>
      <c r="E902" s="87" t="s">
        <v>1813</v>
      </c>
      <c r="F902" s="87">
        <v>30.450738477200002</v>
      </c>
      <c r="G902" s="87">
        <v>47.807930523700001</v>
      </c>
      <c r="H902" s="86">
        <v>3</v>
      </c>
      <c r="I902" s="86">
        <v>18</v>
      </c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>
        <v>2</v>
      </c>
      <c r="W902" s="87"/>
      <c r="X902" s="87">
        <v>1</v>
      </c>
      <c r="Y902" s="87"/>
      <c r="Z902" s="87"/>
      <c r="AA902" s="87"/>
      <c r="AB902" s="87"/>
      <c r="AC902" s="87"/>
      <c r="AD902" s="87"/>
      <c r="AE902" s="87"/>
      <c r="AF902" s="87"/>
      <c r="AG902" s="87"/>
      <c r="AH902" s="87">
        <v>3</v>
      </c>
      <c r="AI902" s="87"/>
      <c r="AJ902" s="87"/>
      <c r="AK902" s="87"/>
      <c r="AL902" s="87"/>
      <c r="AM902" s="87"/>
      <c r="AN902" s="87"/>
      <c r="AO902" s="87">
        <v>1</v>
      </c>
      <c r="AP902" s="87"/>
      <c r="AQ902" s="87">
        <v>2</v>
      </c>
      <c r="AR902" s="87"/>
      <c r="AS902" s="87"/>
      <c r="AT902" s="87"/>
      <c r="AU902" s="87"/>
      <c r="AV902" s="87"/>
      <c r="AW902" s="88" t="str">
        <f>HYPERLINK("http://www.openstreetmap.org/?mlat=30.4507&amp;mlon=47.8079&amp;zoom=12#map=12/30.4507/47.8079","Maplink1")</f>
        <v>Maplink1</v>
      </c>
      <c r="AX902" s="88" t="str">
        <f>HYPERLINK("https://www.google.iq/maps/search/+30.4507,47.8079/@30.4507,47.8079,14z?hl=en","Maplink2")</f>
        <v>Maplink2</v>
      </c>
      <c r="AY902" s="88" t="str">
        <f>HYPERLINK("http://www.bing.com/maps/?lvl=14&amp;sty=h&amp;cp=30.4507~47.8079&amp;sp=point.30.4507_47.8079","Maplink3")</f>
        <v>Maplink3</v>
      </c>
      <c r="AZ902" s="76"/>
    </row>
    <row r="903" spans="1:52" x14ac:dyDescent="0.25">
      <c r="A903" s="86">
        <v>24595</v>
      </c>
      <c r="B903" s="87" t="s">
        <v>15</v>
      </c>
      <c r="C903" s="87" t="s">
        <v>15</v>
      </c>
      <c r="D903" s="87" t="s">
        <v>1814</v>
      </c>
      <c r="E903" s="87" t="s">
        <v>1355</v>
      </c>
      <c r="F903" s="87">
        <v>30.4746484</v>
      </c>
      <c r="G903" s="87">
        <v>47.826034900000003</v>
      </c>
      <c r="H903" s="86">
        <v>1</v>
      </c>
      <c r="I903" s="86">
        <v>6</v>
      </c>
      <c r="J903" s="87">
        <v>1</v>
      </c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>
        <v>1</v>
      </c>
      <c r="AF903" s="87"/>
      <c r="AG903" s="87"/>
      <c r="AH903" s="87"/>
      <c r="AI903" s="87"/>
      <c r="AJ903" s="87"/>
      <c r="AK903" s="87"/>
      <c r="AL903" s="87"/>
      <c r="AM903" s="87"/>
      <c r="AN903" s="87">
        <v>1</v>
      </c>
      <c r="AO903" s="87"/>
      <c r="AP903" s="87"/>
      <c r="AQ903" s="87"/>
      <c r="AR903" s="87"/>
      <c r="AS903" s="87"/>
      <c r="AT903" s="87"/>
      <c r="AU903" s="87"/>
      <c r="AV903" s="87"/>
      <c r="AW903" s="88" t="str">
        <f>HYPERLINK("http://www.openstreetmap.org/?mlat=30.4746&amp;mlon=47.826&amp;zoom=12#map=12/30.4746/47.826","Maplink1")</f>
        <v>Maplink1</v>
      </c>
      <c r="AX903" s="88" t="str">
        <f>HYPERLINK("https://www.google.iq/maps/search/+30.4746,47.826/@30.4746,47.826,14z?hl=en","Maplink2")</f>
        <v>Maplink2</v>
      </c>
      <c r="AY903" s="88" t="str">
        <f>HYPERLINK("http://www.bing.com/maps/?lvl=14&amp;sty=h&amp;cp=30.4746~47.826&amp;sp=point.30.4746_47.826","Maplink3")</f>
        <v>Maplink3</v>
      </c>
      <c r="AZ903" s="76"/>
    </row>
    <row r="904" spans="1:52" x14ac:dyDescent="0.25">
      <c r="A904" s="86">
        <v>1272</v>
      </c>
      <c r="B904" s="87" t="s">
        <v>15</v>
      </c>
      <c r="C904" s="87" t="s">
        <v>15</v>
      </c>
      <c r="D904" s="87" t="s">
        <v>1815</v>
      </c>
      <c r="E904" s="87" t="s">
        <v>1816</v>
      </c>
      <c r="F904" s="87">
        <v>30.5150483</v>
      </c>
      <c r="G904" s="87">
        <v>47.776653357900003</v>
      </c>
      <c r="H904" s="86">
        <v>5</v>
      </c>
      <c r="I904" s="86">
        <v>30</v>
      </c>
      <c r="J904" s="87"/>
      <c r="K904" s="87"/>
      <c r="L904" s="87"/>
      <c r="M904" s="87"/>
      <c r="N904" s="87"/>
      <c r="O904" s="87"/>
      <c r="P904" s="87"/>
      <c r="Q904" s="87"/>
      <c r="R904" s="87">
        <v>3</v>
      </c>
      <c r="S904" s="87"/>
      <c r="T904" s="87"/>
      <c r="U904" s="87"/>
      <c r="V904" s="87">
        <v>1</v>
      </c>
      <c r="W904" s="87"/>
      <c r="X904" s="87">
        <v>1</v>
      </c>
      <c r="Y904" s="87"/>
      <c r="Z904" s="87"/>
      <c r="AA904" s="87"/>
      <c r="AB904" s="87"/>
      <c r="AC904" s="87">
        <v>1</v>
      </c>
      <c r="AD904" s="87"/>
      <c r="AE904" s="87">
        <v>1</v>
      </c>
      <c r="AF904" s="87"/>
      <c r="AG904" s="87"/>
      <c r="AH904" s="87">
        <v>3</v>
      </c>
      <c r="AI904" s="87"/>
      <c r="AJ904" s="87"/>
      <c r="AK904" s="87"/>
      <c r="AL904" s="87"/>
      <c r="AM904" s="87"/>
      <c r="AN904" s="87">
        <v>2</v>
      </c>
      <c r="AO904" s="87"/>
      <c r="AP904" s="87">
        <v>2</v>
      </c>
      <c r="AQ904" s="87">
        <v>1</v>
      </c>
      <c r="AR904" s="87"/>
      <c r="AS904" s="87"/>
      <c r="AT904" s="87"/>
      <c r="AU904" s="87"/>
      <c r="AV904" s="87"/>
      <c r="AW904" s="88" t="str">
        <f>HYPERLINK("http://www.openstreetmap.org/?mlat=30.515&amp;mlon=47.7767&amp;zoom=12#map=12/30.515/47.7767","Maplink1")</f>
        <v>Maplink1</v>
      </c>
      <c r="AX904" s="88" t="str">
        <f>HYPERLINK("https://www.google.iq/maps/search/+30.515,47.7767/@30.515,47.7767,14z?hl=en","Maplink2")</f>
        <v>Maplink2</v>
      </c>
      <c r="AY904" s="88" t="str">
        <f>HYPERLINK("http://www.bing.com/maps/?lvl=14&amp;sty=h&amp;cp=30.515~47.7767&amp;sp=point.30.515_47.7767","Maplink3")</f>
        <v>Maplink3</v>
      </c>
      <c r="AZ904" s="76"/>
    </row>
    <row r="905" spans="1:52" x14ac:dyDescent="0.25">
      <c r="A905" s="86">
        <v>21311</v>
      </c>
      <c r="B905" s="87" t="s">
        <v>15</v>
      </c>
      <c r="C905" s="87" t="s">
        <v>15</v>
      </c>
      <c r="D905" s="87" t="s">
        <v>1817</v>
      </c>
      <c r="E905" s="87" t="s">
        <v>1818</v>
      </c>
      <c r="F905" s="87">
        <v>30.503373163399999</v>
      </c>
      <c r="G905" s="87">
        <v>47.794055607899999</v>
      </c>
      <c r="H905" s="86">
        <v>2</v>
      </c>
      <c r="I905" s="86">
        <v>12</v>
      </c>
      <c r="J905" s="87">
        <v>2</v>
      </c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>
        <v>2</v>
      </c>
      <c r="AI905" s="87"/>
      <c r="AJ905" s="87"/>
      <c r="AK905" s="87"/>
      <c r="AL905" s="87"/>
      <c r="AM905" s="87"/>
      <c r="AN905" s="87"/>
      <c r="AO905" s="87"/>
      <c r="AP905" s="87"/>
      <c r="AQ905" s="87">
        <v>1</v>
      </c>
      <c r="AR905" s="87">
        <v>1</v>
      </c>
      <c r="AS905" s="87"/>
      <c r="AT905" s="87"/>
      <c r="AU905" s="87"/>
      <c r="AV905" s="87"/>
      <c r="AW905" s="88" t="str">
        <f>HYPERLINK("http://www.openstreetmap.org/?mlat=30.5034&amp;mlon=47.7941&amp;zoom=12#map=12/30.5034/47.7941","Maplink1")</f>
        <v>Maplink1</v>
      </c>
      <c r="AX905" s="88" t="str">
        <f>HYPERLINK("https://www.google.iq/maps/search/+30.5034,47.7941/@30.5034,47.7941,14z?hl=en","Maplink2")</f>
        <v>Maplink2</v>
      </c>
      <c r="AY905" s="88" t="str">
        <f>HYPERLINK("http://www.bing.com/maps/?lvl=14&amp;sty=h&amp;cp=30.5034~47.7941&amp;sp=point.30.5034_47.7941","Maplink3")</f>
        <v>Maplink3</v>
      </c>
      <c r="AZ905" s="76"/>
    </row>
    <row r="906" spans="1:52" x14ac:dyDescent="0.25">
      <c r="A906" s="86">
        <v>1271</v>
      </c>
      <c r="B906" s="87" t="s">
        <v>15</v>
      </c>
      <c r="C906" s="87" t="s">
        <v>15</v>
      </c>
      <c r="D906" s="87" t="s">
        <v>1819</v>
      </c>
      <c r="E906" s="87" t="s">
        <v>1820</v>
      </c>
      <c r="F906" s="87">
        <v>30.489516900000002</v>
      </c>
      <c r="G906" s="87">
        <v>47.785207553799999</v>
      </c>
      <c r="H906" s="86">
        <v>4</v>
      </c>
      <c r="I906" s="86">
        <v>24</v>
      </c>
      <c r="J906" s="87"/>
      <c r="K906" s="87">
        <v>2</v>
      </c>
      <c r="L906" s="87"/>
      <c r="M906" s="87"/>
      <c r="N906" s="87"/>
      <c r="O906" s="87"/>
      <c r="P906" s="87"/>
      <c r="Q906" s="87"/>
      <c r="R906" s="87">
        <v>2</v>
      </c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>
        <v>1</v>
      </c>
      <c r="AD906" s="87"/>
      <c r="AE906" s="87"/>
      <c r="AF906" s="87"/>
      <c r="AG906" s="87"/>
      <c r="AH906" s="87">
        <v>3</v>
      </c>
      <c r="AI906" s="87"/>
      <c r="AJ906" s="87"/>
      <c r="AK906" s="87"/>
      <c r="AL906" s="87"/>
      <c r="AM906" s="87"/>
      <c r="AN906" s="87"/>
      <c r="AO906" s="87"/>
      <c r="AP906" s="87">
        <v>3</v>
      </c>
      <c r="AQ906" s="87">
        <v>1</v>
      </c>
      <c r="AR906" s="87"/>
      <c r="AS906" s="87"/>
      <c r="AT906" s="87"/>
      <c r="AU906" s="87"/>
      <c r="AV906" s="87"/>
      <c r="AW906" s="88" t="str">
        <f>HYPERLINK("http://www.openstreetmap.org/?mlat=30.4895&amp;mlon=47.7852&amp;zoom=12#map=12/30.4895/47.7852","Maplink1")</f>
        <v>Maplink1</v>
      </c>
      <c r="AX906" s="88" t="str">
        <f>HYPERLINK("https://www.google.iq/maps/search/+30.4895,47.7852/@30.4895,47.7852,14z?hl=en","Maplink2")</f>
        <v>Maplink2</v>
      </c>
      <c r="AY906" s="88" t="str">
        <f>HYPERLINK("http://www.bing.com/maps/?lvl=14&amp;sty=h&amp;cp=30.4895~47.7852&amp;sp=point.30.4895_47.7852","Maplink3")</f>
        <v>Maplink3</v>
      </c>
      <c r="AZ906" s="76"/>
    </row>
    <row r="907" spans="1:52" x14ac:dyDescent="0.25">
      <c r="A907" s="86">
        <v>863</v>
      </c>
      <c r="B907" s="87" t="s">
        <v>15</v>
      </c>
      <c r="C907" s="87" t="s">
        <v>15</v>
      </c>
      <c r="D907" s="87" t="s">
        <v>1821</v>
      </c>
      <c r="E907" s="87" t="s">
        <v>1822</v>
      </c>
      <c r="F907" s="87">
        <v>30.508137600000001</v>
      </c>
      <c r="G907" s="87">
        <v>47.769794036100002</v>
      </c>
      <c r="H907" s="86">
        <v>6</v>
      </c>
      <c r="I907" s="86">
        <v>36</v>
      </c>
      <c r="J907" s="87"/>
      <c r="K907" s="87"/>
      <c r="L907" s="87"/>
      <c r="M907" s="87"/>
      <c r="N907" s="87"/>
      <c r="O907" s="87"/>
      <c r="P907" s="87"/>
      <c r="Q907" s="87"/>
      <c r="R907" s="87">
        <v>2</v>
      </c>
      <c r="S907" s="87"/>
      <c r="T907" s="87"/>
      <c r="U907" s="87"/>
      <c r="V907" s="87">
        <v>1</v>
      </c>
      <c r="W907" s="87"/>
      <c r="X907" s="87">
        <v>3</v>
      </c>
      <c r="Y907" s="87"/>
      <c r="Z907" s="87"/>
      <c r="AA907" s="87"/>
      <c r="AB907" s="87"/>
      <c r="AC907" s="87"/>
      <c r="AD907" s="87"/>
      <c r="AE907" s="87"/>
      <c r="AF907" s="87"/>
      <c r="AG907" s="87"/>
      <c r="AH907" s="87">
        <v>6</v>
      </c>
      <c r="AI907" s="87"/>
      <c r="AJ907" s="87"/>
      <c r="AK907" s="87"/>
      <c r="AL907" s="87"/>
      <c r="AM907" s="87"/>
      <c r="AN907" s="87">
        <v>1</v>
      </c>
      <c r="AO907" s="87"/>
      <c r="AP907" s="87"/>
      <c r="AQ907" s="87">
        <v>3</v>
      </c>
      <c r="AR907" s="87"/>
      <c r="AS907" s="87">
        <v>2</v>
      </c>
      <c r="AT907" s="87"/>
      <c r="AU907" s="87"/>
      <c r="AV907" s="87"/>
      <c r="AW907" s="88" t="str">
        <f>HYPERLINK("http://www.openstreetmap.org/?mlat=30.5081&amp;mlon=47.7698&amp;zoom=12#map=12/30.5081/47.7698","Maplink1")</f>
        <v>Maplink1</v>
      </c>
      <c r="AX907" s="88" t="str">
        <f>HYPERLINK("https://www.google.iq/maps/search/+30.5081,47.7698/@30.5081,47.7698,14z?hl=en","Maplink2")</f>
        <v>Maplink2</v>
      </c>
      <c r="AY907" s="88" t="str">
        <f>HYPERLINK("http://www.bing.com/maps/?lvl=14&amp;sty=h&amp;cp=30.5081~47.7698&amp;sp=point.30.5081_47.7698","Maplink3")</f>
        <v>Maplink3</v>
      </c>
      <c r="AZ907" s="76"/>
    </row>
    <row r="908" spans="1:52" x14ac:dyDescent="0.25">
      <c r="A908" s="86">
        <v>911</v>
      </c>
      <c r="B908" s="87" t="s">
        <v>15</v>
      </c>
      <c r="C908" s="87" t="s">
        <v>15</v>
      </c>
      <c r="D908" s="87" t="s">
        <v>1823</v>
      </c>
      <c r="E908" s="87" t="s">
        <v>1824</v>
      </c>
      <c r="F908" s="87">
        <v>30.515606913300001</v>
      </c>
      <c r="G908" s="87">
        <v>47.842654828699999</v>
      </c>
      <c r="H908" s="86">
        <v>2</v>
      </c>
      <c r="I908" s="86">
        <v>12</v>
      </c>
      <c r="J908" s="87">
        <v>1</v>
      </c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>
        <v>1</v>
      </c>
      <c r="Y908" s="87"/>
      <c r="Z908" s="87"/>
      <c r="AA908" s="87"/>
      <c r="AB908" s="87"/>
      <c r="AC908" s="87">
        <v>1</v>
      </c>
      <c r="AD908" s="87"/>
      <c r="AE908" s="87"/>
      <c r="AF908" s="87"/>
      <c r="AG908" s="87">
        <v>1</v>
      </c>
      <c r="AH908" s="87"/>
      <c r="AI908" s="87"/>
      <c r="AJ908" s="87"/>
      <c r="AK908" s="87"/>
      <c r="AL908" s="87"/>
      <c r="AM908" s="87"/>
      <c r="AN908" s="87"/>
      <c r="AO908" s="87"/>
      <c r="AP908" s="87">
        <v>1</v>
      </c>
      <c r="AQ908" s="87">
        <v>1</v>
      </c>
      <c r="AR908" s="87"/>
      <c r="AS908" s="87"/>
      <c r="AT908" s="87"/>
      <c r="AU908" s="87"/>
      <c r="AV908" s="87"/>
      <c r="AW908" s="88" t="str">
        <f>HYPERLINK("http://www.openstreetmap.org/?mlat=30.5156&amp;mlon=47.8427&amp;zoom=12#map=12/30.5156/47.8427","Maplink1")</f>
        <v>Maplink1</v>
      </c>
      <c r="AX908" s="88" t="str">
        <f>HYPERLINK("https://www.google.iq/maps/search/+30.5156,47.8427/@30.5156,47.8427,14z?hl=en","Maplink2")</f>
        <v>Maplink2</v>
      </c>
      <c r="AY908" s="88" t="str">
        <f>HYPERLINK("http://www.bing.com/maps/?lvl=14&amp;sty=h&amp;cp=30.5156~47.8427&amp;sp=point.30.5156_47.8427","Maplink3")</f>
        <v>Maplink3</v>
      </c>
      <c r="AZ908" s="76"/>
    </row>
    <row r="909" spans="1:52" x14ac:dyDescent="0.25">
      <c r="A909" s="86">
        <v>1282</v>
      </c>
      <c r="B909" s="87" t="s">
        <v>15</v>
      </c>
      <c r="C909" s="87" t="s">
        <v>15</v>
      </c>
      <c r="D909" s="87" t="s">
        <v>1825</v>
      </c>
      <c r="E909" s="87" t="s">
        <v>1826</v>
      </c>
      <c r="F909" s="87">
        <v>30.551936999999999</v>
      </c>
      <c r="G909" s="87">
        <v>47.7613871</v>
      </c>
      <c r="H909" s="86">
        <v>3</v>
      </c>
      <c r="I909" s="86">
        <v>18</v>
      </c>
      <c r="J909" s="87">
        <v>1</v>
      </c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>
        <v>2</v>
      </c>
      <c r="Y909" s="87"/>
      <c r="Z909" s="87"/>
      <c r="AA909" s="87"/>
      <c r="AB909" s="87"/>
      <c r="AC909" s="87"/>
      <c r="AD909" s="87"/>
      <c r="AE909" s="87">
        <v>3</v>
      </c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>
        <v>2</v>
      </c>
      <c r="AQ909" s="87"/>
      <c r="AR909" s="87"/>
      <c r="AS909" s="87"/>
      <c r="AT909" s="87">
        <v>1</v>
      </c>
      <c r="AU909" s="87"/>
      <c r="AV909" s="87"/>
      <c r="AW909" s="88" t="str">
        <f>HYPERLINK("http://www.openstreetmap.org/?mlat=30.5519&amp;mlon=47.7614&amp;zoom=12#map=12/30.5519/47.7614","Maplink1")</f>
        <v>Maplink1</v>
      </c>
      <c r="AX909" s="88" t="str">
        <f>HYPERLINK("https://www.google.iq/maps/search/+30.5519,47.7614/@30.5519,47.7614,14z?hl=en","Maplink2")</f>
        <v>Maplink2</v>
      </c>
      <c r="AY909" s="88" t="str">
        <f>HYPERLINK("http://www.bing.com/maps/?lvl=14&amp;sty=h&amp;cp=30.5519~47.7614&amp;sp=point.30.5519_47.7614","Maplink3")</f>
        <v>Maplink3</v>
      </c>
      <c r="AZ909" s="76"/>
    </row>
    <row r="910" spans="1:52" x14ac:dyDescent="0.25">
      <c r="A910" s="86">
        <v>29482</v>
      </c>
      <c r="B910" s="87" t="s">
        <v>15</v>
      </c>
      <c r="C910" s="87" t="s">
        <v>15</v>
      </c>
      <c r="D910" s="87" t="s">
        <v>1827</v>
      </c>
      <c r="E910" s="87" t="s">
        <v>1828</v>
      </c>
      <c r="F910" s="87">
        <v>30.571537299999999</v>
      </c>
      <c r="G910" s="87">
        <v>47.711657899999999</v>
      </c>
      <c r="H910" s="86">
        <v>1</v>
      </c>
      <c r="I910" s="86">
        <v>6</v>
      </c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>
        <v>1</v>
      </c>
      <c r="W910" s="87"/>
      <c r="X910" s="87"/>
      <c r="Y910" s="87"/>
      <c r="Z910" s="87"/>
      <c r="AA910" s="87"/>
      <c r="AB910" s="87"/>
      <c r="AC910" s="87">
        <v>1</v>
      </c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>
        <v>1</v>
      </c>
      <c r="AT910" s="87"/>
      <c r="AU910" s="87"/>
      <c r="AV910" s="87"/>
      <c r="AW910" s="88" t="str">
        <f>HYPERLINK("http://www.openstreetmap.org/?mlat=30.5715&amp;mlon=47.7117&amp;zoom=12#map=12/30.5715/47.7117","Maplink1")</f>
        <v>Maplink1</v>
      </c>
      <c r="AX910" s="88" t="str">
        <f>HYPERLINK("https://www.google.iq/maps/search/+30.5715,47.7117/@30.5715,47.7117,14z?hl=en","Maplink2")</f>
        <v>Maplink2</v>
      </c>
      <c r="AY910" s="88" t="str">
        <f>HYPERLINK("http://www.bing.com/maps/?lvl=14&amp;sty=h&amp;cp=30.5715~47.7117&amp;sp=point.30.5715_47.7117","Maplink3")</f>
        <v>Maplink3</v>
      </c>
      <c r="AZ910" s="76"/>
    </row>
    <row r="911" spans="1:52" x14ac:dyDescent="0.25">
      <c r="A911" s="86">
        <v>893</v>
      </c>
      <c r="B911" s="87" t="s">
        <v>15</v>
      </c>
      <c r="C911" s="87" t="s">
        <v>15</v>
      </c>
      <c r="D911" s="87" t="s">
        <v>1829</v>
      </c>
      <c r="E911" s="87" t="s">
        <v>1830</v>
      </c>
      <c r="F911" s="87">
        <v>30.504416342599999</v>
      </c>
      <c r="G911" s="87">
        <v>47.800891299600003</v>
      </c>
      <c r="H911" s="86">
        <v>10</v>
      </c>
      <c r="I911" s="86">
        <v>60</v>
      </c>
      <c r="J911" s="87"/>
      <c r="K911" s="87"/>
      <c r="L911" s="87"/>
      <c r="M911" s="87"/>
      <c r="N911" s="87"/>
      <c r="O911" s="87">
        <v>3</v>
      </c>
      <c r="P911" s="87"/>
      <c r="Q911" s="87"/>
      <c r="R911" s="87"/>
      <c r="S911" s="87"/>
      <c r="T911" s="87"/>
      <c r="U911" s="87"/>
      <c r="V911" s="87">
        <v>3</v>
      </c>
      <c r="W911" s="87"/>
      <c r="X911" s="87">
        <v>4</v>
      </c>
      <c r="Y911" s="87"/>
      <c r="Z911" s="87"/>
      <c r="AA911" s="87"/>
      <c r="AB911" s="87"/>
      <c r="AC911" s="87"/>
      <c r="AD911" s="87"/>
      <c r="AE911" s="87"/>
      <c r="AF911" s="87"/>
      <c r="AG911" s="87"/>
      <c r="AH911" s="87">
        <v>10</v>
      </c>
      <c r="AI911" s="87"/>
      <c r="AJ911" s="87"/>
      <c r="AK911" s="87"/>
      <c r="AL911" s="87"/>
      <c r="AM911" s="87"/>
      <c r="AN911" s="87">
        <v>5</v>
      </c>
      <c r="AO911" s="87">
        <v>4</v>
      </c>
      <c r="AP911" s="87"/>
      <c r="AQ911" s="87">
        <v>1</v>
      </c>
      <c r="AR911" s="87"/>
      <c r="AS911" s="87"/>
      <c r="AT911" s="87"/>
      <c r="AU911" s="87"/>
      <c r="AV911" s="87"/>
      <c r="AW911" s="88" t="str">
        <f>HYPERLINK("http://www.openstreetmap.org/?mlat=30.5044&amp;mlon=47.8009&amp;zoom=12#map=12/30.5044/47.8009","Maplink1")</f>
        <v>Maplink1</v>
      </c>
      <c r="AX911" s="88" t="str">
        <f>HYPERLINK("https://www.google.iq/maps/search/+30.5044,47.8009/@30.5044,47.8009,14z?hl=en","Maplink2")</f>
        <v>Maplink2</v>
      </c>
      <c r="AY911" s="88" t="str">
        <f>HYPERLINK("http://www.bing.com/maps/?lvl=14&amp;sty=h&amp;cp=30.5044~47.8009&amp;sp=point.30.5044_47.8009","Maplink3")</f>
        <v>Maplink3</v>
      </c>
      <c r="AZ911" s="76"/>
    </row>
    <row r="912" spans="1:52" x14ac:dyDescent="0.25">
      <c r="A912" s="86">
        <v>27328</v>
      </c>
      <c r="B912" s="87" t="s">
        <v>15</v>
      </c>
      <c r="C912" s="87" t="s">
        <v>15</v>
      </c>
      <c r="D912" s="87" t="s">
        <v>1831</v>
      </c>
      <c r="E912" s="87" t="s">
        <v>1832</v>
      </c>
      <c r="F912" s="87">
        <v>30.5104171509</v>
      </c>
      <c r="G912" s="87">
        <v>47.815097422199997</v>
      </c>
      <c r="H912" s="86">
        <v>5</v>
      </c>
      <c r="I912" s="86">
        <v>30</v>
      </c>
      <c r="J912" s="87">
        <v>2</v>
      </c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>
        <v>3</v>
      </c>
      <c r="W912" s="87"/>
      <c r="X912" s="87"/>
      <c r="Y912" s="87"/>
      <c r="Z912" s="87"/>
      <c r="AA912" s="87"/>
      <c r="AB912" s="87"/>
      <c r="AC912" s="87">
        <v>2</v>
      </c>
      <c r="AD912" s="87"/>
      <c r="AE912" s="87"/>
      <c r="AF912" s="87"/>
      <c r="AG912" s="87"/>
      <c r="AH912" s="87">
        <v>3</v>
      </c>
      <c r="AI912" s="87"/>
      <c r="AJ912" s="87"/>
      <c r="AK912" s="87"/>
      <c r="AL912" s="87"/>
      <c r="AM912" s="87"/>
      <c r="AN912" s="87"/>
      <c r="AO912" s="87">
        <v>2</v>
      </c>
      <c r="AP912" s="87"/>
      <c r="AQ912" s="87">
        <v>3</v>
      </c>
      <c r="AR912" s="87"/>
      <c r="AS912" s="87"/>
      <c r="AT912" s="87"/>
      <c r="AU912" s="87"/>
      <c r="AV912" s="87"/>
      <c r="AW912" s="88" t="str">
        <f>HYPERLINK("http://www.openstreetmap.org/?mlat=30.5104&amp;mlon=47.8151&amp;zoom=12#map=12/30.5104/47.8151","Maplink1")</f>
        <v>Maplink1</v>
      </c>
      <c r="AX912" s="88" t="str">
        <f>HYPERLINK("https://www.google.iq/maps/search/+30.5104,47.8151/@30.5104,47.8151,14z?hl=en","Maplink2")</f>
        <v>Maplink2</v>
      </c>
      <c r="AY912" s="88" t="str">
        <f>HYPERLINK("http://www.bing.com/maps/?lvl=14&amp;sty=h&amp;cp=30.5104~47.8151&amp;sp=point.30.5104_47.8151","Maplink3")</f>
        <v>Maplink3</v>
      </c>
      <c r="AZ912" s="76"/>
    </row>
    <row r="913" spans="1:52" x14ac:dyDescent="0.25">
      <c r="A913" s="86">
        <v>21097</v>
      </c>
      <c r="B913" s="87" t="s">
        <v>15</v>
      </c>
      <c r="C913" s="87" t="s">
        <v>15</v>
      </c>
      <c r="D913" s="87" t="s">
        <v>1833</v>
      </c>
      <c r="E913" s="87" t="s">
        <v>1834</v>
      </c>
      <c r="F913" s="87">
        <v>30.495666389</v>
      </c>
      <c r="G913" s="87">
        <v>47.838561653699998</v>
      </c>
      <c r="H913" s="86">
        <v>17</v>
      </c>
      <c r="I913" s="86">
        <v>102</v>
      </c>
      <c r="J913" s="87">
        <v>1</v>
      </c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>
        <v>5</v>
      </c>
      <c r="W913" s="87"/>
      <c r="X913" s="87">
        <v>11</v>
      </c>
      <c r="Y913" s="87"/>
      <c r="Z913" s="87"/>
      <c r="AA913" s="87"/>
      <c r="AB913" s="87"/>
      <c r="AC913" s="87">
        <v>8</v>
      </c>
      <c r="AD913" s="87"/>
      <c r="AE913" s="87"/>
      <c r="AF913" s="87"/>
      <c r="AG913" s="87"/>
      <c r="AH913" s="87">
        <v>9</v>
      </c>
      <c r="AI913" s="87"/>
      <c r="AJ913" s="87"/>
      <c r="AK913" s="87"/>
      <c r="AL913" s="87"/>
      <c r="AM913" s="87"/>
      <c r="AN913" s="87">
        <v>1</v>
      </c>
      <c r="AO913" s="87">
        <v>4</v>
      </c>
      <c r="AP913" s="87">
        <v>1</v>
      </c>
      <c r="AQ913" s="87">
        <v>6</v>
      </c>
      <c r="AR913" s="87"/>
      <c r="AS913" s="87">
        <v>1</v>
      </c>
      <c r="AT913" s="87">
        <v>3</v>
      </c>
      <c r="AU913" s="87">
        <v>1</v>
      </c>
      <c r="AV913" s="87"/>
      <c r="AW913" s="88" t="str">
        <f>HYPERLINK("http://www.openstreetmap.org/?mlat=30.4957&amp;mlon=47.8386&amp;zoom=12#map=12/30.4957/47.8386","Maplink1")</f>
        <v>Maplink1</v>
      </c>
      <c r="AX913" s="88" t="str">
        <f>HYPERLINK("https://www.google.iq/maps/search/+30.4957,47.8386/@30.4957,47.8386,14z?hl=en","Maplink2")</f>
        <v>Maplink2</v>
      </c>
      <c r="AY913" s="88" t="str">
        <f>HYPERLINK("http://www.bing.com/maps/?lvl=14&amp;sty=h&amp;cp=30.4957~47.8386&amp;sp=point.30.4957_47.8386","Maplink3")</f>
        <v>Maplink3</v>
      </c>
      <c r="AZ913" s="76"/>
    </row>
    <row r="914" spans="1:52" x14ac:dyDescent="0.25">
      <c r="A914" s="86">
        <v>891</v>
      </c>
      <c r="B914" s="87" t="s">
        <v>15</v>
      </c>
      <c r="C914" s="87" t="s">
        <v>15</v>
      </c>
      <c r="D914" s="87" t="s">
        <v>1835</v>
      </c>
      <c r="E914" s="87" t="s">
        <v>1836</v>
      </c>
      <c r="F914" s="87">
        <v>30.5084310501</v>
      </c>
      <c r="G914" s="87">
        <v>47.841061381199999</v>
      </c>
      <c r="H914" s="86">
        <v>12</v>
      </c>
      <c r="I914" s="86">
        <v>72</v>
      </c>
      <c r="J914" s="87">
        <v>4</v>
      </c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>
        <v>3</v>
      </c>
      <c r="W914" s="87"/>
      <c r="X914" s="87">
        <v>5</v>
      </c>
      <c r="Y914" s="87"/>
      <c r="Z914" s="87"/>
      <c r="AA914" s="87"/>
      <c r="AB914" s="87"/>
      <c r="AC914" s="87">
        <v>2</v>
      </c>
      <c r="AD914" s="87"/>
      <c r="AE914" s="87">
        <v>2</v>
      </c>
      <c r="AF914" s="87"/>
      <c r="AG914" s="87"/>
      <c r="AH914" s="87">
        <v>8</v>
      </c>
      <c r="AI914" s="87"/>
      <c r="AJ914" s="87"/>
      <c r="AK914" s="87"/>
      <c r="AL914" s="87"/>
      <c r="AM914" s="87"/>
      <c r="AN914" s="87"/>
      <c r="AO914" s="87">
        <v>2</v>
      </c>
      <c r="AP914" s="87"/>
      <c r="AQ914" s="87">
        <v>8</v>
      </c>
      <c r="AR914" s="87">
        <v>2</v>
      </c>
      <c r="AS914" s="87"/>
      <c r="AT914" s="87"/>
      <c r="AU914" s="87"/>
      <c r="AV914" s="87"/>
      <c r="AW914" s="88" t="str">
        <f>HYPERLINK("http://www.openstreetmap.org/?mlat=30.5084&amp;mlon=47.8411&amp;zoom=12#map=12/30.5084/47.8411","Maplink1")</f>
        <v>Maplink1</v>
      </c>
      <c r="AX914" s="88" t="str">
        <f>HYPERLINK("https://www.google.iq/maps/search/+30.5084,47.8411/@30.5084,47.8411,14z?hl=en","Maplink2")</f>
        <v>Maplink2</v>
      </c>
      <c r="AY914" s="88" t="str">
        <f>HYPERLINK("http://www.bing.com/maps/?lvl=14&amp;sty=h&amp;cp=30.5084~47.8411&amp;sp=point.30.5084_47.8411","Maplink3")</f>
        <v>Maplink3</v>
      </c>
      <c r="AZ914" s="76"/>
    </row>
    <row r="915" spans="1:52" x14ac:dyDescent="0.25">
      <c r="A915" s="86">
        <v>334</v>
      </c>
      <c r="B915" s="87" t="s">
        <v>15</v>
      </c>
      <c r="C915" s="87" t="s">
        <v>15</v>
      </c>
      <c r="D915" s="87" t="s">
        <v>1837</v>
      </c>
      <c r="E915" s="87" t="s">
        <v>1838</v>
      </c>
      <c r="F915" s="87">
        <v>30.580811799999999</v>
      </c>
      <c r="G915" s="87">
        <v>47.764558600000001</v>
      </c>
      <c r="H915" s="86">
        <v>2</v>
      </c>
      <c r="I915" s="86">
        <v>12</v>
      </c>
      <c r="J915" s="87">
        <v>1</v>
      </c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>
        <v>1</v>
      </c>
      <c r="Y915" s="87"/>
      <c r="Z915" s="87"/>
      <c r="AA915" s="87"/>
      <c r="AB915" s="87"/>
      <c r="AC915" s="87">
        <v>1</v>
      </c>
      <c r="AD915" s="87"/>
      <c r="AE915" s="87"/>
      <c r="AF915" s="87"/>
      <c r="AG915" s="87"/>
      <c r="AH915" s="87">
        <v>1</v>
      </c>
      <c r="AI915" s="87"/>
      <c r="AJ915" s="87"/>
      <c r="AK915" s="87"/>
      <c r="AL915" s="87"/>
      <c r="AM915" s="87"/>
      <c r="AN915" s="87"/>
      <c r="AO915" s="87"/>
      <c r="AP915" s="87">
        <v>1</v>
      </c>
      <c r="AQ915" s="87">
        <v>1</v>
      </c>
      <c r="AR915" s="87"/>
      <c r="AS915" s="87"/>
      <c r="AT915" s="87"/>
      <c r="AU915" s="87"/>
      <c r="AV915" s="87"/>
      <c r="AW915" s="88" t="str">
        <f>HYPERLINK("http://www.openstreetmap.org/?mlat=30.5808&amp;mlon=47.7646&amp;zoom=12#map=12/30.5808/47.7646","Maplink1")</f>
        <v>Maplink1</v>
      </c>
      <c r="AX915" s="88" t="str">
        <f>HYPERLINK("https://www.google.iq/maps/search/+30.5808,47.7646/@30.5808,47.7646,14z?hl=en","Maplink2")</f>
        <v>Maplink2</v>
      </c>
      <c r="AY915" s="88" t="str">
        <f>HYPERLINK("http://www.bing.com/maps/?lvl=14&amp;sty=h&amp;cp=30.5808~47.7646&amp;sp=point.30.5808_47.7646","Maplink3")</f>
        <v>Maplink3</v>
      </c>
      <c r="AZ915" s="76"/>
    </row>
    <row r="916" spans="1:52" x14ac:dyDescent="0.25">
      <c r="A916" s="86">
        <v>29508</v>
      </c>
      <c r="B916" s="87" t="s">
        <v>15</v>
      </c>
      <c r="C916" s="87" t="s">
        <v>15</v>
      </c>
      <c r="D916" s="87" t="s">
        <v>1839</v>
      </c>
      <c r="E916" s="87" t="s">
        <v>1840</v>
      </c>
      <c r="F916" s="87">
        <v>30.484100099999999</v>
      </c>
      <c r="G916" s="87">
        <v>47.795581800000001</v>
      </c>
      <c r="H916" s="86">
        <v>4</v>
      </c>
      <c r="I916" s="86">
        <v>24</v>
      </c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>
        <v>1</v>
      </c>
      <c r="W916" s="87"/>
      <c r="X916" s="87">
        <v>3</v>
      </c>
      <c r="Y916" s="87"/>
      <c r="Z916" s="87"/>
      <c r="AA916" s="87"/>
      <c r="AB916" s="87"/>
      <c r="AC916" s="87"/>
      <c r="AD916" s="87"/>
      <c r="AE916" s="87"/>
      <c r="AF916" s="87"/>
      <c r="AG916" s="87"/>
      <c r="AH916" s="87">
        <v>4</v>
      </c>
      <c r="AI916" s="87"/>
      <c r="AJ916" s="87"/>
      <c r="AK916" s="87"/>
      <c r="AL916" s="87"/>
      <c r="AM916" s="87"/>
      <c r="AN916" s="87"/>
      <c r="AO916" s="87">
        <v>3</v>
      </c>
      <c r="AP916" s="87"/>
      <c r="AQ916" s="87">
        <v>1</v>
      </c>
      <c r="AR916" s="87"/>
      <c r="AS916" s="87"/>
      <c r="AT916" s="87"/>
      <c r="AU916" s="87"/>
      <c r="AV916" s="87"/>
      <c r="AW916" s="88" t="str">
        <f>HYPERLINK("http://www.openstreetmap.org/?mlat=30.4841&amp;mlon=47.7956&amp;zoom=12#map=12/30.4841/47.7956","Maplink1")</f>
        <v>Maplink1</v>
      </c>
      <c r="AX916" s="88" t="str">
        <f>HYPERLINK("https://www.google.iq/maps/search/+30.4841,47.7956/@30.4841,47.7956,14z?hl=en","Maplink2")</f>
        <v>Maplink2</v>
      </c>
      <c r="AY916" s="88" t="str">
        <f>HYPERLINK("http://www.bing.com/maps/?lvl=14&amp;sty=h&amp;cp=30.4841~47.7956&amp;sp=point.30.4841_47.7956","Maplink3")</f>
        <v>Maplink3</v>
      </c>
      <c r="AZ916" s="76"/>
    </row>
    <row r="917" spans="1:52" x14ac:dyDescent="0.25">
      <c r="A917" s="86">
        <v>23974</v>
      </c>
      <c r="B917" s="87" t="s">
        <v>15</v>
      </c>
      <c r="C917" s="87" t="s">
        <v>15</v>
      </c>
      <c r="D917" s="87" t="s">
        <v>1841</v>
      </c>
      <c r="E917" s="87" t="s">
        <v>1842</v>
      </c>
      <c r="F917" s="87">
        <v>30.451079400000001</v>
      </c>
      <c r="G917" s="87">
        <v>47.798889589300003</v>
      </c>
      <c r="H917" s="86">
        <v>5</v>
      </c>
      <c r="I917" s="86">
        <v>30</v>
      </c>
      <c r="J917" s="87">
        <v>2</v>
      </c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>
        <v>1</v>
      </c>
      <c r="W917" s="87"/>
      <c r="X917" s="87">
        <v>2</v>
      </c>
      <c r="Y917" s="87"/>
      <c r="Z917" s="87"/>
      <c r="AA917" s="87"/>
      <c r="AB917" s="87"/>
      <c r="AC917" s="87">
        <v>1</v>
      </c>
      <c r="AD917" s="87"/>
      <c r="AE917" s="87"/>
      <c r="AF917" s="87"/>
      <c r="AG917" s="87"/>
      <c r="AH917" s="87">
        <v>4</v>
      </c>
      <c r="AI917" s="87"/>
      <c r="AJ917" s="87"/>
      <c r="AK917" s="87"/>
      <c r="AL917" s="87"/>
      <c r="AM917" s="87"/>
      <c r="AN917" s="87"/>
      <c r="AO917" s="87">
        <v>2</v>
      </c>
      <c r="AP917" s="87">
        <v>2</v>
      </c>
      <c r="AQ917" s="87"/>
      <c r="AR917" s="87">
        <v>1</v>
      </c>
      <c r="AS917" s="87"/>
      <c r="AT917" s="87"/>
      <c r="AU917" s="87"/>
      <c r="AV917" s="87"/>
      <c r="AW917" s="88" t="str">
        <f>HYPERLINK("http://www.openstreetmap.org/?mlat=30.4511&amp;mlon=47.7989&amp;zoom=12#map=12/30.4511/47.7989","Maplink1")</f>
        <v>Maplink1</v>
      </c>
      <c r="AX917" s="88" t="str">
        <f>HYPERLINK("https://www.google.iq/maps/search/+30.4511,47.7989/@30.4511,47.7989,14z?hl=en","Maplink2")</f>
        <v>Maplink2</v>
      </c>
      <c r="AY917" s="88" t="str">
        <f>HYPERLINK("http://www.bing.com/maps/?lvl=14&amp;sty=h&amp;cp=30.4511~47.7989&amp;sp=point.30.4511_47.7989","Maplink3")</f>
        <v>Maplink3</v>
      </c>
      <c r="AZ917" s="76"/>
    </row>
    <row r="918" spans="1:52" x14ac:dyDescent="0.25">
      <c r="A918" s="86">
        <v>889</v>
      </c>
      <c r="B918" s="87" t="s">
        <v>15</v>
      </c>
      <c r="C918" s="87" t="s">
        <v>15</v>
      </c>
      <c r="D918" s="87" t="s">
        <v>1843</v>
      </c>
      <c r="E918" s="87" t="s">
        <v>1844</v>
      </c>
      <c r="F918" s="87">
        <v>30.503625875600001</v>
      </c>
      <c r="G918" s="87">
        <v>47.812746660400002</v>
      </c>
      <c r="H918" s="86">
        <v>10</v>
      </c>
      <c r="I918" s="86">
        <v>60</v>
      </c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>
        <v>5</v>
      </c>
      <c r="W918" s="87"/>
      <c r="X918" s="87">
        <v>5</v>
      </c>
      <c r="Y918" s="87"/>
      <c r="Z918" s="87"/>
      <c r="AA918" s="87"/>
      <c r="AB918" s="87"/>
      <c r="AC918" s="87">
        <v>4</v>
      </c>
      <c r="AD918" s="87"/>
      <c r="AE918" s="87"/>
      <c r="AF918" s="87"/>
      <c r="AG918" s="87"/>
      <c r="AH918" s="87">
        <v>6</v>
      </c>
      <c r="AI918" s="87"/>
      <c r="AJ918" s="87"/>
      <c r="AK918" s="87"/>
      <c r="AL918" s="87"/>
      <c r="AM918" s="87"/>
      <c r="AN918" s="87">
        <v>2</v>
      </c>
      <c r="AO918" s="87">
        <v>1</v>
      </c>
      <c r="AP918" s="87">
        <v>4</v>
      </c>
      <c r="AQ918" s="87"/>
      <c r="AR918" s="87">
        <v>1</v>
      </c>
      <c r="AS918" s="87">
        <v>1</v>
      </c>
      <c r="AT918" s="87">
        <v>1</v>
      </c>
      <c r="AU918" s="87"/>
      <c r="AV918" s="87"/>
      <c r="AW918" s="88" t="str">
        <f>HYPERLINK("http://www.openstreetmap.org/?mlat=30.5036&amp;mlon=47.8127&amp;zoom=12#map=12/30.5036/47.8127","Maplink1")</f>
        <v>Maplink1</v>
      </c>
      <c r="AX918" s="88" t="str">
        <f>HYPERLINK("https://www.google.iq/maps/search/+30.5036,47.8127/@30.5036,47.8127,14z?hl=en","Maplink2")</f>
        <v>Maplink2</v>
      </c>
      <c r="AY918" s="88" t="str">
        <f>HYPERLINK("http://www.bing.com/maps/?lvl=14&amp;sty=h&amp;cp=30.5036~47.8127&amp;sp=point.30.5036_47.8127","Maplink3")</f>
        <v>Maplink3</v>
      </c>
      <c r="AZ918" s="76"/>
    </row>
    <row r="919" spans="1:52" x14ac:dyDescent="0.25">
      <c r="A919" s="86">
        <v>1025</v>
      </c>
      <c r="B919" s="87" t="s">
        <v>15</v>
      </c>
      <c r="C919" s="87" t="s">
        <v>15</v>
      </c>
      <c r="D919" s="87" t="s">
        <v>1845</v>
      </c>
      <c r="E919" s="87" t="s">
        <v>1846</v>
      </c>
      <c r="F919" s="87">
        <v>30.574821417500001</v>
      </c>
      <c r="G919" s="87">
        <v>47.769548473</v>
      </c>
      <c r="H919" s="86">
        <v>2</v>
      </c>
      <c r="I919" s="86">
        <v>12</v>
      </c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>
        <v>1</v>
      </c>
      <c r="W919" s="87"/>
      <c r="X919" s="87">
        <v>1</v>
      </c>
      <c r="Y919" s="87"/>
      <c r="Z919" s="87"/>
      <c r="AA919" s="87"/>
      <c r="AB919" s="87"/>
      <c r="AC919" s="87">
        <v>2</v>
      </c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>
        <v>1</v>
      </c>
      <c r="AP919" s="87">
        <v>1</v>
      </c>
      <c r="AQ919" s="87"/>
      <c r="AR919" s="87"/>
      <c r="AS919" s="87"/>
      <c r="AT919" s="87"/>
      <c r="AU919" s="87"/>
      <c r="AV919" s="87"/>
      <c r="AW919" s="88" t="str">
        <f>HYPERLINK("http://www.openstreetmap.org/?mlat=30.5748&amp;mlon=47.7695&amp;zoom=12#map=12/30.5748/47.7695","Maplink1")</f>
        <v>Maplink1</v>
      </c>
      <c r="AX919" s="88" t="str">
        <f>HYPERLINK("https://www.google.iq/maps/search/+30.5748,47.7695/@30.5748,47.7695,14z?hl=en","Maplink2")</f>
        <v>Maplink2</v>
      </c>
      <c r="AY919" s="88" t="str">
        <f>HYPERLINK("http://www.bing.com/maps/?lvl=14&amp;sty=h&amp;cp=30.5748~47.7695&amp;sp=point.30.5748_47.7695","Maplink3")</f>
        <v>Maplink3</v>
      </c>
      <c r="AZ919" s="76"/>
    </row>
    <row r="920" spans="1:52" x14ac:dyDescent="0.25">
      <c r="A920" s="86">
        <v>899</v>
      </c>
      <c r="B920" s="87" t="s">
        <v>15</v>
      </c>
      <c r="C920" s="87" t="s">
        <v>15</v>
      </c>
      <c r="D920" s="87" t="s">
        <v>1847</v>
      </c>
      <c r="E920" s="87" t="s">
        <v>1848</v>
      </c>
      <c r="F920" s="87">
        <v>30.507086905600001</v>
      </c>
      <c r="G920" s="87">
        <v>47.802731283900002</v>
      </c>
      <c r="H920" s="86">
        <v>1</v>
      </c>
      <c r="I920" s="86">
        <v>6</v>
      </c>
      <c r="J920" s="87">
        <v>1</v>
      </c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>
        <v>1</v>
      </c>
      <c r="AI920" s="87"/>
      <c r="AJ920" s="87"/>
      <c r="AK920" s="87"/>
      <c r="AL920" s="87"/>
      <c r="AM920" s="87"/>
      <c r="AN920" s="87"/>
      <c r="AO920" s="87"/>
      <c r="AP920" s="87">
        <v>1</v>
      </c>
      <c r="AQ920" s="87"/>
      <c r="AR920" s="87"/>
      <c r="AS920" s="87"/>
      <c r="AT920" s="87"/>
      <c r="AU920" s="87"/>
      <c r="AV920" s="87"/>
      <c r="AW920" s="88" t="str">
        <f>HYPERLINK("http://www.openstreetmap.org/?mlat=30.5071&amp;mlon=47.8027&amp;zoom=12#map=12/30.5071/47.8027","Maplink1")</f>
        <v>Maplink1</v>
      </c>
      <c r="AX920" s="88" t="str">
        <f>HYPERLINK("https://www.google.iq/maps/search/+30.5071,47.8027/@30.5071,47.8027,14z?hl=en","Maplink2")</f>
        <v>Maplink2</v>
      </c>
      <c r="AY920" s="88" t="str">
        <f>HYPERLINK("http://www.bing.com/maps/?lvl=14&amp;sty=h&amp;cp=30.5071~47.8027&amp;sp=point.30.5071_47.8027","Maplink3")</f>
        <v>Maplink3</v>
      </c>
      <c r="AZ920" s="76"/>
    </row>
    <row r="921" spans="1:52" x14ac:dyDescent="0.25">
      <c r="A921" s="86">
        <v>31724</v>
      </c>
      <c r="B921" s="87" t="s">
        <v>15</v>
      </c>
      <c r="C921" s="87" t="s">
        <v>15</v>
      </c>
      <c r="D921" s="87" t="s">
        <v>1849</v>
      </c>
      <c r="E921" s="87" t="s">
        <v>1850</v>
      </c>
      <c r="F921" s="87">
        <v>30.549713199999999</v>
      </c>
      <c r="G921" s="87">
        <v>47.785407999999997</v>
      </c>
      <c r="H921" s="86">
        <v>4</v>
      </c>
      <c r="I921" s="86">
        <v>24</v>
      </c>
      <c r="J921" s="87"/>
      <c r="K921" s="87"/>
      <c r="L921" s="87"/>
      <c r="M921" s="87"/>
      <c r="N921" s="87"/>
      <c r="O921" s="87"/>
      <c r="P921" s="87"/>
      <c r="Q921" s="87"/>
      <c r="R921" s="87">
        <v>4</v>
      </c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>
        <v>4</v>
      </c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>
        <v>4</v>
      </c>
      <c r="AQ921" s="87"/>
      <c r="AR921" s="87"/>
      <c r="AS921" s="87"/>
      <c r="AT921" s="87"/>
      <c r="AU921" s="87"/>
      <c r="AV921" s="87"/>
      <c r="AW921" s="88" t="str">
        <f>HYPERLINK("http://www.openstreetmap.org/?mlat=30.5497&amp;mlon=47.7854&amp;zoom=12#map=12/30.5497/47.7854","Maplink1")</f>
        <v>Maplink1</v>
      </c>
      <c r="AX921" s="88" t="str">
        <f>HYPERLINK("https://www.google.iq/maps/search/+30.5497,47.7854/@30.5497,47.7854,14z?hl=en","Maplink2")</f>
        <v>Maplink2</v>
      </c>
      <c r="AY921" s="88" t="str">
        <f>HYPERLINK("http://www.bing.com/maps/?lvl=14&amp;sty=h&amp;cp=30.5497~47.7854&amp;sp=point.30.5497_47.7854","Maplink3")</f>
        <v>Maplink3</v>
      </c>
      <c r="AZ921" s="76"/>
    </row>
    <row r="922" spans="1:52" x14ac:dyDescent="0.25">
      <c r="A922" s="86">
        <v>29657</v>
      </c>
      <c r="B922" s="87" t="s">
        <v>15</v>
      </c>
      <c r="C922" s="87" t="s">
        <v>15</v>
      </c>
      <c r="D922" s="87" t="s">
        <v>1851</v>
      </c>
      <c r="E922" s="87" t="s">
        <v>1852</v>
      </c>
      <c r="F922" s="87">
        <v>30.559728100000001</v>
      </c>
      <c r="G922" s="87">
        <v>47.770736599999999</v>
      </c>
      <c r="H922" s="86">
        <v>2</v>
      </c>
      <c r="I922" s="86">
        <v>12</v>
      </c>
      <c r="J922" s="87">
        <v>2</v>
      </c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>
        <v>2</v>
      </c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>
        <v>2</v>
      </c>
      <c r="AS922" s="87"/>
      <c r="AT922" s="87"/>
      <c r="AU922" s="87"/>
      <c r="AV922" s="87"/>
      <c r="AW922" s="88" t="str">
        <f>HYPERLINK("http://www.openstreetmap.org/?mlat=30.5597&amp;mlon=47.7707&amp;zoom=12#map=12/30.5597/47.7707","Maplink1")</f>
        <v>Maplink1</v>
      </c>
      <c r="AX922" s="88" t="str">
        <f>HYPERLINK("https://www.google.iq/maps/search/+30.5597,47.7707/@30.5597,47.7707,14z?hl=en","Maplink2")</f>
        <v>Maplink2</v>
      </c>
      <c r="AY922" s="88" t="str">
        <f>HYPERLINK("http://www.bing.com/maps/?lvl=14&amp;sty=h&amp;cp=30.5597~47.7707&amp;sp=point.30.5597_47.7707","Maplink3")</f>
        <v>Maplink3</v>
      </c>
      <c r="AZ922" s="76"/>
    </row>
    <row r="923" spans="1:52" x14ac:dyDescent="0.25">
      <c r="A923" s="86">
        <v>897</v>
      </c>
      <c r="B923" s="87" t="s">
        <v>15</v>
      </c>
      <c r="C923" s="87" t="s">
        <v>15</v>
      </c>
      <c r="D923" s="87" t="s">
        <v>1853</v>
      </c>
      <c r="E923" s="87" t="s">
        <v>1854</v>
      </c>
      <c r="F923" s="87">
        <v>30.506415735699999</v>
      </c>
      <c r="G923" s="87">
        <v>47.794396747599997</v>
      </c>
      <c r="H923" s="86">
        <v>1</v>
      </c>
      <c r="I923" s="86">
        <v>6</v>
      </c>
      <c r="J923" s="87">
        <v>1</v>
      </c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>
        <v>1</v>
      </c>
      <c r="AI923" s="87"/>
      <c r="AJ923" s="87"/>
      <c r="AK923" s="87"/>
      <c r="AL923" s="87"/>
      <c r="AM923" s="87"/>
      <c r="AN923" s="87">
        <v>1</v>
      </c>
      <c r="AO923" s="87"/>
      <c r="AP923" s="87"/>
      <c r="AQ923" s="87"/>
      <c r="AR923" s="87"/>
      <c r="AS923" s="87"/>
      <c r="AT923" s="87"/>
      <c r="AU923" s="87"/>
      <c r="AV923" s="87"/>
      <c r="AW923" s="88" t="str">
        <f>HYPERLINK("http://www.openstreetmap.org/?mlat=30.5064&amp;mlon=47.7944&amp;zoom=12#map=12/30.5064/47.7944","Maplink1")</f>
        <v>Maplink1</v>
      </c>
      <c r="AX923" s="88" t="str">
        <f>HYPERLINK("https://www.google.iq/maps/search/+30.5064,47.7944/@30.5064,47.7944,14z?hl=en","Maplink2")</f>
        <v>Maplink2</v>
      </c>
      <c r="AY923" s="88" t="str">
        <f>HYPERLINK("http://www.bing.com/maps/?lvl=14&amp;sty=h&amp;cp=30.5064~47.7944&amp;sp=point.30.5064_47.7944","Maplink3")</f>
        <v>Maplink3</v>
      </c>
      <c r="AZ923" s="76"/>
    </row>
    <row r="924" spans="1:52" x14ac:dyDescent="0.25">
      <c r="A924" s="86">
        <v>23975</v>
      </c>
      <c r="B924" s="87" t="s">
        <v>15</v>
      </c>
      <c r="C924" s="87" t="s">
        <v>15</v>
      </c>
      <c r="D924" s="87" t="s">
        <v>1855</v>
      </c>
      <c r="E924" s="87" t="s">
        <v>1856</v>
      </c>
      <c r="F924" s="87">
        <v>30.478805099999999</v>
      </c>
      <c r="G924" s="87">
        <v>47.8369367775</v>
      </c>
      <c r="H924" s="86">
        <v>7</v>
      </c>
      <c r="I924" s="86">
        <v>42</v>
      </c>
      <c r="J924" s="87">
        <v>1</v>
      </c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>
        <v>4</v>
      </c>
      <c r="W924" s="87"/>
      <c r="X924" s="87">
        <v>2</v>
      </c>
      <c r="Y924" s="87"/>
      <c r="Z924" s="87"/>
      <c r="AA924" s="87"/>
      <c r="AB924" s="87"/>
      <c r="AC924" s="87">
        <v>3</v>
      </c>
      <c r="AD924" s="87"/>
      <c r="AE924" s="87"/>
      <c r="AF924" s="87"/>
      <c r="AG924" s="87"/>
      <c r="AH924" s="87">
        <v>4</v>
      </c>
      <c r="AI924" s="87"/>
      <c r="AJ924" s="87"/>
      <c r="AK924" s="87"/>
      <c r="AL924" s="87"/>
      <c r="AM924" s="87"/>
      <c r="AN924" s="87"/>
      <c r="AO924" s="87"/>
      <c r="AP924" s="87">
        <v>1</v>
      </c>
      <c r="AQ924" s="87">
        <v>5</v>
      </c>
      <c r="AR924" s="87">
        <v>1</v>
      </c>
      <c r="AS924" s="87"/>
      <c r="AT924" s="87"/>
      <c r="AU924" s="87"/>
      <c r="AV924" s="87"/>
      <c r="AW924" s="88" t="str">
        <f>HYPERLINK("http://www.openstreetmap.org/?mlat=30.4788&amp;mlon=47.8369&amp;zoom=12#map=12/30.4788/47.8369","Maplink1")</f>
        <v>Maplink1</v>
      </c>
      <c r="AX924" s="88" t="str">
        <f>HYPERLINK("https://www.google.iq/maps/search/+30.4788,47.8369/@30.4788,47.8369,14z?hl=en","Maplink2")</f>
        <v>Maplink2</v>
      </c>
      <c r="AY924" s="88" t="str">
        <f>HYPERLINK("http://www.bing.com/maps/?lvl=14&amp;sty=h&amp;cp=30.4788~47.8369&amp;sp=point.30.4788_47.8369","Maplink3")</f>
        <v>Maplink3</v>
      </c>
      <c r="AZ924" s="76"/>
    </row>
    <row r="925" spans="1:52" x14ac:dyDescent="0.25">
      <c r="A925" s="86">
        <v>29678</v>
      </c>
      <c r="B925" s="87" t="s">
        <v>15</v>
      </c>
      <c r="C925" s="87" t="s">
        <v>15</v>
      </c>
      <c r="D925" s="87" t="s">
        <v>1857</v>
      </c>
      <c r="E925" s="87" t="s">
        <v>1858</v>
      </c>
      <c r="F925" s="87">
        <v>30.527530500000001</v>
      </c>
      <c r="G925" s="87">
        <v>47.765590699999997</v>
      </c>
      <c r="H925" s="86">
        <v>1</v>
      </c>
      <c r="I925" s="86">
        <v>6</v>
      </c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>
        <v>1</v>
      </c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>
        <v>1</v>
      </c>
      <c r="AI925" s="87"/>
      <c r="AJ925" s="87"/>
      <c r="AK925" s="87"/>
      <c r="AL925" s="87"/>
      <c r="AM925" s="87"/>
      <c r="AN925" s="87"/>
      <c r="AO925" s="87"/>
      <c r="AP925" s="87"/>
      <c r="AQ925" s="87"/>
      <c r="AR925" s="87">
        <v>1</v>
      </c>
      <c r="AS925" s="87"/>
      <c r="AT925" s="87"/>
      <c r="AU925" s="87"/>
      <c r="AV925" s="87"/>
      <c r="AW925" s="88" t="str">
        <f>HYPERLINK("http://www.openstreetmap.org/?mlat=30.5275&amp;mlon=47.7656&amp;zoom=12#map=12/30.5275/47.7656","Maplink1")</f>
        <v>Maplink1</v>
      </c>
      <c r="AX925" s="88" t="str">
        <f>HYPERLINK("https://www.google.iq/maps/search/+30.5275,47.7656/@30.5275,47.7656,14z?hl=en","Maplink2")</f>
        <v>Maplink2</v>
      </c>
      <c r="AY925" s="88" t="str">
        <f>HYPERLINK("http://www.bing.com/maps/?lvl=14&amp;sty=h&amp;cp=30.5275~47.7656&amp;sp=point.30.5275_47.7656","Maplink3")</f>
        <v>Maplink3</v>
      </c>
      <c r="AZ925" s="76"/>
    </row>
    <row r="926" spans="1:52" x14ac:dyDescent="0.25">
      <c r="A926" s="86">
        <v>25338</v>
      </c>
      <c r="B926" s="87" t="s">
        <v>15</v>
      </c>
      <c r="C926" s="87" t="s">
        <v>1859</v>
      </c>
      <c r="D926" s="87" t="s">
        <v>1860</v>
      </c>
      <c r="E926" s="87" t="s">
        <v>74</v>
      </c>
      <c r="F926" s="87">
        <v>29.9796562945</v>
      </c>
      <c r="G926" s="87">
        <v>48.460778961599999</v>
      </c>
      <c r="H926" s="86">
        <v>1</v>
      </c>
      <c r="I926" s="86">
        <v>6</v>
      </c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>
        <v>1</v>
      </c>
      <c r="Y926" s="87"/>
      <c r="Z926" s="87"/>
      <c r="AA926" s="87"/>
      <c r="AB926" s="87"/>
      <c r="AC926" s="87"/>
      <c r="AD926" s="87"/>
      <c r="AE926" s="87"/>
      <c r="AF926" s="87"/>
      <c r="AG926" s="87"/>
      <c r="AH926" s="87">
        <v>1</v>
      </c>
      <c r="AI926" s="87"/>
      <c r="AJ926" s="87"/>
      <c r="AK926" s="87"/>
      <c r="AL926" s="87"/>
      <c r="AM926" s="87"/>
      <c r="AN926" s="87"/>
      <c r="AO926" s="87"/>
      <c r="AP926" s="87"/>
      <c r="AQ926" s="87">
        <v>1</v>
      </c>
      <c r="AR926" s="87"/>
      <c r="AS926" s="87"/>
      <c r="AT926" s="87"/>
      <c r="AU926" s="87"/>
      <c r="AV926" s="87"/>
      <c r="AW926" s="88" t="str">
        <f>HYPERLINK("http://www.openstreetmap.org/?mlat=29.9797&amp;mlon=48.4608&amp;zoom=12#map=12/29.9797/48.4608","Maplink1")</f>
        <v>Maplink1</v>
      </c>
      <c r="AX926" s="88" t="str">
        <f>HYPERLINK("https://www.google.iq/maps/search/+29.9797,48.4608/@29.9797,48.4608,14z?hl=en","Maplink2")</f>
        <v>Maplink2</v>
      </c>
      <c r="AY926" s="88" t="str">
        <f>HYPERLINK("http://www.bing.com/maps/?lvl=14&amp;sty=h&amp;cp=29.9797~48.4608&amp;sp=point.29.9797_48.4608","Maplink3")</f>
        <v>Maplink3</v>
      </c>
      <c r="AZ926" s="76"/>
    </row>
    <row r="927" spans="1:52" x14ac:dyDescent="0.25">
      <c r="A927" s="86">
        <v>25340</v>
      </c>
      <c r="B927" s="87" t="s">
        <v>15</v>
      </c>
      <c r="C927" s="87" t="s">
        <v>1859</v>
      </c>
      <c r="D927" s="87" t="s">
        <v>1861</v>
      </c>
      <c r="E927" s="87" t="s">
        <v>1862</v>
      </c>
      <c r="F927" s="87">
        <v>29.978780365900001</v>
      </c>
      <c r="G927" s="87">
        <v>48.470444700599998</v>
      </c>
      <c r="H927" s="86">
        <v>4</v>
      </c>
      <c r="I927" s="86">
        <v>24</v>
      </c>
      <c r="J927" s="87">
        <v>4</v>
      </c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>
        <v>4</v>
      </c>
      <c r="AI927" s="87"/>
      <c r="AJ927" s="87"/>
      <c r="AK927" s="87"/>
      <c r="AL927" s="87"/>
      <c r="AM927" s="87"/>
      <c r="AN927" s="87">
        <v>4</v>
      </c>
      <c r="AO927" s="87"/>
      <c r="AP927" s="87"/>
      <c r="AQ927" s="87"/>
      <c r="AR927" s="87"/>
      <c r="AS927" s="87"/>
      <c r="AT927" s="87"/>
      <c r="AU927" s="87"/>
      <c r="AV927" s="87"/>
      <c r="AW927" s="88" t="str">
        <f>HYPERLINK("http://www.openstreetmap.org/?mlat=29.9788&amp;mlon=48.4704&amp;zoom=12#map=12/29.9788/48.4704","Maplink1")</f>
        <v>Maplink1</v>
      </c>
      <c r="AX927" s="88" t="str">
        <f>HYPERLINK("https://www.google.iq/maps/search/+29.9788,48.4704/@29.9788,48.4704,14z?hl=en","Maplink2")</f>
        <v>Maplink2</v>
      </c>
      <c r="AY927" s="88" t="str">
        <f>HYPERLINK("http://www.bing.com/maps/?lvl=14&amp;sty=h&amp;cp=29.9788~48.4704&amp;sp=point.29.9788_48.4704","Maplink3")</f>
        <v>Maplink3</v>
      </c>
      <c r="AZ927" s="76"/>
    </row>
    <row r="928" spans="1:52" x14ac:dyDescent="0.25">
      <c r="A928" s="86">
        <v>25335</v>
      </c>
      <c r="B928" s="87" t="s">
        <v>15</v>
      </c>
      <c r="C928" s="87" t="s">
        <v>1859</v>
      </c>
      <c r="D928" s="87" t="s">
        <v>1863</v>
      </c>
      <c r="E928" s="87" t="s">
        <v>307</v>
      </c>
      <c r="F928" s="87">
        <v>29.973604088599998</v>
      </c>
      <c r="G928" s="87">
        <v>48.470224705699998</v>
      </c>
      <c r="H928" s="86">
        <v>1</v>
      </c>
      <c r="I928" s="86">
        <v>6</v>
      </c>
      <c r="J928" s="87"/>
      <c r="K928" s="87"/>
      <c r="L928" s="87"/>
      <c r="M928" s="87"/>
      <c r="N928" s="87"/>
      <c r="O928" s="87"/>
      <c r="P928" s="87"/>
      <c r="Q928" s="87"/>
      <c r="R928" s="87">
        <v>1</v>
      </c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>
        <v>1</v>
      </c>
      <c r="AI928" s="87"/>
      <c r="AJ928" s="87"/>
      <c r="AK928" s="87"/>
      <c r="AL928" s="87"/>
      <c r="AM928" s="87"/>
      <c r="AN928" s="87"/>
      <c r="AO928" s="87"/>
      <c r="AP928" s="87">
        <v>1</v>
      </c>
      <c r="AQ928" s="87"/>
      <c r="AR928" s="87"/>
      <c r="AS928" s="87"/>
      <c r="AT928" s="87"/>
      <c r="AU928" s="87"/>
      <c r="AV928" s="87"/>
      <c r="AW928" s="88" t="str">
        <f>HYPERLINK("http://www.openstreetmap.org/?mlat=29.9736&amp;mlon=48.4702&amp;zoom=12#map=12/29.9736/48.4702","Maplink1")</f>
        <v>Maplink1</v>
      </c>
      <c r="AX928" s="88" t="str">
        <f>HYPERLINK("https://www.google.iq/maps/search/+29.9736,48.4702/@29.9736,48.4702,14z?hl=en","Maplink2")</f>
        <v>Maplink2</v>
      </c>
      <c r="AY928" s="88" t="str">
        <f>HYPERLINK("http://www.bing.com/maps/?lvl=14&amp;sty=h&amp;cp=29.9736~48.4702&amp;sp=point.29.9736_48.4702","Maplink3")</f>
        <v>Maplink3</v>
      </c>
      <c r="AZ928" s="76"/>
    </row>
    <row r="929" spans="1:52" x14ac:dyDescent="0.25">
      <c r="A929" s="86">
        <v>25334</v>
      </c>
      <c r="B929" s="87" t="s">
        <v>15</v>
      </c>
      <c r="C929" s="87" t="s">
        <v>1859</v>
      </c>
      <c r="D929" s="87" t="s">
        <v>1864</v>
      </c>
      <c r="E929" s="87" t="s">
        <v>1865</v>
      </c>
      <c r="F929" s="87">
        <v>29.9680501289</v>
      </c>
      <c r="G929" s="87">
        <v>48.4805273658</v>
      </c>
      <c r="H929" s="86">
        <v>1</v>
      </c>
      <c r="I929" s="86">
        <v>6</v>
      </c>
      <c r="J929" s="87">
        <v>1</v>
      </c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>
        <v>1</v>
      </c>
      <c r="AI929" s="87"/>
      <c r="AJ929" s="87"/>
      <c r="AK929" s="87"/>
      <c r="AL929" s="87"/>
      <c r="AM929" s="87"/>
      <c r="AN929" s="87">
        <v>1</v>
      </c>
      <c r="AO929" s="87"/>
      <c r="AP929" s="87"/>
      <c r="AQ929" s="87"/>
      <c r="AR929" s="87"/>
      <c r="AS929" s="87"/>
      <c r="AT929" s="87"/>
      <c r="AU929" s="87"/>
      <c r="AV929" s="87"/>
      <c r="AW929" s="88" t="str">
        <f>HYPERLINK("http://www.openstreetmap.org/?mlat=29.9681&amp;mlon=48.4805&amp;zoom=12#map=12/29.9681/48.4805","Maplink1")</f>
        <v>Maplink1</v>
      </c>
      <c r="AX929" s="88" t="str">
        <f>HYPERLINK("https://www.google.iq/maps/search/+29.9681,48.4805/@29.9681,48.4805,14z?hl=en","Maplink2")</f>
        <v>Maplink2</v>
      </c>
      <c r="AY929" s="88" t="str">
        <f>HYPERLINK("http://www.bing.com/maps/?lvl=14&amp;sty=h&amp;cp=29.9681~48.4805&amp;sp=point.29.9681_48.4805","Maplink3")</f>
        <v>Maplink3</v>
      </c>
      <c r="AZ929" s="76"/>
    </row>
    <row r="930" spans="1:52" x14ac:dyDescent="0.25">
      <c r="A930" s="86">
        <v>25337</v>
      </c>
      <c r="B930" s="87" t="s">
        <v>15</v>
      </c>
      <c r="C930" s="87" t="s">
        <v>1859</v>
      </c>
      <c r="D930" s="87" t="s">
        <v>1866</v>
      </c>
      <c r="E930" s="87" t="s">
        <v>1353</v>
      </c>
      <c r="F930" s="87">
        <v>29.962436136899999</v>
      </c>
      <c r="G930" s="87">
        <v>48.476705607900001</v>
      </c>
      <c r="H930" s="86">
        <v>1</v>
      </c>
      <c r="I930" s="86">
        <v>6</v>
      </c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>
        <v>1</v>
      </c>
      <c r="Y930" s="87"/>
      <c r="Z930" s="87"/>
      <c r="AA930" s="87"/>
      <c r="AB930" s="87"/>
      <c r="AC930" s="87">
        <v>1</v>
      </c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>
        <v>1</v>
      </c>
      <c r="AP930" s="87"/>
      <c r="AQ930" s="87"/>
      <c r="AR930" s="87"/>
      <c r="AS930" s="87"/>
      <c r="AT930" s="87"/>
      <c r="AU930" s="87"/>
      <c r="AV930" s="87"/>
      <c r="AW930" s="88" t="str">
        <f>HYPERLINK("http://www.openstreetmap.org/?mlat=29.9624&amp;mlon=48.4767&amp;zoom=12#map=12/29.9624/48.4767","Maplink1")</f>
        <v>Maplink1</v>
      </c>
      <c r="AX930" s="88" t="str">
        <f>HYPERLINK("https://www.google.iq/maps/search/+29.9624,48.4767/@29.9624,48.4767,14z?hl=en","Maplink2")</f>
        <v>Maplink2</v>
      </c>
      <c r="AY930" s="88" t="str">
        <f>HYPERLINK("http://www.bing.com/maps/?lvl=14&amp;sty=h&amp;cp=29.9624~48.4767&amp;sp=point.29.9624_48.4767","Maplink3")</f>
        <v>Maplink3</v>
      </c>
      <c r="AZ930" s="76"/>
    </row>
    <row r="931" spans="1:52" x14ac:dyDescent="0.25">
      <c r="A931" s="86">
        <v>29596</v>
      </c>
      <c r="B931" s="87" t="s">
        <v>15</v>
      </c>
      <c r="C931" s="87" t="s">
        <v>1859</v>
      </c>
      <c r="D931" s="87" t="s">
        <v>1867</v>
      </c>
      <c r="E931" s="87" t="s">
        <v>1868</v>
      </c>
      <c r="F931" s="87">
        <v>30.149539151500001</v>
      </c>
      <c r="G931" s="87">
        <v>48.373523515499997</v>
      </c>
      <c r="H931" s="86">
        <v>2</v>
      </c>
      <c r="I931" s="86">
        <v>12</v>
      </c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>
        <v>2</v>
      </c>
      <c r="Y931" s="87"/>
      <c r="Z931" s="87"/>
      <c r="AA931" s="87"/>
      <c r="AB931" s="87"/>
      <c r="AC931" s="87"/>
      <c r="AD931" s="87"/>
      <c r="AE931" s="87"/>
      <c r="AF931" s="87"/>
      <c r="AG931" s="87"/>
      <c r="AH931" s="87">
        <v>2</v>
      </c>
      <c r="AI931" s="87"/>
      <c r="AJ931" s="87"/>
      <c r="AK931" s="87"/>
      <c r="AL931" s="87"/>
      <c r="AM931" s="87"/>
      <c r="AN931" s="87"/>
      <c r="AO931" s="87"/>
      <c r="AP931" s="87"/>
      <c r="AQ931" s="87">
        <v>1</v>
      </c>
      <c r="AR931" s="87"/>
      <c r="AS931" s="87">
        <v>1</v>
      </c>
      <c r="AT931" s="87"/>
      <c r="AU931" s="87"/>
      <c r="AV931" s="87"/>
      <c r="AW931" s="88" t="str">
        <f>HYPERLINK("http://www.openstreetmap.org/?mlat=30.1495&amp;mlon=48.3735&amp;zoom=12#map=12/30.1495/48.3735","Maplink1")</f>
        <v>Maplink1</v>
      </c>
      <c r="AX931" s="88" t="str">
        <f>HYPERLINK("https://www.google.iq/maps/search/+30.1495,48.3735/@30.1495,48.3735,14z?hl=en","Maplink2")</f>
        <v>Maplink2</v>
      </c>
      <c r="AY931" s="88" t="str">
        <f>HYPERLINK("http://www.bing.com/maps/?lvl=14&amp;sty=h&amp;cp=30.1495~48.3735&amp;sp=point.30.1495_48.3735","Maplink3")</f>
        <v>Maplink3</v>
      </c>
      <c r="AZ931" s="76"/>
    </row>
    <row r="932" spans="1:52" x14ac:dyDescent="0.25">
      <c r="A932" s="86">
        <v>23517</v>
      </c>
      <c r="B932" s="87" t="s">
        <v>15</v>
      </c>
      <c r="C932" s="87" t="s">
        <v>1869</v>
      </c>
      <c r="D932" s="87" t="s">
        <v>1870</v>
      </c>
      <c r="E932" s="87" t="s">
        <v>1871</v>
      </c>
      <c r="F932" s="87">
        <v>30.641924899999999</v>
      </c>
      <c r="G932" s="87">
        <v>47.7734263312</v>
      </c>
      <c r="H932" s="86">
        <v>24</v>
      </c>
      <c r="I932" s="86">
        <v>144</v>
      </c>
      <c r="J932" s="87">
        <v>8</v>
      </c>
      <c r="K932" s="87"/>
      <c r="L932" s="87"/>
      <c r="M932" s="87"/>
      <c r="N932" s="87"/>
      <c r="O932" s="87"/>
      <c r="P932" s="87"/>
      <c r="Q932" s="87"/>
      <c r="R932" s="87">
        <v>2</v>
      </c>
      <c r="S932" s="87"/>
      <c r="T932" s="87"/>
      <c r="U932" s="87"/>
      <c r="V932" s="87">
        <v>13</v>
      </c>
      <c r="W932" s="87"/>
      <c r="X932" s="87">
        <v>1</v>
      </c>
      <c r="Y932" s="87"/>
      <c r="Z932" s="87"/>
      <c r="AA932" s="87"/>
      <c r="AB932" s="87"/>
      <c r="AC932" s="87">
        <v>10</v>
      </c>
      <c r="AD932" s="87"/>
      <c r="AE932" s="87"/>
      <c r="AF932" s="87"/>
      <c r="AG932" s="87"/>
      <c r="AH932" s="87">
        <v>11</v>
      </c>
      <c r="AI932" s="87"/>
      <c r="AJ932" s="87"/>
      <c r="AK932" s="87">
        <v>3</v>
      </c>
      <c r="AL932" s="87"/>
      <c r="AM932" s="87"/>
      <c r="AN932" s="87"/>
      <c r="AO932" s="87">
        <v>9</v>
      </c>
      <c r="AP932" s="87">
        <v>3</v>
      </c>
      <c r="AQ932" s="87">
        <v>6</v>
      </c>
      <c r="AR932" s="87">
        <v>5</v>
      </c>
      <c r="AS932" s="87"/>
      <c r="AT932" s="87">
        <v>1</v>
      </c>
      <c r="AU932" s="87"/>
      <c r="AV932" s="87"/>
      <c r="AW932" s="88" t="str">
        <f>HYPERLINK("http://www.openstreetmap.org/?mlat=30.6419&amp;mlon=47.7734&amp;zoom=12#map=12/30.6419/47.7734","Maplink1")</f>
        <v>Maplink1</v>
      </c>
      <c r="AX932" s="88" t="str">
        <f>HYPERLINK("https://www.google.iq/maps/search/+30.6419,47.7734/@30.6419,47.7734,14z?hl=en","Maplink2")</f>
        <v>Maplink2</v>
      </c>
      <c r="AY932" s="88" t="str">
        <f>HYPERLINK("http://www.bing.com/maps/?lvl=14&amp;sty=h&amp;cp=30.6419~47.7734&amp;sp=point.30.6419_47.7734","Maplink3")</f>
        <v>Maplink3</v>
      </c>
      <c r="AZ932" s="76"/>
    </row>
    <row r="933" spans="1:52" x14ac:dyDescent="0.25">
      <c r="A933" s="86">
        <v>21640</v>
      </c>
      <c r="B933" s="87" t="s">
        <v>15</v>
      </c>
      <c r="C933" s="87" t="s">
        <v>1869</v>
      </c>
      <c r="D933" s="87" t="s">
        <v>1872</v>
      </c>
      <c r="E933" s="87" t="s">
        <v>1873</v>
      </c>
      <c r="F933" s="87">
        <v>30.587352899999999</v>
      </c>
      <c r="G933" s="87">
        <v>47.792734099999997</v>
      </c>
      <c r="H933" s="86">
        <v>1</v>
      </c>
      <c r="I933" s="86">
        <v>6</v>
      </c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>
        <v>1</v>
      </c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>
        <v>1</v>
      </c>
      <c r="AI933" s="87"/>
      <c r="AJ933" s="87"/>
      <c r="AK933" s="87"/>
      <c r="AL933" s="87"/>
      <c r="AM933" s="87"/>
      <c r="AN933" s="87"/>
      <c r="AO933" s="87"/>
      <c r="AP933" s="87"/>
      <c r="AQ933" s="87">
        <v>1</v>
      </c>
      <c r="AR933" s="87"/>
      <c r="AS933" s="87"/>
      <c r="AT933" s="87"/>
      <c r="AU933" s="87"/>
      <c r="AV933" s="87"/>
      <c r="AW933" s="88" t="str">
        <f>HYPERLINK("http://www.openstreetmap.org/?mlat=30.5874&amp;mlon=47.7927&amp;zoom=12#map=12/30.5874/47.7927","Maplink1")</f>
        <v>Maplink1</v>
      </c>
      <c r="AX933" s="88" t="str">
        <f>HYPERLINK("https://www.google.iq/maps/search/+30.5874,47.7927/@30.5874,47.7927,14z?hl=en","Maplink2")</f>
        <v>Maplink2</v>
      </c>
      <c r="AY933" s="88" t="str">
        <f>HYPERLINK("http://www.bing.com/maps/?lvl=14&amp;sty=h&amp;cp=30.5874~47.7927&amp;sp=point.30.5874_47.7927","Maplink3")</f>
        <v>Maplink3</v>
      </c>
      <c r="AZ933" s="76"/>
    </row>
    <row r="934" spans="1:52" x14ac:dyDescent="0.25">
      <c r="A934" s="86">
        <v>1032</v>
      </c>
      <c r="B934" s="87" t="s">
        <v>15</v>
      </c>
      <c r="C934" s="87" t="s">
        <v>1869</v>
      </c>
      <c r="D934" s="87" t="s">
        <v>1874</v>
      </c>
      <c r="E934" s="87" t="s">
        <v>1875</v>
      </c>
      <c r="F934" s="87">
        <v>30.580063200000001</v>
      </c>
      <c r="G934" s="87">
        <v>47.785682453699998</v>
      </c>
      <c r="H934" s="86">
        <v>6</v>
      </c>
      <c r="I934" s="86">
        <v>36</v>
      </c>
      <c r="J934" s="87"/>
      <c r="K934" s="87"/>
      <c r="L934" s="87"/>
      <c r="M934" s="87"/>
      <c r="N934" s="87"/>
      <c r="O934" s="87"/>
      <c r="P934" s="87"/>
      <c r="Q934" s="87"/>
      <c r="R934" s="87">
        <v>1</v>
      </c>
      <c r="S934" s="87"/>
      <c r="T934" s="87"/>
      <c r="U934" s="87"/>
      <c r="V934" s="87">
        <v>4</v>
      </c>
      <c r="W934" s="87"/>
      <c r="X934" s="87">
        <v>1</v>
      </c>
      <c r="Y934" s="87"/>
      <c r="Z934" s="87"/>
      <c r="AA934" s="87"/>
      <c r="AB934" s="87"/>
      <c r="AC934" s="87"/>
      <c r="AD934" s="87"/>
      <c r="AE934" s="87"/>
      <c r="AF934" s="87"/>
      <c r="AG934" s="87"/>
      <c r="AH934" s="87">
        <v>6</v>
      </c>
      <c r="AI934" s="87"/>
      <c r="AJ934" s="87"/>
      <c r="AK934" s="87"/>
      <c r="AL934" s="87"/>
      <c r="AM934" s="87"/>
      <c r="AN934" s="87"/>
      <c r="AO934" s="87"/>
      <c r="AP934" s="87">
        <v>2</v>
      </c>
      <c r="AQ934" s="87">
        <v>4</v>
      </c>
      <c r="AR934" s="87"/>
      <c r="AS934" s="87"/>
      <c r="AT934" s="87"/>
      <c r="AU934" s="87"/>
      <c r="AV934" s="87"/>
      <c r="AW934" s="88" t="str">
        <f>HYPERLINK("http://www.openstreetmap.org/?mlat=30.5801&amp;mlon=47.7857&amp;zoom=12#map=12/30.5801/47.7857","Maplink1")</f>
        <v>Maplink1</v>
      </c>
      <c r="AX934" s="88" t="str">
        <f>HYPERLINK("https://www.google.iq/maps/search/+30.5801,47.7857/@30.5801,47.7857,14z?hl=en","Maplink2")</f>
        <v>Maplink2</v>
      </c>
      <c r="AY934" s="88" t="str">
        <f>HYPERLINK("http://www.bing.com/maps/?lvl=14&amp;sty=h&amp;cp=30.5801~47.7857&amp;sp=point.30.5801_47.7857","Maplink3")</f>
        <v>Maplink3</v>
      </c>
      <c r="AZ934" s="76"/>
    </row>
    <row r="935" spans="1:52" x14ac:dyDescent="0.25">
      <c r="A935" s="86">
        <v>25021</v>
      </c>
      <c r="B935" s="87" t="s">
        <v>15</v>
      </c>
      <c r="C935" s="87" t="s">
        <v>1869</v>
      </c>
      <c r="D935" s="87" t="s">
        <v>1876</v>
      </c>
      <c r="E935" s="87" t="s">
        <v>1877</v>
      </c>
      <c r="F935" s="87">
        <v>30.894576799999999</v>
      </c>
      <c r="G935" s="87">
        <v>47.522860799999997</v>
      </c>
      <c r="H935" s="86">
        <v>4</v>
      </c>
      <c r="I935" s="86">
        <v>24</v>
      </c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>
        <v>4</v>
      </c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>
        <v>4</v>
      </c>
      <c r="AI935" s="87"/>
      <c r="AJ935" s="87"/>
      <c r="AK935" s="87"/>
      <c r="AL935" s="87"/>
      <c r="AM935" s="87"/>
      <c r="AN935" s="87"/>
      <c r="AO935" s="87"/>
      <c r="AP935" s="87"/>
      <c r="AQ935" s="87">
        <v>4</v>
      </c>
      <c r="AR935" s="87"/>
      <c r="AS935" s="87"/>
      <c r="AT935" s="87"/>
      <c r="AU935" s="87"/>
      <c r="AV935" s="87"/>
      <c r="AW935" s="88" t="str">
        <f>HYPERLINK("http://www.openstreetmap.org/?mlat=30.8946&amp;mlon=47.5229&amp;zoom=12#map=12/30.8946/47.5229","Maplink1")</f>
        <v>Maplink1</v>
      </c>
      <c r="AX935" s="88" t="str">
        <f>HYPERLINK("https://www.google.iq/maps/search/+30.8946,47.5229/@30.8946,47.5229,14z?hl=en","Maplink2")</f>
        <v>Maplink2</v>
      </c>
      <c r="AY935" s="88" t="str">
        <f>HYPERLINK("http://www.bing.com/maps/?lvl=14&amp;sty=h&amp;cp=30.8946~47.5229&amp;sp=point.30.8946_47.5229","Maplink3")</f>
        <v>Maplink3</v>
      </c>
      <c r="AZ935" s="76"/>
    </row>
    <row r="936" spans="1:52" x14ac:dyDescent="0.25">
      <c r="A936" s="86">
        <v>23261</v>
      </c>
      <c r="B936" s="87" t="s">
        <v>15</v>
      </c>
      <c r="C936" s="87" t="s">
        <v>1869</v>
      </c>
      <c r="D936" s="87" t="s">
        <v>1878</v>
      </c>
      <c r="E936" s="87" t="s">
        <v>1879</v>
      </c>
      <c r="F936" s="87">
        <v>30.520794737500001</v>
      </c>
      <c r="G936" s="87">
        <v>47.8528611164</v>
      </c>
      <c r="H936" s="86">
        <v>2</v>
      </c>
      <c r="I936" s="86">
        <v>12</v>
      </c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>
        <v>1</v>
      </c>
      <c r="W936" s="87"/>
      <c r="X936" s="87">
        <v>1</v>
      </c>
      <c r="Y936" s="87"/>
      <c r="Z936" s="87"/>
      <c r="AA936" s="87"/>
      <c r="AB936" s="87"/>
      <c r="AC936" s="87"/>
      <c r="AD936" s="87"/>
      <c r="AE936" s="87"/>
      <c r="AF936" s="87"/>
      <c r="AG936" s="87"/>
      <c r="AH936" s="87">
        <v>2</v>
      </c>
      <c r="AI936" s="87"/>
      <c r="AJ936" s="87"/>
      <c r="AK936" s="87"/>
      <c r="AL936" s="87"/>
      <c r="AM936" s="87"/>
      <c r="AN936" s="87"/>
      <c r="AO936" s="87"/>
      <c r="AP936" s="87">
        <v>1</v>
      </c>
      <c r="AQ936" s="87">
        <v>1</v>
      </c>
      <c r="AR936" s="87"/>
      <c r="AS936" s="87"/>
      <c r="AT936" s="87"/>
      <c r="AU936" s="87"/>
      <c r="AV936" s="87"/>
      <c r="AW936" s="88" t="str">
        <f>HYPERLINK("http://www.openstreetmap.org/?mlat=30.5208&amp;mlon=47.8529&amp;zoom=12#map=12/30.5208/47.8529","Maplink1")</f>
        <v>Maplink1</v>
      </c>
      <c r="AX936" s="88" t="str">
        <f>HYPERLINK("https://www.google.iq/maps/search/+30.5208,47.8529/@30.5208,47.8529,14z?hl=en","Maplink2")</f>
        <v>Maplink2</v>
      </c>
      <c r="AY936" s="88" t="str">
        <f>HYPERLINK("http://www.bing.com/maps/?lvl=14&amp;sty=h&amp;cp=30.5208~47.8529&amp;sp=point.30.5208_47.8529","Maplink3")</f>
        <v>Maplink3</v>
      </c>
      <c r="AZ936" s="76"/>
    </row>
    <row r="937" spans="1:52" x14ac:dyDescent="0.25">
      <c r="A937" s="86">
        <v>1013</v>
      </c>
      <c r="B937" s="87" t="s">
        <v>15</v>
      </c>
      <c r="C937" s="87" t="s">
        <v>1869</v>
      </c>
      <c r="D937" s="87" t="s">
        <v>1880</v>
      </c>
      <c r="E937" s="87" t="s">
        <v>1881</v>
      </c>
      <c r="F937" s="87">
        <v>30.582768300000001</v>
      </c>
      <c r="G937" s="87">
        <v>47.810288499999999</v>
      </c>
      <c r="H937" s="86">
        <v>6</v>
      </c>
      <c r="I937" s="86">
        <v>36</v>
      </c>
      <c r="J937" s="87">
        <v>2</v>
      </c>
      <c r="K937" s="87"/>
      <c r="L937" s="87"/>
      <c r="M937" s="87"/>
      <c r="N937" s="87"/>
      <c r="O937" s="87"/>
      <c r="P937" s="87"/>
      <c r="Q937" s="87"/>
      <c r="R937" s="87">
        <v>2</v>
      </c>
      <c r="S937" s="87"/>
      <c r="T937" s="87"/>
      <c r="U937" s="87"/>
      <c r="V937" s="87"/>
      <c r="W937" s="87"/>
      <c r="X937" s="87">
        <v>2</v>
      </c>
      <c r="Y937" s="87"/>
      <c r="Z937" s="87"/>
      <c r="AA937" s="87"/>
      <c r="AB937" s="87"/>
      <c r="AC937" s="87">
        <v>2</v>
      </c>
      <c r="AD937" s="87"/>
      <c r="AE937" s="87"/>
      <c r="AF937" s="87"/>
      <c r="AG937" s="87"/>
      <c r="AH937" s="87">
        <v>4</v>
      </c>
      <c r="AI937" s="87"/>
      <c r="AJ937" s="87"/>
      <c r="AK937" s="87"/>
      <c r="AL937" s="87"/>
      <c r="AM937" s="87"/>
      <c r="AN937" s="87"/>
      <c r="AO937" s="87"/>
      <c r="AP937" s="87">
        <v>3</v>
      </c>
      <c r="AQ937" s="87">
        <v>2</v>
      </c>
      <c r="AR937" s="87"/>
      <c r="AS937" s="87">
        <v>1</v>
      </c>
      <c r="AT937" s="87"/>
      <c r="AU937" s="87"/>
      <c r="AV937" s="87"/>
      <c r="AW937" s="88" t="str">
        <f>HYPERLINK("http://www.openstreetmap.org/?mlat=30.5828&amp;mlon=47.8103&amp;zoom=12#map=12/30.5828/47.8103","Maplink1")</f>
        <v>Maplink1</v>
      </c>
      <c r="AX937" s="88" t="str">
        <f>HYPERLINK("https://www.google.iq/maps/search/+30.5828,47.8103/@30.5828,47.8103,14z?hl=en","Maplink2")</f>
        <v>Maplink2</v>
      </c>
      <c r="AY937" s="88" t="str">
        <f>HYPERLINK("http://www.bing.com/maps/?lvl=14&amp;sty=h&amp;cp=30.5828~47.8103&amp;sp=point.30.5828_47.8103","Maplink3")</f>
        <v>Maplink3</v>
      </c>
      <c r="AZ937" s="76"/>
    </row>
    <row r="938" spans="1:52" x14ac:dyDescent="0.25">
      <c r="A938" s="86">
        <v>30701</v>
      </c>
      <c r="B938" s="87" t="s">
        <v>15</v>
      </c>
      <c r="C938" s="87" t="s">
        <v>1869</v>
      </c>
      <c r="D938" s="87" t="s">
        <v>1882</v>
      </c>
      <c r="E938" s="87" t="s">
        <v>1883</v>
      </c>
      <c r="F938" s="87">
        <v>30.760876799999998</v>
      </c>
      <c r="G938" s="87">
        <v>47.698833999999998</v>
      </c>
      <c r="H938" s="86">
        <v>1</v>
      </c>
      <c r="I938" s="86">
        <v>6</v>
      </c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>
        <v>1</v>
      </c>
      <c r="W938" s="87"/>
      <c r="X938" s="87"/>
      <c r="Y938" s="87"/>
      <c r="Z938" s="87"/>
      <c r="AA938" s="87"/>
      <c r="AB938" s="87"/>
      <c r="AC938" s="87">
        <v>1</v>
      </c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>
        <v>1</v>
      </c>
      <c r="AU938" s="87"/>
      <c r="AV938" s="87"/>
      <c r="AW938" s="88" t="str">
        <f>HYPERLINK("http://www.openstreetmap.org/?mlat=30.7609&amp;mlon=47.6988&amp;zoom=12#map=12/30.7609/47.6988","Maplink1")</f>
        <v>Maplink1</v>
      </c>
      <c r="AX938" s="88" t="str">
        <f>HYPERLINK("https://www.google.iq/maps/search/+30.7609,47.6988/@30.7609,47.6988,14z?hl=en","Maplink2")</f>
        <v>Maplink2</v>
      </c>
      <c r="AY938" s="88" t="str">
        <f>HYPERLINK("http://www.bing.com/maps/?lvl=14&amp;sty=h&amp;cp=30.7609~47.6988&amp;sp=point.30.7609_47.6988","Maplink3")</f>
        <v>Maplink3</v>
      </c>
      <c r="AZ938" s="76"/>
    </row>
    <row r="939" spans="1:52" x14ac:dyDescent="0.25">
      <c r="A939" s="86">
        <v>645</v>
      </c>
      <c r="B939" s="87" t="s">
        <v>15</v>
      </c>
      <c r="C939" s="87" t="s">
        <v>1869</v>
      </c>
      <c r="D939" s="87" t="s">
        <v>1884</v>
      </c>
      <c r="E939" s="87" t="s">
        <v>1885</v>
      </c>
      <c r="F939" s="87">
        <v>30.514363926400002</v>
      </c>
      <c r="G939" s="87">
        <v>47.873427110400002</v>
      </c>
      <c r="H939" s="86">
        <v>21</v>
      </c>
      <c r="I939" s="86">
        <v>126</v>
      </c>
      <c r="J939" s="87">
        <v>1</v>
      </c>
      <c r="K939" s="87"/>
      <c r="L939" s="87">
        <v>17</v>
      </c>
      <c r="M939" s="87"/>
      <c r="N939" s="87"/>
      <c r="O939" s="87">
        <v>1</v>
      </c>
      <c r="P939" s="87"/>
      <c r="Q939" s="87"/>
      <c r="R939" s="87">
        <v>2</v>
      </c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>
        <v>2</v>
      </c>
      <c r="AD939" s="87"/>
      <c r="AE939" s="87">
        <v>7</v>
      </c>
      <c r="AF939" s="87"/>
      <c r="AG939" s="87"/>
      <c r="AH939" s="87">
        <v>2</v>
      </c>
      <c r="AI939" s="87"/>
      <c r="AJ939" s="87"/>
      <c r="AK939" s="87"/>
      <c r="AL939" s="87">
        <v>10</v>
      </c>
      <c r="AM939" s="87"/>
      <c r="AN939" s="87"/>
      <c r="AO939" s="87">
        <v>1</v>
      </c>
      <c r="AP939" s="87">
        <v>4</v>
      </c>
      <c r="AQ939" s="87">
        <v>16</v>
      </c>
      <c r="AR939" s="87"/>
      <c r="AS939" s="87"/>
      <c r="AT939" s="87"/>
      <c r="AU939" s="87"/>
      <c r="AV939" s="87"/>
      <c r="AW939" s="88" t="str">
        <f>HYPERLINK("http://www.openstreetmap.org/?mlat=30.5144&amp;mlon=47.8734&amp;zoom=12#map=12/30.5144/47.8734","Maplink1")</f>
        <v>Maplink1</v>
      </c>
      <c r="AX939" s="88" t="str">
        <f>HYPERLINK("https://www.google.iq/maps/search/+30.5144,47.8734/@30.5144,47.8734,14z?hl=en","Maplink2")</f>
        <v>Maplink2</v>
      </c>
      <c r="AY939" s="88" t="str">
        <f>HYPERLINK("http://www.bing.com/maps/?lvl=14&amp;sty=h&amp;cp=30.5144~47.8734&amp;sp=point.30.5144_47.8734","Maplink3")</f>
        <v>Maplink3</v>
      </c>
      <c r="AZ939" s="76"/>
    </row>
    <row r="940" spans="1:52" x14ac:dyDescent="0.25">
      <c r="A940" s="86">
        <v>936</v>
      </c>
      <c r="B940" s="87" t="s">
        <v>15</v>
      </c>
      <c r="C940" s="87" t="s">
        <v>1869</v>
      </c>
      <c r="D940" s="87" t="s">
        <v>1886</v>
      </c>
      <c r="E940" s="87" t="s">
        <v>1887</v>
      </c>
      <c r="F940" s="87">
        <v>30.5367341</v>
      </c>
      <c r="G940" s="87">
        <v>47.841458600000003</v>
      </c>
      <c r="H940" s="86">
        <v>4</v>
      </c>
      <c r="I940" s="86">
        <v>24</v>
      </c>
      <c r="J940" s="87"/>
      <c r="K940" s="87"/>
      <c r="L940" s="87"/>
      <c r="M940" s="87"/>
      <c r="N940" s="87"/>
      <c r="O940" s="87">
        <v>2</v>
      </c>
      <c r="P940" s="87"/>
      <c r="Q940" s="87"/>
      <c r="R940" s="87">
        <v>2</v>
      </c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>
        <v>4</v>
      </c>
      <c r="AI940" s="87"/>
      <c r="AJ940" s="87"/>
      <c r="AK940" s="87"/>
      <c r="AL940" s="87"/>
      <c r="AM940" s="87"/>
      <c r="AN940" s="87">
        <v>1</v>
      </c>
      <c r="AO940" s="87">
        <v>1</v>
      </c>
      <c r="AP940" s="87">
        <v>2</v>
      </c>
      <c r="AQ940" s="87"/>
      <c r="AR940" s="87"/>
      <c r="AS940" s="87"/>
      <c r="AT940" s="87"/>
      <c r="AU940" s="87"/>
      <c r="AV940" s="87"/>
      <c r="AW940" s="88" t="str">
        <f>HYPERLINK("http://www.openstreetmap.org/?mlat=30.5367&amp;mlon=47.8415&amp;zoom=12#map=12/30.5367/47.8415","Maplink1")</f>
        <v>Maplink1</v>
      </c>
      <c r="AX940" s="88" t="str">
        <f>HYPERLINK("https://www.google.iq/maps/search/+30.5367,47.8415/@30.5367,47.8415,14z?hl=en","Maplink2")</f>
        <v>Maplink2</v>
      </c>
      <c r="AY940" s="88" t="str">
        <f>HYPERLINK("http://www.bing.com/maps/?lvl=14&amp;sty=h&amp;cp=30.5367~47.8415&amp;sp=point.30.5367_47.8415","Maplink3")</f>
        <v>Maplink3</v>
      </c>
      <c r="AZ940" s="76"/>
    </row>
    <row r="941" spans="1:52" x14ac:dyDescent="0.25">
      <c r="A941" s="86">
        <v>21637</v>
      </c>
      <c r="B941" s="87" t="s">
        <v>15</v>
      </c>
      <c r="C941" s="87" t="s">
        <v>1869</v>
      </c>
      <c r="D941" s="87" t="s">
        <v>1888</v>
      </c>
      <c r="E941" s="87" t="s">
        <v>1889</v>
      </c>
      <c r="F941" s="87">
        <v>30.525504699999999</v>
      </c>
      <c r="G941" s="87">
        <v>47.861553700000002</v>
      </c>
      <c r="H941" s="86">
        <v>1</v>
      </c>
      <c r="I941" s="86">
        <v>6</v>
      </c>
      <c r="J941" s="87"/>
      <c r="K941" s="87"/>
      <c r="L941" s="87"/>
      <c r="M941" s="87"/>
      <c r="N941" s="87"/>
      <c r="O941" s="87">
        <v>1</v>
      </c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>
        <v>1</v>
      </c>
      <c r="AI941" s="87"/>
      <c r="AJ941" s="87"/>
      <c r="AK941" s="87"/>
      <c r="AL941" s="87"/>
      <c r="AM941" s="87"/>
      <c r="AN941" s="87"/>
      <c r="AO941" s="87">
        <v>1</v>
      </c>
      <c r="AP941" s="87"/>
      <c r="AQ941" s="87"/>
      <c r="AR941" s="87"/>
      <c r="AS941" s="87"/>
      <c r="AT941" s="87"/>
      <c r="AU941" s="87"/>
      <c r="AV941" s="87"/>
      <c r="AW941" s="88" t="str">
        <f>HYPERLINK("http://www.openstreetmap.org/?mlat=30.5255&amp;mlon=47.8616&amp;zoom=12#map=12/30.5255/47.8616","Maplink1")</f>
        <v>Maplink1</v>
      </c>
      <c r="AX941" s="88" t="str">
        <f>HYPERLINK("https://www.google.iq/maps/search/+30.5255,47.8616/@30.5255,47.8616,14z?hl=en","Maplink2")</f>
        <v>Maplink2</v>
      </c>
      <c r="AY941" s="88" t="str">
        <f>HYPERLINK("http://www.bing.com/maps/?lvl=14&amp;sty=h&amp;cp=30.5255~47.8616&amp;sp=point.30.5255_47.8616","Maplink3")</f>
        <v>Maplink3</v>
      </c>
      <c r="AZ941" s="76"/>
    </row>
    <row r="942" spans="1:52" x14ac:dyDescent="0.25">
      <c r="A942" s="86">
        <v>960</v>
      </c>
      <c r="B942" s="87" t="s">
        <v>15</v>
      </c>
      <c r="C942" s="87" t="s">
        <v>1869</v>
      </c>
      <c r="D942" s="87" t="s">
        <v>1890</v>
      </c>
      <c r="E942" s="87" t="s">
        <v>1891</v>
      </c>
      <c r="F942" s="87">
        <v>30.5412141294</v>
      </c>
      <c r="G942" s="87">
        <v>47.857083206600002</v>
      </c>
      <c r="H942" s="86">
        <v>5</v>
      </c>
      <c r="I942" s="86">
        <v>30</v>
      </c>
      <c r="J942" s="87"/>
      <c r="K942" s="87"/>
      <c r="L942" s="87"/>
      <c r="M942" s="87"/>
      <c r="N942" s="87"/>
      <c r="O942" s="87"/>
      <c r="P942" s="87"/>
      <c r="Q942" s="87"/>
      <c r="R942" s="87">
        <v>1</v>
      </c>
      <c r="S942" s="87"/>
      <c r="T942" s="87"/>
      <c r="U942" s="87"/>
      <c r="V942" s="87">
        <v>1</v>
      </c>
      <c r="W942" s="87"/>
      <c r="X942" s="87">
        <v>3</v>
      </c>
      <c r="Y942" s="87"/>
      <c r="Z942" s="87"/>
      <c r="AA942" s="87"/>
      <c r="AB942" s="87"/>
      <c r="AC942" s="87"/>
      <c r="AD942" s="87"/>
      <c r="AE942" s="87">
        <v>2</v>
      </c>
      <c r="AF942" s="87"/>
      <c r="AG942" s="87"/>
      <c r="AH942" s="87">
        <v>3</v>
      </c>
      <c r="AI942" s="87"/>
      <c r="AJ942" s="87"/>
      <c r="AK942" s="87"/>
      <c r="AL942" s="87"/>
      <c r="AM942" s="87"/>
      <c r="AN942" s="87"/>
      <c r="AO942" s="87">
        <v>1</v>
      </c>
      <c r="AP942" s="87"/>
      <c r="AQ942" s="87">
        <v>4</v>
      </c>
      <c r="AR942" s="87"/>
      <c r="AS942" s="87"/>
      <c r="AT942" s="87"/>
      <c r="AU942" s="87"/>
      <c r="AV942" s="87"/>
      <c r="AW942" s="88" t="str">
        <f>HYPERLINK("http://www.openstreetmap.org/?mlat=30.5412&amp;mlon=47.8571&amp;zoom=12#map=12/30.5412/47.8571","Maplink1")</f>
        <v>Maplink1</v>
      </c>
      <c r="AX942" s="88" t="str">
        <f>HYPERLINK("https://www.google.iq/maps/search/+30.5412,47.8571/@30.5412,47.8571,14z?hl=en","Maplink2")</f>
        <v>Maplink2</v>
      </c>
      <c r="AY942" s="88" t="str">
        <f>HYPERLINK("http://www.bing.com/maps/?lvl=14&amp;sty=h&amp;cp=30.5412~47.8571&amp;sp=point.30.5412_47.8571","Maplink3")</f>
        <v>Maplink3</v>
      </c>
      <c r="AZ942" s="76"/>
    </row>
    <row r="943" spans="1:52" x14ac:dyDescent="0.25">
      <c r="A943" s="86">
        <v>25461</v>
      </c>
      <c r="B943" s="87" t="s">
        <v>15</v>
      </c>
      <c r="C943" s="87" t="s">
        <v>1869</v>
      </c>
      <c r="D943" s="87" t="s">
        <v>1892</v>
      </c>
      <c r="E943" s="87" t="s">
        <v>1893</v>
      </c>
      <c r="F943" s="87">
        <v>30.531168999999998</v>
      </c>
      <c r="G943" s="87">
        <v>47.856419299999999</v>
      </c>
      <c r="H943" s="86">
        <v>4</v>
      </c>
      <c r="I943" s="86">
        <v>24</v>
      </c>
      <c r="J943" s="87"/>
      <c r="K943" s="87">
        <v>4</v>
      </c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>
        <v>4</v>
      </c>
      <c r="AI943" s="87"/>
      <c r="AJ943" s="87"/>
      <c r="AK943" s="87"/>
      <c r="AL943" s="87"/>
      <c r="AM943" s="87"/>
      <c r="AN943" s="87"/>
      <c r="AO943" s="87">
        <v>4</v>
      </c>
      <c r="AP943" s="87"/>
      <c r="AQ943" s="87"/>
      <c r="AR943" s="87"/>
      <c r="AS943" s="87"/>
      <c r="AT943" s="87"/>
      <c r="AU943" s="87"/>
      <c r="AV943" s="87"/>
      <c r="AW943" s="88" t="str">
        <f>HYPERLINK("http://www.openstreetmap.org/?mlat=30.5312&amp;mlon=47.8564&amp;zoom=12#map=12/30.5312/47.8564","Maplink1")</f>
        <v>Maplink1</v>
      </c>
      <c r="AX943" s="88" t="str">
        <f>HYPERLINK("https://www.google.iq/maps/search/+30.5312,47.8564/@30.5312,47.8564,14z?hl=en","Maplink2")</f>
        <v>Maplink2</v>
      </c>
      <c r="AY943" s="88" t="str">
        <f>HYPERLINK("http://www.bing.com/maps/?lvl=14&amp;sty=h&amp;cp=30.5312~47.8564&amp;sp=point.30.5312_47.8564","Maplink3")</f>
        <v>Maplink3</v>
      </c>
      <c r="AZ943" s="76"/>
    </row>
    <row r="944" spans="1:52" x14ac:dyDescent="0.25">
      <c r="A944" s="86">
        <v>24531</v>
      </c>
      <c r="B944" s="87" t="s">
        <v>15</v>
      </c>
      <c r="C944" s="87" t="s">
        <v>1869</v>
      </c>
      <c r="D944" s="87" t="s">
        <v>1894</v>
      </c>
      <c r="E944" s="87" t="s">
        <v>1895</v>
      </c>
      <c r="F944" s="87">
        <v>30.531732300000002</v>
      </c>
      <c r="G944" s="87">
        <v>47.852578600000001</v>
      </c>
      <c r="H944" s="86">
        <v>2</v>
      </c>
      <c r="I944" s="86">
        <v>12</v>
      </c>
      <c r="J944" s="87"/>
      <c r="K944" s="87"/>
      <c r="L944" s="87"/>
      <c r="M944" s="87"/>
      <c r="N944" s="87"/>
      <c r="O944" s="87"/>
      <c r="P944" s="87"/>
      <c r="Q944" s="87"/>
      <c r="R944" s="87">
        <v>2</v>
      </c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>
        <v>2</v>
      </c>
      <c r="AI944" s="87"/>
      <c r="AJ944" s="87"/>
      <c r="AK944" s="87"/>
      <c r="AL944" s="87"/>
      <c r="AM944" s="87"/>
      <c r="AN944" s="87"/>
      <c r="AO944" s="87">
        <v>2</v>
      </c>
      <c r="AP944" s="87"/>
      <c r="AQ944" s="87"/>
      <c r="AR944" s="87"/>
      <c r="AS944" s="87"/>
      <c r="AT944" s="87"/>
      <c r="AU944" s="87"/>
      <c r="AV944" s="87"/>
      <c r="AW944" s="88" t="str">
        <f>HYPERLINK("http://www.openstreetmap.org/?mlat=30.5317&amp;mlon=47.8526&amp;zoom=12#map=12/30.5317/47.8526","Maplink1")</f>
        <v>Maplink1</v>
      </c>
      <c r="AX944" s="88" t="str">
        <f>HYPERLINK("https://www.google.iq/maps/search/+30.5317,47.8526/@30.5317,47.8526,14z?hl=en","Maplink2")</f>
        <v>Maplink2</v>
      </c>
      <c r="AY944" s="88" t="str">
        <f>HYPERLINK("http://www.bing.com/maps/?lvl=14&amp;sty=h&amp;cp=30.5317~47.8526&amp;sp=point.30.5317_47.8526","Maplink3")</f>
        <v>Maplink3</v>
      </c>
      <c r="AZ944" s="76"/>
    </row>
    <row r="945" spans="1:52" x14ac:dyDescent="0.25">
      <c r="A945" s="86">
        <v>24775</v>
      </c>
      <c r="B945" s="87" t="s">
        <v>15</v>
      </c>
      <c r="C945" s="87" t="s">
        <v>1869</v>
      </c>
      <c r="D945" s="87" t="s">
        <v>1896</v>
      </c>
      <c r="E945" s="87" t="s">
        <v>1897</v>
      </c>
      <c r="F945" s="87">
        <v>30.529195099999999</v>
      </c>
      <c r="G945" s="87">
        <v>47.850071700000001</v>
      </c>
      <c r="H945" s="86">
        <v>1</v>
      </c>
      <c r="I945" s="86">
        <v>6</v>
      </c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>
        <v>1</v>
      </c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>
        <v>1</v>
      </c>
      <c r="AI945" s="87"/>
      <c r="AJ945" s="87"/>
      <c r="AK945" s="87"/>
      <c r="AL945" s="87"/>
      <c r="AM945" s="87"/>
      <c r="AN945" s="87"/>
      <c r="AO945" s="87">
        <v>1</v>
      </c>
      <c r="AP945" s="87"/>
      <c r="AQ945" s="87"/>
      <c r="AR945" s="87"/>
      <c r="AS945" s="87"/>
      <c r="AT945" s="87"/>
      <c r="AU945" s="87"/>
      <c r="AV945" s="87"/>
      <c r="AW945" s="88" t="str">
        <f>HYPERLINK("http://www.openstreetmap.org/?mlat=30.5292&amp;mlon=47.8501&amp;zoom=12#map=12/30.5292/47.8501","Maplink1")</f>
        <v>Maplink1</v>
      </c>
      <c r="AX945" s="88" t="str">
        <f>HYPERLINK("https://www.google.iq/maps/search/+30.5292,47.8501/@30.5292,47.8501,14z?hl=en","Maplink2")</f>
        <v>Maplink2</v>
      </c>
      <c r="AY945" s="88" t="str">
        <f>HYPERLINK("http://www.bing.com/maps/?lvl=14&amp;sty=h&amp;cp=30.5292~47.8501&amp;sp=point.30.5292_47.8501","Maplink3")</f>
        <v>Maplink3</v>
      </c>
      <c r="AZ945" s="76"/>
    </row>
    <row r="946" spans="1:52" x14ac:dyDescent="0.25">
      <c r="A946" s="86">
        <v>7861</v>
      </c>
      <c r="B946" s="87" t="s">
        <v>16</v>
      </c>
      <c r="C946" s="87" t="s">
        <v>1898</v>
      </c>
      <c r="D946" s="87" t="s">
        <v>1898</v>
      </c>
      <c r="E946" s="87" t="s">
        <v>1899</v>
      </c>
      <c r="F946" s="87">
        <v>37.092389017499997</v>
      </c>
      <c r="G946" s="87">
        <v>43.487856985199997</v>
      </c>
      <c r="H946" s="86">
        <v>12</v>
      </c>
      <c r="I946" s="86">
        <v>72</v>
      </c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>
        <v>12</v>
      </c>
      <c r="W946" s="87"/>
      <c r="X946" s="87"/>
      <c r="Y946" s="87"/>
      <c r="Z946" s="87"/>
      <c r="AA946" s="87"/>
      <c r="AB946" s="87"/>
      <c r="AC946" s="87">
        <v>1</v>
      </c>
      <c r="AD946" s="87"/>
      <c r="AE946" s="87"/>
      <c r="AF946" s="87"/>
      <c r="AG946" s="87"/>
      <c r="AH946" s="87">
        <v>11</v>
      </c>
      <c r="AI946" s="87"/>
      <c r="AJ946" s="87"/>
      <c r="AK946" s="87"/>
      <c r="AL946" s="87"/>
      <c r="AM946" s="87"/>
      <c r="AN946" s="87"/>
      <c r="AO946" s="87">
        <v>3</v>
      </c>
      <c r="AP946" s="87">
        <v>9</v>
      </c>
      <c r="AQ946" s="87"/>
      <c r="AR946" s="87"/>
      <c r="AS946" s="87"/>
      <c r="AT946" s="87"/>
      <c r="AU946" s="87"/>
      <c r="AV946" s="87"/>
      <c r="AW946" s="88" t="str">
        <f>HYPERLINK("http://www.openstreetmap.org/?mlat=37.0924&amp;mlon=43.4879&amp;zoom=12#map=12/37.0924/43.4879","Maplink1")</f>
        <v>Maplink1</v>
      </c>
      <c r="AX946" s="88" t="str">
        <f>HYPERLINK("https://www.google.iq/maps/search/+37.0924,43.4879/@37.0924,43.4879,14z?hl=en","Maplink2")</f>
        <v>Maplink2</v>
      </c>
      <c r="AY946" s="88" t="str">
        <f>HYPERLINK("http://www.bing.com/maps/?lvl=14&amp;sty=h&amp;cp=37.0924~43.4879&amp;sp=point.37.0924_43.4879","Maplink3")</f>
        <v>Maplink3</v>
      </c>
      <c r="AZ946" s="76"/>
    </row>
    <row r="947" spans="1:52" x14ac:dyDescent="0.25">
      <c r="A947" s="86">
        <v>8171</v>
      </c>
      <c r="B947" s="87" t="s">
        <v>16</v>
      </c>
      <c r="C947" s="87" t="s">
        <v>1898</v>
      </c>
      <c r="D947" s="87" t="s">
        <v>1900</v>
      </c>
      <c r="E947" s="87" t="s">
        <v>1901</v>
      </c>
      <c r="F947" s="87">
        <v>37.108610667999997</v>
      </c>
      <c r="G947" s="87">
        <v>43.319827664400002</v>
      </c>
      <c r="H947" s="86">
        <v>6</v>
      </c>
      <c r="I947" s="86">
        <v>36</v>
      </c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>
        <v>5</v>
      </c>
      <c r="W947" s="87"/>
      <c r="X947" s="87">
        <v>1</v>
      </c>
      <c r="Y947" s="87"/>
      <c r="Z947" s="87"/>
      <c r="AA947" s="87"/>
      <c r="AB947" s="87"/>
      <c r="AC947" s="87">
        <v>5</v>
      </c>
      <c r="AD947" s="87"/>
      <c r="AE947" s="87"/>
      <c r="AF947" s="87"/>
      <c r="AG947" s="87"/>
      <c r="AH947" s="87">
        <v>1</v>
      </c>
      <c r="AI947" s="87"/>
      <c r="AJ947" s="87"/>
      <c r="AK947" s="87"/>
      <c r="AL947" s="87"/>
      <c r="AM947" s="87"/>
      <c r="AN947" s="87"/>
      <c r="AO947" s="87">
        <v>1</v>
      </c>
      <c r="AP947" s="87">
        <v>5</v>
      </c>
      <c r="AQ947" s="87"/>
      <c r="AR947" s="87"/>
      <c r="AS947" s="87"/>
      <c r="AT947" s="87"/>
      <c r="AU947" s="87"/>
      <c r="AV947" s="87"/>
      <c r="AW947" s="88" t="str">
        <f>HYPERLINK("http://www.openstreetmap.org/?mlat=37.1086&amp;mlon=43.3198&amp;zoom=12#map=12/37.1086/43.3198","Maplink1")</f>
        <v>Maplink1</v>
      </c>
      <c r="AX947" s="88" t="str">
        <f>HYPERLINK("https://www.google.iq/maps/search/+37.1086,43.3198/@37.1086,43.3198,14z?hl=en","Maplink2")</f>
        <v>Maplink2</v>
      </c>
      <c r="AY947" s="88" t="str">
        <f>HYPERLINK("http://www.bing.com/maps/?lvl=14&amp;sty=h&amp;cp=37.1086~43.3198&amp;sp=point.37.1086_43.3198","Maplink3")</f>
        <v>Maplink3</v>
      </c>
      <c r="AZ947" s="76"/>
    </row>
    <row r="948" spans="1:52" x14ac:dyDescent="0.25">
      <c r="A948" s="86">
        <v>22613</v>
      </c>
      <c r="B948" s="87" t="s">
        <v>16</v>
      </c>
      <c r="C948" s="87" t="s">
        <v>1898</v>
      </c>
      <c r="D948" s="87" t="s">
        <v>1902</v>
      </c>
      <c r="E948" s="87" t="s">
        <v>1903</v>
      </c>
      <c r="F948" s="87">
        <v>37.046812711299999</v>
      </c>
      <c r="G948" s="87">
        <v>43.363375662800003</v>
      </c>
      <c r="H948" s="86">
        <v>7</v>
      </c>
      <c r="I948" s="86">
        <v>42</v>
      </c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>
        <v>7</v>
      </c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>
        <v>7</v>
      </c>
      <c r="AI948" s="87"/>
      <c r="AJ948" s="87"/>
      <c r="AK948" s="87"/>
      <c r="AL948" s="87"/>
      <c r="AM948" s="87"/>
      <c r="AN948" s="87"/>
      <c r="AO948" s="87">
        <v>5</v>
      </c>
      <c r="AP948" s="87">
        <v>2</v>
      </c>
      <c r="AQ948" s="87"/>
      <c r="AR948" s="87"/>
      <c r="AS948" s="87"/>
      <c r="AT948" s="87"/>
      <c r="AU948" s="87"/>
      <c r="AV948" s="87"/>
      <c r="AW948" s="88" t="str">
        <f>HYPERLINK("http://www.openstreetmap.org/?mlat=37.0468&amp;mlon=43.3634&amp;zoom=12#map=12/37.0468/43.3634","Maplink1")</f>
        <v>Maplink1</v>
      </c>
      <c r="AX948" s="88" t="str">
        <f>HYPERLINK("https://www.google.iq/maps/search/+37.0468,43.3634/@37.0468,43.3634,14z?hl=en","Maplink2")</f>
        <v>Maplink2</v>
      </c>
      <c r="AY948" s="88" t="str">
        <f>HYPERLINK("http://www.bing.com/maps/?lvl=14&amp;sty=h&amp;cp=37.0468~43.3634&amp;sp=point.37.0468_43.3634","Maplink3")</f>
        <v>Maplink3</v>
      </c>
      <c r="AZ948" s="76"/>
    </row>
    <row r="949" spans="1:52" x14ac:dyDescent="0.25">
      <c r="A949" s="86">
        <v>8189</v>
      </c>
      <c r="B949" s="87" t="s">
        <v>16</v>
      </c>
      <c r="C949" s="87" t="s">
        <v>1898</v>
      </c>
      <c r="D949" s="87" t="s">
        <v>1904</v>
      </c>
      <c r="E949" s="87" t="s">
        <v>1905</v>
      </c>
      <c r="F949" s="87">
        <v>37.120577189700001</v>
      </c>
      <c r="G949" s="87">
        <v>43.268689355500001</v>
      </c>
      <c r="H949" s="86">
        <v>7</v>
      </c>
      <c r="I949" s="86">
        <v>42</v>
      </c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>
        <v>7</v>
      </c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>
        <v>7</v>
      </c>
      <c r="AI949" s="87"/>
      <c r="AJ949" s="87"/>
      <c r="AK949" s="87"/>
      <c r="AL949" s="87"/>
      <c r="AM949" s="87"/>
      <c r="AN949" s="87"/>
      <c r="AO949" s="87">
        <v>1</v>
      </c>
      <c r="AP949" s="87">
        <v>6</v>
      </c>
      <c r="AQ949" s="87"/>
      <c r="AR949" s="87"/>
      <c r="AS949" s="87"/>
      <c r="AT949" s="87"/>
      <c r="AU949" s="87"/>
      <c r="AV949" s="87"/>
      <c r="AW949" s="88" t="str">
        <f>HYPERLINK("http://www.openstreetmap.org/?mlat=37.1206&amp;mlon=43.2687&amp;zoom=12#map=12/37.1206/43.2687","Maplink1")</f>
        <v>Maplink1</v>
      </c>
      <c r="AX949" s="88" t="str">
        <f>HYPERLINK("https://www.google.iq/maps/search/+37.1206,43.2687/@37.1206,43.2687,14z?hl=en","Maplink2")</f>
        <v>Maplink2</v>
      </c>
      <c r="AY949" s="88" t="str">
        <f>HYPERLINK("http://www.bing.com/maps/?lvl=14&amp;sty=h&amp;cp=37.1206~43.2687&amp;sp=point.37.1206_43.2687","Maplink3")</f>
        <v>Maplink3</v>
      </c>
      <c r="AZ949" s="76"/>
    </row>
    <row r="950" spans="1:52" x14ac:dyDescent="0.25">
      <c r="A950" s="86">
        <v>8666</v>
      </c>
      <c r="B950" s="87" t="s">
        <v>16</v>
      </c>
      <c r="C950" s="87" t="s">
        <v>1898</v>
      </c>
      <c r="D950" s="87" t="s">
        <v>1906</v>
      </c>
      <c r="E950" s="87" t="s">
        <v>1907</v>
      </c>
      <c r="F950" s="87">
        <v>37.074306161099997</v>
      </c>
      <c r="G950" s="87">
        <v>43.580207108700002</v>
      </c>
      <c r="H950" s="86">
        <v>3</v>
      </c>
      <c r="I950" s="86">
        <v>18</v>
      </c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>
        <v>3</v>
      </c>
      <c r="W950" s="87"/>
      <c r="X950" s="87"/>
      <c r="Y950" s="87"/>
      <c r="Z950" s="87"/>
      <c r="AA950" s="87"/>
      <c r="AB950" s="87"/>
      <c r="AC950" s="87">
        <v>3</v>
      </c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>
        <v>3</v>
      </c>
      <c r="AQ950" s="87"/>
      <c r="AR950" s="87"/>
      <c r="AS950" s="87"/>
      <c r="AT950" s="87"/>
      <c r="AU950" s="87"/>
      <c r="AV950" s="87"/>
      <c r="AW950" s="88" t="str">
        <f>HYPERLINK("http://www.openstreetmap.org/?mlat=37.0743&amp;mlon=43.5802&amp;zoom=12#map=12/37.0743/43.5802","Maplink1")</f>
        <v>Maplink1</v>
      </c>
      <c r="AX950" s="88" t="str">
        <f>HYPERLINK("https://www.google.iq/maps/search/+37.0743,43.5802/@37.0743,43.5802,14z?hl=en","Maplink2")</f>
        <v>Maplink2</v>
      </c>
      <c r="AY950" s="88" t="str">
        <f>HYPERLINK("http://www.bing.com/maps/?lvl=14&amp;sty=h&amp;cp=37.0743~43.5802&amp;sp=point.37.0743_43.5802","Maplink3")</f>
        <v>Maplink3</v>
      </c>
      <c r="AZ950" s="76"/>
    </row>
    <row r="951" spans="1:52" x14ac:dyDescent="0.25">
      <c r="A951" s="86">
        <v>8204</v>
      </c>
      <c r="B951" s="87" t="s">
        <v>16</v>
      </c>
      <c r="C951" s="87" t="s">
        <v>1898</v>
      </c>
      <c r="D951" s="87" t="s">
        <v>1908</v>
      </c>
      <c r="E951" s="87" t="s">
        <v>1909</v>
      </c>
      <c r="F951" s="87">
        <v>37.099497683199999</v>
      </c>
      <c r="G951" s="87">
        <v>43.452949847699998</v>
      </c>
      <c r="H951" s="86">
        <v>7</v>
      </c>
      <c r="I951" s="86">
        <v>42</v>
      </c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>
        <v>7</v>
      </c>
      <c r="W951" s="87"/>
      <c r="X951" s="87"/>
      <c r="Y951" s="87"/>
      <c r="Z951" s="87"/>
      <c r="AA951" s="87"/>
      <c r="AB951" s="87"/>
      <c r="AC951" s="87">
        <v>7</v>
      </c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>
        <v>2</v>
      </c>
      <c r="AP951" s="87">
        <v>5</v>
      </c>
      <c r="AQ951" s="87"/>
      <c r="AR951" s="87"/>
      <c r="AS951" s="87"/>
      <c r="AT951" s="87"/>
      <c r="AU951" s="87"/>
      <c r="AV951" s="87"/>
      <c r="AW951" s="88" t="str">
        <f>HYPERLINK("http://www.openstreetmap.org/?mlat=37.0995&amp;mlon=43.4529&amp;zoom=12#map=12/37.0995/43.4529","Maplink1")</f>
        <v>Maplink1</v>
      </c>
      <c r="AX951" s="88" t="str">
        <f>HYPERLINK("https://www.google.iq/maps/search/+37.0995,43.4529/@37.0995,43.4529,14z?hl=en","Maplink2")</f>
        <v>Maplink2</v>
      </c>
      <c r="AY951" s="88" t="str">
        <f>HYPERLINK("http://www.bing.com/maps/?lvl=14&amp;sty=h&amp;cp=37.0995~43.4529&amp;sp=point.37.0995_43.4529","Maplink3")</f>
        <v>Maplink3</v>
      </c>
      <c r="AZ951" s="76"/>
    </row>
    <row r="952" spans="1:52" x14ac:dyDescent="0.25">
      <c r="A952" s="86">
        <v>7896</v>
      </c>
      <c r="B952" s="87" t="s">
        <v>16</v>
      </c>
      <c r="C952" s="87" t="s">
        <v>1898</v>
      </c>
      <c r="D952" s="87" t="s">
        <v>1910</v>
      </c>
      <c r="E952" s="87" t="s">
        <v>1911</v>
      </c>
      <c r="F952" s="87">
        <v>37.086021856199999</v>
      </c>
      <c r="G952" s="87">
        <v>43.376028685900003</v>
      </c>
      <c r="H952" s="86">
        <v>5</v>
      </c>
      <c r="I952" s="86">
        <v>30</v>
      </c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>
        <v>5</v>
      </c>
      <c r="W952" s="87"/>
      <c r="X952" s="87"/>
      <c r="Y952" s="87"/>
      <c r="Z952" s="87"/>
      <c r="AA952" s="87"/>
      <c r="AB952" s="87"/>
      <c r="AC952" s="87">
        <v>1</v>
      </c>
      <c r="AD952" s="87"/>
      <c r="AE952" s="87"/>
      <c r="AF952" s="87"/>
      <c r="AG952" s="87"/>
      <c r="AH952" s="87">
        <v>2</v>
      </c>
      <c r="AI952" s="87"/>
      <c r="AJ952" s="87"/>
      <c r="AK952" s="87">
        <v>2</v>
      </c>
      <c r="AL952" s="87"/>
      <c r="AM952" s="87"/>
      <c r="AN952" s="87"/>
      <c r="AO952" s="87">
        <v>1</v>
      </c>
      <c r="AP952" s="87">
        <v>4</v>
      </c>
      <c r="AQ952" s="87"/>
      <c r="AR952" s="87"/>
      <c r="AS952" s="87"/>
      <c r="AT952" s="87"/>
      <c r="AU952" s="87"/>
      <c r="AV952" s="87"/>
      <c r="AW952" s="88" t="str">
        <f>HYPERLINK("http://www.openstreetmap.org/?mlat=37.086&amp;mlon=43.376&amp;zoom=12#map=12/37.086/43.376","Maplink1")</f>
        <v>Maplink1</v>
      </c>
      <c r="AX952" s="88" t="str">
        <f>HYPERLINK("https://www.google.iq/maps/search/+37.086,43.376/@37.086,43.376,14z?hl=en","Maplink2")</f>
        <v>Maplink2</v>
      </c>
      <c r="AY952" s="88" t="str">
        <f>HYPERLINK("http://www.bing.com/maps/?lvl=14&amp;sty=h&amp;cp=37.086~43.376&amp;sp=point.37.086_43.376","Maplink3")</f>
        <v>Maplink3</v>
      </c>
      <c r="AZ952" s="76"/>
    </row>
    <row r="953" spans="1:52" x14ac:dyDescent="0.25">
      <c r="A953" s="86">
        <v>8418</v>
      </c>
      <c r="B953" s="87" t="s">
        <v>16</v>
      </c>
      <c r="C953" s="87" t="s">
        <v>1898</v>
      </c>
      <c r="D953" s="87" t="s">
        <v>1912</v>
      </c>
      <c r="E953" s="87" t="s">
        <v>1913</v>
      </c>
      <c r="F953" s="87">
        <v>37.090544127299999</v>
      </c>
      <c r="G953" s="87">
        <v>43.441732584500002</v>
      </c>
      <c r="H953" s="86">
        <v>10</v>
      </c>
      <c r="I953" s="86">
        <v>60</v>
      </c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>
        <v>10</v>
      </c>
      <c r="W953" s="87"/>
      <c r="X953" s="87"/>
      <c r="Y953" s="87"/>
      <c r="Z953" s="87"/>
      <c r="AA953" s="87"/>
      <c r="AB953" s="87"/>
      <c r="AC953" s="87">
        <v>10</v>
      </c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>
        <v>1</v>
      </c>
      <c r="AP953" s="87">
        <v>9</v>
      </c>
      <c r="AQ953" s="87"/>
      <c r="AR953" s="87"/>
      <c r="AS953" s="87"/>
      <c r="AT953" s="87"/>
      <c r="AU953" s="87"/>
      <c r="AV953" s="87"/>
      <c r="AW953" s="88" t="str">
        <f>HYPERLINK("http://www.openstreetmap.org/?mlat=37.0905&amp;mlon=43.4417&amp;zoom=12#map=12/37.0905/43.4417","Maplink1")</f>
        <v>Maplink1</v>
      </c>
      <c r="AX953" s="88" t="str">
        <f>HYPERLINK("https://www.google.iq/maps/search/+37.0905,43.4417/@37.0905,43.4417,14z?hl=en","Maplink2")</f>
        <v>Maplink2</v>
      </c>
      <c r="AY953" s="88" t="str">
        <f>HYPERLINK("http://www.bing.com/maps/?lvl=14&amp;sty=h&amp;cp=37.0905~43.4417&amp;sp=point.37.0905_43.4417","Maplink3")</f>
        <v>Maplink3</v>
      </c>
      <c r="AZ953" s="76"/>
    </row>
    <row r="954" spans="1:52" x14ac:dyDescent="0.25">
      <c r="A954" s="86">
        <v>8214</v>
      </c>
      <c r="B954" s="87" t="s">
        <v>16</v>
      </c>
      <c r="C954" s="87" t="s">
        <v>1898</v>
      </c>
      <c r="D954" s="87" t="s">
        <v>1914</v>
      </c>
      <c r="E954" s="87" t="s">
        <v>1915</v>
      </c>
      <c r="F954" s="87">
        <v>37.231456848800001</v>
      </c>
      <c r="G954" s="87">
        <v>43.166920385499999</v>
      </c>
      <c r="H954" s="86">
        <v>1</v>
      </c>
      <c r="I954" s="86">
        <v>6</v>
      </c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>
        <v>1</v>
      </c>
      <c r="W954" s="87"/>
      <c r="X954" s="87"/>
      <c r="Y954" s="87"/>
      <c r="Z954" s="87"/>
      <c r="AA954" s="87"/>
      <c r="AB954" s="87"/>
      <c r="AC954" s="87">
        <v>1</v>
      </c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>
        <v>1</v>
      </c>
      <c r="AQ954" s="87"/>
      <c r="AR954" s="87"/>
      <c r="AS954" s="87"/>
      <c r="AT954" s="87"/>
      <c r="AU954" s="87"/>
      <c r="AV954" s="87"/>
      <c r="AW954" s="88" t="str">
        <f>HYPERLINK("http://www.openstreetmap.org/?mlat=37.2315&amp;mlon=43.1669&amp;zoom=12#map=12/37.2315/43.1669","Maplink1")</f>
        <v>Maplink1</v>
      </c>
      <c r="AX954" s="88" t="str">
        <f>HYPERLINK("https://www.google.iq/maps/search/+37.2315,43.1669/@37.2315,43.1669,14z?hl=en","Maplink2")</f>
        <v>Maplink2</v>
      </c>
      <c r="AY954" s="88" t="str">
        <f>HYPERLINK("http://www.bing.com/maps/?lvl=14&amp;sty=h&amp;cp=37.2315~43.1669&amp;sp=point.37.2315_43.1669","Maplink3")</f>
        <v>Maplink3</v>
      </c>
      <c r="AZ954" s="76"/>
    </row>
    <row r="955" spans="1:52" x14ac:dyDescent="0.25">
      <c r="A955" s="86">
        <v>7770</v>
      </c>
      <c r="B955" s="87" t="s">
        <v>16</v>
      </c>
      <c r="C955" s="87" t="s">
        <v>1898</v>
      </c>
      <c r="D955" s="87" t="s">
        <v>1916</v>
      </c>
      <c r="E955" s="87" t="s">
        <v>1917</v>
      </c>
      <c r="F955" s="87">
        <v>36.937956096400001</v>
      </c>
      <c r="G955" s="87">
        <v>43.412792201800002</v>
      </c>
      <c r="H955" s="86">
        <v>80</v>
      </c>
      <c r="I955" s="86">
        <v>480</v>
      </c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>
        <v>80</v>
      </c>
      <c r="W955" s="87"/>
      <c r="X955" s="87"/>
      <c r="Y955" s="87"/>
      <c r="Z955" s="87"/>
      <c r="AA955" s="87"/>
      <c r="AB955" s="87"/>
      <c r="AC955" s="87">
        <v>8</v>
      </c>
      <c r="AD955" s="87"/>
      <c r="AE955" s="87"/>
      <c r="AF955" s="87"/>
      <c r="AG955" s="87"/>
      <c r="AH955" s="87">
        <v>69</v>
      </c>
      <c r="AI955" s="87"/>
      <c r="AJ955" s="87"/>
      <c r="AK955" s="87">
        <v>2</v>
      </c>
      <c r="AL955" s="87">
        <v>1</v>
      </c>
      <c r="AM955" s="87"/>
      <c r="AN955" s="87"/>
      <c r="AO955" s="87">
        <v>39</v>
      </c>
      <c r="AP955" s="87">
        <v>41</v>
      </c>
      <c r="AQ955" s="87"/>
      <c r="AR955" s="87"/>
      <c r="AS955" s="87"/>
      <c r="AT955" s="87"/>
      <c r="AU955" s="87"/>
      <c r="AV955" s="87"/>
      <c r="AW955" s="88" t="str">
        <f>HYPERLINK("http://www.openstreetmap.org/?mlat=36.938&amp;mlon=43.4128&amp;zoom=12#map=12/36.938/43.4128","Maplink1")</f>
        <v>Maplink1</v>
      </c>
      <c r="AX955" s="88" t="str">
        <f>HYPERLINK("https://www.google.iq/maps/search/+36.938,43.4128/@36.938,43.4128,14z?hl=en","Maplink2")</f>
        <v>Maplink2</v>
      </c>
      <c r="AY955" s="88" t="str">
        <f>HYPERLINK("http://www.bing.com/maps/?lvl=14&amp;sty=h&amp;cp=36.938~43.4128&amp;sp=point.36.938_43.4128","Maplink3")</f>
        <v>Maplink3</v>
      </c>
      <c r="AZ955" s="76"/>
    </row>
    <row r="956" spans="1:52" x14ac:dyDescent="0.25">
      <c r="A956" s="86">
        <v>24920</v>
      </c>
      <c r="B956" s="87" t="s">
        <v>16</v>
      </c>
      <c r="C956" s="87" t="s">
        <v>1898</v>
      </c>
      <c r="D956" s="87" t="s">
        <v>1918</v>
      </c>
      <c r="E956" s="87" t="s">
        <v>1919</v>
      </c>
      <c r="F956" s="87">
        <v>37.0936533072</v>
      </c>
      <c r="G956" s="87">
        <v>43.227898235200001</v>
      </c>
      <c r="H956" s="86">
        <v>624</v>
      </c>
      <c r="I956" s="86">
        <v>3744</v>
      </c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>
        <v>624</v>
      </c>
      <c r="W956" s="87"/>
      <c r="X956" s="87"/>
      <c r="Y956" s="87"/>
      <c r="Z956" s="87"/>
      <c r="AA956" s="87"/>
      <c r="AB956" s="87">
        <v>624</v>
      </c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>
        <v>2</v>
      </c>
      <c r="AP956" s="87">
        <v>622</v>
      </c>
      <c r="AQ956" s="87"/>
      <c r="AR956" s="87"/>
      <c r="AS956" s="87"/>
      <c r="AT956" s="87"/>
      <c r="AU956" s="87"/>
      <c r="AV956" s="87"/>
      <c r="AW956" s="88" t="str">
        <f>HYPERLINK("http://www.openstreetmap.org/?mlat=37.0937&amp;mlon=43.2279&amp;zoom=12#map=12/37.0937/43.2279","Maplink1")</f>
        <v>Maplink1</v>
      </c>
      <c r="AX956" s="88" t="str">
        <f>HYPERLINK("https://www.google.iq/maps/search/+37.0937,43.2279/@37.0937,43.2279,14z?hl=en","Maplink2")</f>
        <v>Maplink2</v>
      </c>
      <c r="AY956" s="88" t="str">
        <f>HYPERLINK("http://www.bing.com/maps/?lvl=14&amp;sty=h&amp;cp=37.0937~43.2279&amp;sp=point.37.0937_43.2279","Maplink3")</f>
        <v>Maplink3</v>
      </c>
      <c r="AZ956" s="76"/>
    </row>
    <row r="957" spans="1:52" x14ac:dyDescent="0.25">
      <c r="A957" s="86">
        <v>8224</v>
      </c>
      <c r="B957" s="87" t="s">
        <v>16</v>
      </c>
      <c r="C957" s="87" t="s">
        <v>1898</v>
      </c>
      <c r="D957" s="87" t="s">
        <v>1920</v>
      </c>
      <c r="E957" s="87" t="s">
        <v>1921</v>
      </c>
      <c r="F957" s="87">
        <v>37.089272747199999</v>
      </c>
      <c r="G957" s="87">
        <v>43.220583684899999</v>
      </c>
      <c r="H957" s="86">
        <v>3</v>
      </c>
      <c r="I957" s="86">
        <v>18</v>
      </c>
      <c r="J957" s="87"/>
      <c r="K957" s="87"/>
      <c r="L957" s="87">
        <v>2</v>
      </c>
      <c r="M957" s="87"/>
      <c r="N957" s="87"/>
      <c r="O957" s="87"/>
      <c r="P957" s="87"/>
      <c r="Q957" s="87"/>
      <c r="R957" s="87"/>
      <c r="S957" s="87"/>
      <c r="T957" s="87"/>
      <c r="U957" s="87"/>
      <c r="V957" s="87">
        <v>1</v>
      </c>
      <c r="W957" s="87"/>
      <c r="X957" s="87"/>
      <c r="Y957" s="87"/>
      <c r="Z957" s="87"/>
      <c r="AA957" s="87"/>
      <c r="AB957" s="87"/>
      <c r="AC957" s="87">
        <v>3</v>
      </c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>
        <v>2</v>
      </c>
      <c r="AP957" s="87">
        <v>1</v>
      </c>
      <c r="AQ957" s="87"/>
      <c r="AR957" s="87"/>
      <c r="AS957" s="87"/>
      <c r="AT957" s="87"/>
      <c r="AU957" s="87"/>
      <c r="AV957" s="87"/>
      <c r="AW957" s="88" t="str">
        <f>HYPERLINK("http://www.openstreetmap.org/?mlat=37.0893&amp;mlon=43.2206&amp;zoom=12#map=12/37.0893/43.2206","Maplink1")</f>
        <v>Maplink1</v>
      </c>
      <c r="AX957" s="88" t="str">
        <f>HYPERLINK("https://www.google.iq/maps/search/+37.0893,43.2206/@37.0893,43.2206,14z?hl=en","Maplink2")</f>
        <v>Maplink2</v>
      </c>
      <c r="AY957" s="88" t="str">
        <f>HYPERLINK("http://www.bing.com/maps/?lvl=14&amp;sty=h&amp;cp=37.0893~43.2206&amp;sp=point.37.0893_43.2206","Maplink3")</f>
        <v>Maplink3</v>
      </c>
      <c r="AZ957" s="76"/>
    </row>
    <row r="958" spans="1:52" x14ac:dyDescent="0.25">
      <c r="A958" s="86">
        <v>8229</v>
      </c>
      <c r="B958" s="87" t="s">
        <v>16</v>
      </c>
      <c r="C958" s="87" t="s">
        <v>1898</v>
      </c>
      <c r="D958" s="87" t="s">
        <v>1922</v>
      </c>
      <c r="E958" s="87" t="s">
        <v>1923</v>
      </c>
      <c r="F958" s="87">
        <v>37.055043598200001</v>
      </c>
      <c r="G958" s="87">
        <v>43.652203984800003</v>
      </c>
      <c r="H958" s="86">
        <v>24</v>
      </c>
      <c r="I958" s="86">
        <v>144</v>
      </c>
      <c r="J958" s="87">
        <v>1</v>
      </c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>
        <v>23</v>
      </c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>
        <v>24</v>
      </c>
      <c r="AI958" s="87"/>
      <c r="AJ958" s="87"/>
      <c r="AK958" s="87"/>
      <c r="AL958" s="87"/>
      <c r="AM958" s="87"/>
      <c r="AN958" s="87">
        <v>1</v>
      </c>
      <c r="AO958" s="87">
        <v>9</v>
      </c>
      <c r="AP958" s="87">
        <v>14</v>
      </c>
      <c r="AQ958" s="87"/>
      <c r="AR958" s="87"/>
      <c r="AS958" s="87"/>
      <c r="AT958" s="87"/>
      <c r="AU958" s="87"/>
      <c r="AV958" s="87"/>
      <c r="AW958" s="88" t="str">
        <f>HYPERLINK("http://www.openstreetmap.org/?mlat=37.055&amp;mlon=43.6522&amp;zoom=12#map=12/37.055/43.6522","Maplink1")</f>
        <v>Maplink1</v>
      </c>
      <c r="AX958" s="88" t="str">
        <f>HYPERLINK("https://www.google.iq/maps/search/+37.055,43.6522/@37.055,43.6522,14z?hl=en","Maplink2")</f>
        <v>Maplink2</v>
      </c>
      <c r="AY958" s="88" t="str">
        <f>HYPERLINK("http://www.bing.com/maps/?lvl=14&amp;sty=h&amp;cp=37.055~43.6522&amp;sp=point.37.055_43.6522","Maplink3")</f>
        <v>Maplink3</v>
      </c>
      <c r="AZ958" s="76"/>
    </row>
    <row r="959" spans="1:52" x14ac:dyDescent="0.25">
      <c r="A959" s="86">
        <v>33583</v>
      </c>
      <c r="B959" s="87" t="s">
        <v>16</v>
      </c>
      <c r="C959" s="87" t="s">
        <v>1898</v>
      </c>
      <c r="D959" s="87" t="s">
        <v>1924</v>
      </c>
      <c r="E959" s="87" t="s">
        <v>1925</v>
      </c>
      <c r="F959" s="87">
        <v>37.134396682899997</v>
      </c>
      <c r="G959" s="87">
        <v>43.178753048600001</v>
      </c>
      <c r="H959" s="86">
        <v>2</v>
      </c>
      <c r="I959" s="86">
        <v>12</v>
      </c>
      <c r="J959" s="87">
        <v>2</v>
      </c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>
        <v>2</v>
      </c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>
        <v>2</v>
      </c>
      <c r="AO959" s="87"/>
      <c r="AP959" s="87"/>
      <c r="AQ959" s="87"/>
      <c r="AR959" s="87"/>
      <c r="AS959" s="87"/>
      <c r="AT959" s="87"/>
      <c r="AU959" s="87"/>
      <c r="AV959" s="87"/>
      <c r="AW959" s="88" t="str">
        <f>HYPERLINK("http://www.openstreetmap.org/?mlat=37.1344&amp;mlon=43.1788&amp;zoom=12#map=12/37.1344/43.1788","Maplink1")</f>
        <v>Maplink1</v>
      </c>
      <c r="AX959" s="88" t="str">
        <f>HYPERLINK("https://www.google.iq/maps/search/+37.1344,43.1788/@37.1344,43.1788,14z?hl=en","Maplink2")</f>
        <v>Maplink2</v>
      </c>
      <c r="AY959" s="88" t="str">
        <f>HYPERLINK("http://www.bing.com/maps/?lvl=14&amp;sty=h&amp;cp=37.1344~43.1788&amp;sp=point.37.1344_43.1788","Maplink3")</f>
        <v>Maplink3</v>
      </c>
      <c r="AZ959" s="76"/>
    </row>
    <row r="960" spans="1:52" x14ac:dyDescent="0.25">
      <c r="A960" s="86">
        <v>7785</v>
      </c>
      <c r="B960" s="87" t="s">
        <v>16</v>
      </c>
      <c r="C960" s="87" t="s">
        <v>1898</v>
      </c>
      <c r="D960" s="87" t="s">
        <v>1926</v>
      </c>
      <c r="E960" s="87" t="s">
        <v>1927</v>
      </c>
      <c r="F960" s="87">
        <v>37.1022617076</v>
      </c>
      <c r="G960" s="87">
        <v>43.203713854199997</v>
      </c>
      <c r="H960" s="86">
        <v>4</v>
      </c>
      <c r="I960" s="86">
        <v>24</v>
      </c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>
        <v>4</v>
      </c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>
        <v>4</v>
      </c>
      <c r="AL960" s="87"/>
      <c r="AM960" s="87"/>
      <c r="AN960" s="87"/>
      <c r="AO960" s="87"/>
      <c r="AP960" s="87">
        <v>4</v>
      </c>
      <c r="AQ960" s="87"/>
      <c r="AR960" s="87"/>
      <c r="AS960" s="87"/>
      <c r="AT960" s="87"/>
      <c r="AU960" s="87"/>
      <c r="AV960" s="87"/>
      <c r="AW960" s="88" t="str">
        <f>HYPERLINK("http://www.openstreetmap.org/?mlat=37.1023&amp;mlon=43.2037&amp;zoom=12#map=12/37.1023/43.2037","Maplink1")</f>
        <v>Maplink1</v>
      </c>
      <c r="AX960" s="88" t="str">
        <f>HYPERLINK("https://www.google.iq/maps/search/+37.1023,43.2037/@37.1023,43.2037,14z?hl=en","Maplink2")</f>
        <v>Maplink2</v>
      </c>
      <c r="AY960" s="88" t="str">
        <f>HYPERLINK("http://www.bing.com/maps/?lvl=14&amp;sty=h&amp;cp=37.1023~43.2037&amp;sp=point.37.1023_43.2037","Maplink3")</f>
        <v>Maplink3</v>
      </c>
      <c r="AZ960" s="76"/>
    </row>
    <row r="961" spans="1:52" x14ac:dyDescent="0.25">
      <c r="A961" s="86">
        <v>33584</v>
      </c>
      <c r="B961" s="87" t="s">
        <v>16</v>
      </c>
      <c r="C961" s="87" t="s">
        <v>1898</v>
      </c>
      <c r="D961" s="87" t="s">
        <v>1928</v>
      </c>
      <c r="E961" s="87" t="s">
        <v>1929</v>
      </c>
      <c r="F961" s="87">
        <v>37.072579834800003</v>
      </c>
      <c r="G961" s="87">
        <v>43.604844292099997</v>
      </c>
      <c r="H961" s="86">
        <v>3</v>
      </c>
      <c r="I961" s="86">
        <v>18</v>
      </c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>
        <v>3</v>
      </c>
      <c r="W961" s="87"/>
      <c r="X961" s="87"/>
      <c r="Y961" s="87"/>
      <c r="Z961" s="87"/>
      <c r="AA961" s="87"/>
      <c r="AB961" s="87"/>
      <c r="AC961" s="87">
        <v>3</v>
      </c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>
        <v>2</v>
      </c>
      <c r="AP961" s="87">
        <v>1</v>
      </c>
      <c r="AQ961" s="87"/>
      <c r="AR961" s="87"/>
      <c r="AS961" s="87"/>
      <c r="AT961" s="87"/>
      <c r="AU961" s="87"/>
      <c r="AV961" s="87"/>
      <c r="AW961" s="88" t="str">
        <f>HYPERLINK("http://www.openstreetmap.org/?mlat=37.0726&amp;mlon=43.6048&amp;zoom=12#map=12/37.0726/43.6048","Maplink1")</f>
        <v>Maplink1</v>
      </c>
      <c r="AX961" s="88" t="str">
        <f>HYPERLINK("https://www.google.iq/maps/search/+37.0726,43.6048/@37.0726,43.6048,14z?hl=en","Maplink2")</f>
        <v>Maplink2</v>
      </c>
      <c r="AY961" s="88" t="str">
        <f>HYPERLINK("http://www.bing.com/maps/?lvl=14&amp;sty=h&amp;cp=37.0726~43.6048&amp;sp=point.37.0726_43.6048","Maplink3")</f>
        <v>Maplink3</v>
      </c>
      <c r="AZ961" s="76"/>
    </row>
    <row r="962" spans="1:52" x14ac:dyDescent="0.25">
      <c r="A962" s="86">
        <v>7788</v>
      </c>
      <c r="B962" s="87" t="s">
        <v>16</v>
      </c>
      <c r="C962" s="87" t="s">
        <v>1898</v>
      </c>
      <c r="D962" s="87" t="s">
        <v>1930</v>
      </c>
      <c r="E962" s="87" t="s">
        <v>1931</v>
      </c>
      <c r="F962" s="87">
        <v>37.118182429400001</v>
      </c>
      <c r="G962" s="87">
        <v>43.166003482699999</v>
      </c>
      <c r="H962" s="86">
        <v>5</v>
      </c>
      <c r="I962" s="86">
        <v>30</v>
      </c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>
        <v>5</v>
      </c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>
        <v>5</v>
      </c>
      <c r="AL962" s="87"/>
      <c r="AM962" s="87"/>
      <c r="AN962" s="87"/>
      <c r="AO962" s="87"/>
      <c r="AP962" s="87">
        <v>5</v>
      </c>
      <c r="AQ962" s="87"/>
      <c r="AR962" s="87"/>
      <c r="AS962" s="87"/>
      <c r="AT962" s="87"/>
      <c r="AU962" s="87"/>
      <c r="AV962" s="87"/>
      <c r="AW962" s="88" t="str">
        <f>HYPERLINK("http://www.openstreetmap.org/?mlat=37.1182&amp;mlon=43.166&amp;zoom=12#map=12/37.1182/43.166","Maplink1")</f>
        <v>Maplink1</v>
      </c>
      <c r="AX962" s="88" t="str">
        <f>HYPERLINK("https://www.google.iq/maps/search/+37.1182,43.166/@37.1182,43.166,14z?hl=en","Maplink2")</f>
        <v>Maplink2</v>
      </c>
      <c r="AY962" s="88" t="str">
        <f>HYPERLINK("http://www.bing.com/maps/?lvl=14&amp;sty=h&amp;cp=37.1182~43.166&amp;sp=point.37.1182_43.166","Maplink3")</f>
        <v>Maplink3</v>
      </c>
      <c r="AZ962" s="76"/>
    </row>
    <row r="963" spans="1:52" x14ac:dyDescent="0.25">
      <c r="A963" s="86">
        <v>7863</v>
      </c>
      <c r="B963" s="87" t="s">
        <v>16</v>
      </c>
      <c r="C963" s="87" t="s">
        <v>1898</v>
      </c>
      <c r="D963" s="87" t="s">
        <v>1932</v>
      </c>
      <c r="E963" s="87" t="s">
        <v>1933</v>
      </c>
      <c r="F963" s="87">
        <v>37.093217134299998</v>
      </c>
      <c r="G963" s="87">
        <v>43.426191481899998</v>
      </c>
      <c r="H963" s="86">
        <v>5</v>
      </c>
      <c r="I963" s="86">
        <v>30</v>
      </c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>
        <v>5</v>
      </c>
      <c r="W963" s="87"/>
      <c r="X963" s="87"/>
      <c r="Y963" s="87"/>
      <c r="Z963" s="87"/>
      <c r="AA963" s="87"/>
      <c r="AB963" s="87"/>
      <c r="AC963" s="87">
        <v>3</v>
      </c>
      <c r="AD963" s="87"/>
      <c r="AE963" s="87"/>
      <c r="AF963" s="87"/>
      <c r="AG963" s="87"/>
      <c r="AH963" s="87"/>
      <c r="AI963" s="87"/>
      <c r="AJ963" s="87"/>
      <c r="AK963" s="87">
        <v>2</v>
      </c>
      <c r="AL963" s="87"/>
      <c r="AM963" s="87"/>
      <c r="AN963" s="87"/>
      <c r="AO963" s="87"/>
      <c r="AP963" s="87">
        <v>5</v>
      </c>
      <c r="AQ963" s="87"/>
      <c r="AR963" s="87"/>
      <c r="AS963" s="87"/>
      <c r="AT963" s="87"/>
      <c r="AU963" s="87"/>
      <c r="AV963" s="87"/>
      <c r="AW963" s="88" t="str">
        <f>HYPERLINK("http://www.openstreetmap.org/?mlat=37.0932&amp;mlon=43.4262&amp;zoom=12#map=12/37.0932/43.4262","Maplink1")</f>
        <v>Maplink1</v>
      </c>
      <c r="AX963" s="88" t="str">
        <f>HYPERLINK("https://www.google.iq/maps/search/+37.0932,43.4262/@37.0932,43.4262,14z?hl=en","Maplink2")</f>
        <v>Maplink2</v>
      </c>
      <c r="AY963" s="88" t="str">
        <f>HYPERLINK("http://www.bing.com/maps/?lvl=14&amp;sty=h&amp;cp=37.0932~43.4262&amp;sp=point.37.0932_43.4262","Maplink3")</f>
        <v>Maplink3</v>
      </c>
      <c r="AZ963" s="76"/>
    </row>
    <row r="964" spans="1:52" x14ac:dyDescent="0.25">
      <c r="A964" s="86">
        <v>7860</v>
      </c>
      <c r="B964" s="87" t="s">
        <v>16</v>
      </c>
      <c r="C964" s="87" t="s">
        <v>1898</v>
      </c>
      <c r="D964" s="87" t="s">
        <v>1934</v>
      </c>
      <c r="E964" s="87" t="s">
        <v>1935</v>
      </c>
      <c r="F964" s="87">
        <v>37.108699111599996</v>
      </c>
      <c r="G964" s="87">
        <v>43.360851950499999</v>
      </c>
      <c r="H964" s="86">
        <v>25</v>
      </c>
      <c r="I964" s="86">
        <v>150</v>
      </c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>
        <v>25</v>
      </c>
      <c r="W964" s="87"/>
      <c r="X964" s="87"/>
      <c r="Y964" s="87"/>
      <c r="Z964" s="87"/>
      <c r="AA964" s="87"/>
      <c r="AB964" s="87"/>
      <c r="AC964" s="87">
        <v>11</v>
      </c>
      <c r="AD964" s="87"/>
      <c r="AE964" s="87"/>
      <c r="AF964" s="87"/>
      <c r="AG964" s="87"/>
      <c r="AH964" s="87"/>
      <c r="AI964" s="87"/>
      <c r="AJ964" s="87"/>
      <c r="AK964" s="87">
        <v>14</v>
      </c>
      <c r="AL964" s="87"/>
      <c r="AM964" s="87"/>
      <c r="AN964" s="87"/>
      <c r="AO964" s="87"/>
      <c r="AP964" s="87">
        <v>25</v>
      </c>
      <c r="AQ964" s="87"/>
      <c r="AR964" s="87"/>
      <c r="AS964" s="87"/>
      <c r="AT964" s="87"/>
      <c r="AU964" s="87"/>
      <c r="AV964" s="87"/>
      <c r="AW964" s="88" t="str">
        <f>HYPERLINK("http://www.openstreetmap.org/?mlat=37.1087&amp;mlon=43.3609&amp;zoom=12#map=12/37.1087/43.3609","Maplink1")</f>
        <v>Maplink1</v>
      </c>
      <c r="AX964" s="88" t="str">
        <f>HYPERLINK("https://www.google.iq/maps/search/+37.1087,43.3609/@37.1087,43.3609,14z?hl=en","Maplink2")</f>
        <v>Maplink2</v>
      </c>
      <c r="AY964" s="88" t="str">
        <f>HYPERLINK("http://www.bing.com/maps/?lvl=14&amp;sty=h&amp;cp=37.1087~43.3609&amp;sp=point.37.1087_43.3609","Maplink3")</f>
        <v>Maplink3</v>
      </c>
      <c r="AZ964" s="76"/>
    </row>
    <row r="965" spans="1:52" x14ac:dyDescent="0.25">
      <c r="A965" s="86">
        <v>29567</v>
      </c>
      <c r="B965" s="87" t="s">
        <v>16</v>
      </c>
      <c r="C965" s="87" t="s">
        <v>1898</v>
      </c>
      <c r="D965" s="87" t="s">
        <v>1936</v>
      </c>
      <c r="E965" s="87" t="s">
        <v>1937</v>
      </c>
      <c r="F965" s="87">
        <v>37.083808304500003</v>
      </c>
      <c r="G965" s="87">
        <v>43.524796335799998</v>
      </c>
      <c r="H965" s="86">
        <v>6</v>
      </c>
      <c r="I965" s="86">
        <v>36</v>
      </c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>
        <v>6</v>
      </c>
      <c r="W965" s="87"/>
      <c r="X965" s="87"/>
      <c r="Y965" s="87"/>
      <c r="Z965" s="87"/>
      <c r="AA965" s="87"/>
      <c r="AB965" s="87"/>
      <c r="AC965" s="87">
        <v>6</v>
      </c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>
        <v>1</v>
      </c>
      <c r="AP965" s="87">
        <v>5</v>
      </c>
      <c r="AQ965" s="87"/>
      <c r="AR965" s="87"/>
      <c r="AS965" s="87"/>
      <c r="AT965" s="87"/>
      <c r="AU965" s="87"/>
      <c r="AV965" s="87"/>
      <c r="AW965" s="88" t="str">
        <f>HYPERLINK("http://www.openstreetmap.org/?mlat=37.0838&amp;mlon=43.5248&amp;zoom=12#map=12/37.0838/43.5248","Maplink1")</f>
        <v>Maplink1</v>
      </c>
      <c r="AX965" s="88" t="str">
        <f>HYPERLINK("https://www.google.iq/maps/search/+37.0838,43.5248/@37.0838,43.5248,14z?hl=en","Maplink2")</f>
        <v>Maplink2</v>
      </c>
      <c r="AY965" s="88" t="str">
        <f>HYPERLINK("http://www.bing.com/maps/?lvl=14&amp;sty=h&amp;cp=37.0838~43.5248&amp;sp=point.37.0838_43.5248","Maplink3")</f>
        <v>Maplink3</v>
      </c>
      <c r="AZ965" s="76"/>
    </row>
    <row r="966" spans="1:52" x14ac:dyDescent="0.25">
      <c r="A966" s="86">
        <v>8443</v>
      </c>
      <c r="B966" s="87" t="s">
        <v>16</v>
      </c>
      <c r="C966" s="87" t="s">
        <v>1898</v>
      </c>
      <c r="D966" s="87" t="s">
        <v>1938</v>
      </c>
      <c r="E966" s="87" t="s">
        <v>1939</v>
      </c>
      <c r="F966" s="87">
        <v>37.228036450799998</v>
      </c>
      <c r="G966" s="87">
        <v>43.438623651900002</v>
      </c>
      <c r="H966" s="86">
        <v>12</v>
      </c>
      <c r="I966" s="86">
        <v>72</v>
      </c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>
        <v>12</v>
      </c>
      <c r="W966" s="87"/>
      <c r="X966" s="87"/>
      <c r="Y966" s="87"/>
      <c r="Z966" s="87"/>
      <c r="AA966" s="87"/>
      <c r="AB966" s="87"/>
      <c r="AC966" s="87">
        <v>12</v>
      </c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>
        <v>3</v>
      </c>
      <c r="AP966" s="87">
        <v>9</v>
      </c>
      <c r="AQ966" s="87"/>
      <c r="AR966" s="87"/>
      <c r="AS966" s="87"/>
      <c r="AT966" s="87"/>
      <c r="AU966" s="87"/>
      <c r="AV966" s="87"/>
      <c r="AW966" s="88" t="str">
        <f>HYPERLINK("http://www.openstreetmap.org/?mlat=37.228&amp;mlon=43.4386&amp;zoom=12#map=12/37.228/43.4386","Maplink1")</f>
        <v>Maplink1</v>
      </c>
      <c r="AX966" s="88" t="str">
        <f>HYPERLINK("https://www.google.iq/maps/search/+37.228,43.4386/@37.228,43.4386,14z?hl=en","Maplink2")</f>
        <v>Maplink2</v>
      </c>
      <c r="AY966" s="88" t="str">
        <f>HYPERLINK("http://www.bing.com/maps/?lvl=14&amp;sty=h&amp;cp=37.228~43.4386&amp;sp=point.37.228_43.4386","Maplink3")</f>
        <v>Maplink3</v>
      </c>
      <c r="AZ966" s="76"/>
    </row>
    <row r="967" spans="1:52" x14ac:dyDescent="0.25">
      <c r="A967" s="86">
        <v>22546</v>
      </c>
      <c r="B967" s="87" t="s">
        <v>16</v>
      </c>
      <c r="C967" s="87" t="s">
        <v>1898</v>
      </c>
      <c r="D967" s="87" t="s">
        <v>1940</v>
      </c>
      <c r="E967" s="87" t="s">
        <v>1941</v>
      </c>
      <c r="F967" s="87">
        <v>37.066700917799999</v>
      </c>
      <c r="G967" s="87">
        <v>43.263683862400001</v>
      </c>
      <c r="H967" s="86">
        <v>5</v>
      </c>
      <c r="I967" s="86">
        <v>30</v>
      </c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>
        <v>5</v>
      </c>
      <c r="W967" s="87"/>
      <c r="X967" s="87"/>
      <c r="Y967" s="87"/>
      <c r="Z967" s="87"/>
      <c r="AA967" s="87"/>
      <c r="AB967" s="87"/>
      <c r="AC967" s="87">
        <v>5</v>
      </c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>
        <v>5</v>
      </c>
      <c r="AQ967" s="87"/>
      <c r="AR967" s="87"/>
      <c r="AS967" s="87"/>
      <c r="AT967" s="87"/>
      <c r="AU967" s="87"/>
      <c r="AV967" s="87"/>
      <c r="AW967" s="88" t="str">
        <f>HYPERLINK("http://www.openstreetmap.org/?mlat=37.0667&amp;mlon=43.2637&amp;zoom=12#map=12/37.0667/43.2637","Maplink1")</f>
        <v>Maplink1</v>
      </c>
      <c r="AX967" s="88" t="str">
        <f>HYPERLINK("https://www.google.iq/maps/search/+37.0667,43.2637/@37.0667,43.2637,14z?hl=en","Maplink2")</f>
        <v>Maplink2</v>
      </c>
      <c r="AY967" s="88" t="str">
        <f>HYPERLINK("http://www.bing.com/maps/?lvl=14&amp;sty=h&amp;cp=37.0667~43.2637&amp;sp=point.37.0667_43.2637","Maplink3")</f>
        <v>Maplink3</v>
      </c>
      <c r="AZ967" s="76"/>
    </row>
    <row r="968" spans="1:52" x14ac:dyDescent="0.25">
      <c r="A968" s="86">
        <v>23903</v>
      </c>
      <c r="B968" s="87" t="s">
        <v>16</v>
      </c>
      <c r="C968" s="87" t="s">
        <v>1898</v>
      </c>
      <c r="D968" s="87" t="s">
        <v>1942</v>
      </c>
      <c r="E968" s="87" t="s">
        <v>1943</v>
      </c>
      <c r="F968" s="87">
        <v>37.100904421599999</v>
      </c>
      <c r="G968" s="87">
        <v>43.495156701900001</v>
      </c>
      <c r="H968" s="86">
        <v>23</v>
      </c>
      <c r="I968" s="86">
        <v>138</v>
      </c>
      <c r="J968" s="87">
        <v>2</v>
      </c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>
        <v>20</v>
      </c>
      <c r="W968" s="87"/>
      <c r="X968" s="87">
        <v>1</v>
      </c>
      <c r="Y968" s="87"/>
      <c r="Z968" s="87"/>
      <c r="AA968" s="87"/>
      <c r="AB968" s="87"/>
      <c r="AC968" s="87">
        <v>4</v>
      </c>
      <c r="AD968" s="87"/>
      <c r="AE968" s="87"/>
      <c r="AF968" s="87"/>
      <c r="AG968" s="87"/>
      <c r="AH968" s="87">
        <v>19</v>
      </c>
      <c r="AI968" s="87"/>
      <c r="AJ968" s="87"/>
      <c r="AK968" s="87"/>
      <c r="AL968" s="87"/>
      <c r="AM968" s="87"/>
      <c r="AN968" s="87">
        <v>2</v>
      </c>
      <c r="AO968" s="87">
        <v>7</v>
      </c>
      <c r="AP968" s="87">
        <v>14</v>
      </c>
      <c r="AQ968" s="87"/>
      <c r="AR968" s="87"/>
      <c r="AS968" s="87"/>
      <c r="AT968" s="87"/>
      <c r="AU968" s="87"/>
      <c r="AV968" s="87"/>
      <c r="AW968" s="88" t="str">
        <f>HYPERLINK("http://www.openstreetmap.org/?mlat=37.1009&amp;mlon=43.4952&amp;zoom=12#map=12/37.1009/43.4952","Maplink1")</f>
        <v>Maplink1</v>
      </c>
      <c r="AX968" s="88" t="str">
        <f>HYPERLINK("https://www.google.iq/maps/search/+37.1009,43.4952/@37.1009,43.4952,14z?hl=en","Maplink2")</f>
        <v>Maplink2</v>
      </c>
      <c r="AY968" s="88" t="str">
        <f>HYPERLINK("http://www.bing.com/maps/?lvl=14&amp;sty=h&amp;cp=37.1009~43.4952&amp;sp=point.37.1009_43.4952","Maplink3")</f>
        <v>Maplink3</v>
      </c>
      <c r="AZ968" s="76"/>
    </row>
    <row r="969" spans="1:52" x14ac:dyDescent="0.25">
      <c r="A969" s="86">
        <v>8525</v>
      </c>
      <c r="B969" s="87" t="s">
        <v>16</v>
      </c>
      <c r="C969" s="87" t="s">
        <v>1898</v>
      </c>
      <c r="D969" s="87" t="s">
        <v>1944</v>
      </c>
      <c r="E969" s="87" t="s">
        <v>1945</v>
      </c>
      <c r="F969" s="87">
        <v>37.089228558099997</v>
      </c>
      <c r="G969" s="87">
        <v>43.513479159100001</v>
      </c>
      <c r="H969" s="86">
        <v>10</v>
      </c>
      <c r="I969" s="86">
        <v>60</v>
      </c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>
        <v>10</v>
      </c>
      <c r="W969" s="87"/>
      <c r="X969" s="87"/>
      <c r="Y969" s="87"/>
      <c r="Z969" s="87"/>
      <c r="AA969" s="87"/>
      <c r="AB969" s="87"/>
      <c r="AC969" s="87">
        <v>1</v>
      </c>
      <c r="AD969" s="87"/>
      <c r="AE969" s="87"/>
      <c r="AF969" s="87"/>
      <c r="AG969" s="87"/>
      <c r="AH969" s="87">
        <v>9</v>
      </c>
      <c r="AI969" s="87"/>
      <c r="AJ969" s="87"/>
      <c r="AK969" s="87"/>
      <c r="AL969" s="87"/>
      <c r="AM969" s="87"/>
      <c r="AN969" s="87"/>
      <c r="AO969" s="87">
        <v>3</v>
      </c>
      <c r="AP969" s="87">
        <v>7</v>
      </c>
      <c r="AQ969" s="87"/>
      <c r="AR969" s="87"/>
      <c r="AS969" s="87"/>
      <c r="AT969" s="87"/>
      <c r="AU969" s="87"/>
      <c r="AV969" s="87"/>
      <c r="AW969" s="88" t="str">
        <f>HYPERLINK("http://www.openstreetmap.org/?mlat=37.0892&amp;mlon=43.5135&amp;zoom=12#map=12/37.0892/43.5135","Maplink1")</f>
        <v>Maplink1</v>
      </c>
      <c r="AX969" s="88" t="str">
        <f>HYPERLINK("https://www.google.iq/maps/search/+37.0892,43.5135/@37.0892,43.5135,14z?hl=en","Maplink2")</f>
        <v>Maplink2</v>
      </c>
      <c r="AY969" s="88" t="str">
        <f>HYPERLINK("http://www.bing.com/maps/?lvl=14&amp;sty=h&amp;cp=37.0892~43.5135&amp;sp=point.37.0892_43.5135","Maplink3")</f>
        <v>Maplink3</v>
      </c>
      <c r="AZ969" s="76"/>
    </row>
    <row r="970" spans="1:52" x14ac:dyDescent="0.25">
      <c r="A970" s="86">
        <v>7768</v>
      </c>
      <c r="B970" s="87" t="s">
        <v>16</v>
      </c>
      <c r="C970" s="87" t="s">
        <v>1898</v>
      </c>
      <c r="D970" s="87" t="s">
        <v>1946</v>
      </c>
      <c r="E970" s="87" t="s">
        <v>1947</v>
      </c>
      <c r="F970" s="87">
        <v>36.945309484699997</v>
      </c>
      <c r="G970" s="87">
        <v>43.391867871000002</v>
      </c>
      <c r="H970" s="86">
        <v>53</v>
      </c>
      <c r="I970" s="86">
        <v>318</v>
      </c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>
        <v>53</v>
      </c>
      <c r="W970" s="87"/>
      <c r="X970" s="87"/>
      <c r="Y970" s="87"/>
      <c r="Z970" s="87"/>
      <c r="AA970" s="87"/>
      <c r="AB970" s="87"/>
      <c r="AC970" s="87">
        <v>53</v>
      </c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>
        <v>53</v>
      </c>
      <c r="AQ970" s="87"/>
      <c r="AR970" s="87"/>
      <c r="AS970" s="87"/>
      <c r="AT970" s="87"/>
      <c r="AU970" s="87"/>
      <c r="AV970" s="87"/>
      <c r="AW970" s="88" t="str">
        <f>HYPERLINK("http://www.openstreetmap.org/?mlat=36.9453&amp;mlon=43.3919&amp;zoom=12#map=12/36.9453/43.3919","Maplink1")</f>
        <v>Maplink1</v>
      </c>
      <c r="AX970" s="88" t="str">
        <f>HYPERLINK("https://www.google.iq/maps/search/+36.9453,43.3919/@36.9453,43.3919,14z?hl=en","Maplink2")</f>
        <v>Maplink2</v>
      </c>
      <c r="AY970" s="88" t="str">
        <f>HYPERLINK("http://www.bing.com/maps/?lvl=14&amp;sty=h&amp;cp=36.9453~43.3919&amp;sp=point.36.9453_43.3919","Maplink3")</f>
        <v>Maplink3</v>
      </c>
      <c r="AZ970" s="76"/>
    </row>
    <row r="971" spans="1:52" x14ac:dyDescent="0.25">
      <c r="A971" s="86">
        <v>27120</v>
      </c>
      <c r="B971" s="87" t="s">
        <v>16</v>
      </c>
      <c r="C971" s="87" t="s">
        <v>1898</v>
      </c>
      <c r="D971" s="87" t="s">
        <v>1948</v>
      </c>
      <c r="E971" s="87" t="s">
        <v>1949</v>
      </c>
      <c r="F971" s="87">
        <v>36.863709720000003</v>
      </c>
      <c r="G971" s="87">
        <v>43.693177210000002</v>
      </c>
      <c r="H971" s="86">
        <v>45</v>
      </c>
      <c r="I971" s="86">
        <v>270</v>
      </c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>
        <v>44</v>
      </c>
      <c r="W971" s="87"/>
      <c r="X971" s="87">
        <v>1</v>
      </c>
      <c r="Y971" s="87"/>
      <c r="Z971" s="87"/>
      <c r="AA971" s="87"/>
      <c r="AB971" s="87"/>
      <c r="AC971" s="87">
        <v>25</v>
      </c>
      <c r="AD971" s="87"/>
      <c r="AE971" s="87"/>
      <c r="AF971" s="87"/>
      <c r="AG971" s="87"/>
      <c r="AH971" s="87"/>
      <c r="AI971" s="87"/>
      <c r="AJ971" s="87"/>
      <c r="AK971" s="87"/>
      <c r="AL971" s="87">
        <v>20</v>
      </c>
      <c r="AM971" s="87"/>
      <c r="AN971" s="87"/>
      <c r="AO971" s="87">
        <v>11</v>
      </c>
      <c r="AP971" s="87">
        <v>34</v>
      </c>
      <c r="AQ971" s="87"/>
      <c r="AR971" s="87"/>
      <c r="AS971" s="87"/>
      <c r="AT971" s="87"/>
      <c r="AU971" s="87"/>
      <c r="AV971" s="87"/>
      <c r="AW971" s="88" t="str">
        <f>HYPERLINK("http://www.openstreetmap.org/?mlat=36.8637&amp;mlon=43.6932&amp;zoom=12#map=12/36.8637/43.6932","Maplink1")</f>
        <v>Maplink1</v>
      </c>
      <c r="AX971" s="88" t="str">
        <f>HYPERLINK("https://www.google.iq/maps/search/+36.8637,43.6932/@36.8637,43.6932,14z?hl=en","Maplink2")</f>
        <v>Maplink2</v>
      </c>
      <c r="AY971" s="88" t="str">
        <f>HYPERLINK("http://www.bing.com/maps/?lvl=14&amp;sty=h&amp;cp=36.8637~43.6932&amp;sp=point.36.8637_43.6932","Maplink3")</f>
        <v>Maplink3</v>
      </c>
      <c r="AZ971" s="76"/>
    </row>
    <row r="972" spans="1:52" x14ac:dyDescent="0.25">
      <c r="A972" s="86">
        <v>7862</v>
      </c>
      <c r="B972" s="87" t="s">
        <v>16</v>
      </c>
      <c r="C972" s="87" t="s">
        <v>1898</v>
      </c>
      <c r="D972" s="87" t="s">
        <v>1950</v>
      </c>
      <c r="E972" s="87" t="s">
        <v>1951</v>
      </c>
      <c r="F972" s="87">
        <v>37.100532016800003</v>
      </c>
      <c r="G972" s="87">
        <v>43.385399420600002</v>
      </c>
      <c r="H972" s="86">
        <v>15</v>
      </c>
      <c r="I972" s="86">
        <v>90</v>
      </c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>
        <v>15</v>
      </c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>
        <v>12</v>
      </c>
      <c r="AI972" s="87"/>
      <c r="AJ972" s="87"/>
      <c r="AK972" s="87">
        <v>3</v>
      </c>
      <c r="AL972" s="87"/>
      <c r="AM972" s="87"/>
      <c r="AN972" s="87"/>
      <c r="AO972" s="87">
        <v>11</v>
      </c>
      <c r="AP972" s="87">
        <v>4</v>
      </c>
      <c r="AQ972" s="87"/>
      <c r="AR972" s="87"/>
      <c r="AS972" s="87"/>
      <c r="AT972" s="87"/>
      <c r="AU972" s="87"/>
      <c r="AV972" s="87"/>
      <c r="AW972" s="88" t="str">
        <f>HYPERLINK("http://www.openstreetmap.org/?mlat=37.1005&amp;mlon=43.3854&amp;zoom=12#map=12/37.1005/43.3854","Maplink1")</f>
        <v>Maplink1</v>
      </c>
      <c r="AX972" s="88" t="str">
        <f>HYPERLINK("https://www.google.iq/maps/search/+37.1005,43.3854/@37.1005,43.3854,14z?hl=en","Maplink2")</f>
        <v>Maplink2</v>
      </c>
      <c r="AY972" s="88" t="str">
        <f>HYPERLINK("http://www.bing.com/maps/?lvl=14&amp;sty=h&amp;cp=37.1005~43.3854&amp;sp=point.37.1005_43.3854","Maplink3")</f>
        <v>Maplink3</v>
      </c>
      <c r="AZ972" s="76"/>
    </row>
    <row r="973" spans="1:52" x14ac:dyDescent="0.25">
      <c r="A973" s="86">
        <v>7835</v>
      </c>
      <c r="B973" s="87" t="s">
        <v>16</v>
      </c>
      <c r="C973" s="87" t="s">
        <v>1898</v>
      </c>
      <c r="D973" s="87" t="s">
        <v>1952</v>
      </c>
      <c r="E973" s="87" t="s">
        <v>1953</v>
      </c>
      <c r="F973" s="87">
        <v>37.039314552299999</v>
      </c>
      <c r="G973" s="87">
        <v>43.342922546499999</v>
      </c>
      <c r="H973" s="86">
        <v>66</v>
      </c>
      <c r="I973" s="86">
        <v>396</v>
      </c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>
        <v>55</v>
      </c>
      <c r="W973" s="87"/>
      <c r="X973" s="87">
        <v>11</v>
      </c>
      <c r="Y973" s="87"/>
      <c r="Z973" s="87"/>
      <c r="AA973" s="87"/>
      <c r="AB973" s="87"/>
      <c r="AC973" s="87">
        <v>10</v>
      </c>
      <c r="AD973" s="87"/>
      <c r="AE973" s="87"/>
      <c r="AF973" s="87"/>
      <c r="AG973" s="87"/>
      <c r="AH973" s="87">
        <v>49</v>
      </c>
      <c r="AI973" s="87"/>
      <c r="AJ973" s="87"/>
      <c r="AK973" s="87">
        <v>7</v>
      </c>
      <c r="AL973" s="87"/>
      <c r="AM973" s="87"/>
      <c r="AN973" s="87"/>
      <c r="AO973" s="87">
        <v>22</v>
      </c>
      <c r="AP973" s="87">
        <v>44</v>
      </c>
      <c r="AQ973" s="87"/>
      <c r="AR973" s="87"/>
      <c r="AS973" s="87"/>
      <c r="AT973" s="87"/>
      <c r="AU973" s="87"/>
      <c r="AV973" s="87"/>
      <c r="AW973" s="88" t="str">
        <f>HYPERLINK("http://www.openstreetmap.org/?mlat=37.0393&amp;mlon=43.3429&amp;zoom=12#map=12/37.0393/43.3429","Maplink1")</f>
        <v>Maplink1</v>
      </c>
      <c r="AX973" s="88" t="str">
        <f>HYPERLINK("https://www.google.iq/maps/search/+37.0393,43.3429/@37.0393,43.3429,14z?hl=en","Maplink2")</f>
        <v>Maplink2</v>
      </c>
      <c r="AY973" s="88" t="str">
        <f>HYPERLINK("http://www.bing.com/maps/?lvl=14&amp;sty=h&amp;cp=37.0393~43.3429&amp;sp=point.37.0393_43.3429","Maplink3")</f>
        <v>Maplink3</v>
      </c>
      <c r="AZ973" s="76"/>
    </row>
    <row r="974" spans="1:52" x14ac:dyDescent="0.25">
      <c r="A974" s="86">
        <v>8615</v>
      </c>
      <c r="B974" s="87" t="s">
        <v>16</v>
      </c>
      <c r="C974" s="87" t="s">
        <v>1898</v>
      </c>
      <c r="D974" s="87" t="s">
        <v>1954</v>
      </c>
      <c r="E974" s="87" t="s">
        <v>1955</v>
      </c>
      <c r="F974" s="87">
        <v>37.039894512300002</v>
      </c>
      <c r="G974" s="87">
        <v>43.247165830199997</v>
      </c>
      <c r="H974" s="86">
        <v>10</v>
      </c>
      <c r="I974" s="86">
        <v>60</v>
      </c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>
        <v>10</v>
      </c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>
        <v>10</v>
      </c>
      <c r="AM974" s="87"/>
      <c r="AN974" s="87"/>
      <c r="AO974" s="87">
        <v>10</v>
      </c>
      <c r="AP974" s="87"/>
      <c r="AQ974" s="87"/>
      <c r="AR974" s="87"/>
      <c r="AS974" s="87"/>
      <c r="AT974" s="87"/>
      <c r="AU974" s="87"/>
      <c r="AV974" s="87"/>
      <c r="AW974" s="88" t="str">
        <f>HYPERLINK("http://www.openstreetmap.org/?mlat=37.0399&amp;mlon=43.2472&amp;zoom=12#map=12/37.0399/43.2472","Maplink1")</f>
        <v>Maplink1</v>
      </c>
      <c r="AX974" s="88" t="str">
        <f>HYPERLINK("https://www.google.iq/maps/search/+37.0399,43.2472/@37.0399,43.2472,14z?hl=en","Maplink2")</f>
        <v>Maplink2</v>
      </c>
      <c r="AY974" s="88" t="str">
        <f>HYPERLINK("http://www.bing.com/maps/?lvl=14&amp;sty=h&amp;cp=37.0399~43.2472&amp;sp=point.37.0399_43.2472","Maplink3")</f>
        <v>Maplink3</v>
      </c>
      <c r="AZ974" s="76"/>
    </row>
    <row r="975" spans="1:52" x14ac:dyDescent="0.25">
      <c r="A975" s="86">
        <v>8419</v>
      </c>
      <c r="B975" s="87" t="s">
        <v>16</v>
      </c>
      <c r="C975" s="87" t="s">
        <v>1898</v>
      </c>
      <c r="D975" s="87" t="s">
        <v>1956</v>
      </c>
      <c r="E975" s="87" t="s">
        <v>1957</v>
      </c>
      <c r="F975" s="87">
        <v>37.080500730399997</v>
      </c>
      <c r="G975" s="87">
        <v>43.260201360400004</v>
      </c>
      <c r="H975" s="86">
        <v>2</v>
      </c>
      <c r="I975" s="86">
        <v>12</v>
      </c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>
        <v>2</v>
      </c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>
        <v>2</v>
      </c>
      <c r="AL975" s="87"/>
      <c r="AM975" s="87"/>
      <c r="AN975" s="87"/>
      <c r="AO975" s="87"/>
      <c r="AP975" s="87">
        <v>2</v>
      </c>
      <c r="AQ975" s="87"/>
      <c r="AR975" s="87"/>
      <c r="AS975" s="87"/>
      <c r="AT975" s="87"/>
      <c r="AU975" s="87"/>
      <c r="AV975" s="87"/>
      <c r="AW975" s="88" t="str">
        <f>HYPERLINK("http://www.openstreetmap.org/?mlat=37.0805&amp;mlon=43.2602&amp;zoom=12#map=12/37.0805/43.2602","Maplink1")</f>
        <v>Maplink1</v>
      </c>
      <c r="AX975" s="88" t="str">
        <f>HYPERLINK("https://www.google.iq/maps/search/+37.0805,43.2602/@37.0805,43.2602,14z?hl=en","Maplink2")</f>
        <v>Maplink2</v>
      </c>
      <c r="AY975" s="88" t="str">
        <f>HYPERLINK("http://www.bing.com/maps/?lvl=14&amp;sty=h&amp;cp=37.0805~43.2602&amp;sp=point.37.0805_43.2602","Maplink3")</f>
        <v>Maplink3</v>
      </c>
      <c r="AZ975" s="76"/>
    </row>
    <row r="976" spans="1:52" x14ac:dyDescent="0.25">
      <c r="A976" s="86">
        <v>7833</v>
      </c>
      <c r="B976" s="87" t="s">
        <v>16</v>
      </c>
      <c r="C976" s="87" t="s">
        <v>1898</v>
      </c>
      <c r="D976" s="87" t="s">
        <v>1958</v>
      </c>
      <c r="E976" s="87" t="s">
        <v>1959</v>
      </c>
      <c r="F976" s="87">
        <v>37.028460898500001</v>
      </c>
      <c r="G976" s="87">
        <v>43.785392052900001</v>
      </c>
      <c r="H976" s="86">
        <v>19</v>
      </c>
      <c r="I976" s="86">
        <v>114</v>
      </c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>
        <v>19</v>
      </c>
      <c r="W976" s="87"/>
      <c r="X976" s="87"/>
      <c r="Y976" s="87"/>
      <c r="Z976" s="87"/>
      <c r="AA976" s="87"/>
      <c r="AB976" s="87"/>
      <c r="AC976" s="87">
        <v>13</v>
      </c>
      <c r="AD976" s="87"/>
      <c r="AE976" s="87"/>
      <c r="AF976" s="87"/>
      <c r="AG976" s="87"/>
      <c r="AH976" s="87">
        <v>6</v>
      </c>
      <c r="AI976" s="87"/>
      <c r="AJ976" s="87"/>
      <c r="AK976" s="87"/>
      <c r="AL976" s="87"/>
      <c r="AM976" s="87"/>
      <c r="AN976" s="87"/>
      <c r="AO976" s="87">
        <v>15</v>
      </c>
      <c r="AP976" s="87">
        <v>4</v>
      </c>
      <c r="AQ976" s="87"/>
      <c r="AR976" s="87"/>
      <c r="AS976" s="87"/>
      <c r="AT976" s="87"/>
      <c r="AU976" s="87"/>
      <c r="AV976" s="87"/>
      <c r="AW976" s="88" t="str">
        <f>HYPERLINK("http://www.openstreetmap.org/?mlat=37.0285&amp;mlon=43.7854&amp;zoom=12#map=12/37.0285/43.7854","Maplink1")</f>
        <v>Maplink1</v>
      </c>
      <c r="AX976" s="88" t="str">
        <f>HYPERLINK("https://www.google.iq/maps/search/+37.0285,43.7854/@37.0285,43.7854,14z?hl=en","Maplink2")</f>
        <v>Maplink2</v>
      </c>
      <c r="AY976" s="88" t="str">
        <f>HYPERLINK("http://www.bing.com/maps/?lvl=14&amp;sty=h&amp;cp=37.0285~43.7854&amp;sp=point.37.0285_43.7854","Maplink3")</f>
        <v>Maplink3</v>
      </c>
      <c r="AZ976" s="76"/>
    </row>
    <row r="977" spans="1:52" x14ac:dyDescent="0.25">
      <c r="A977" s="86">
        <v>7867</v>
      </c>
      <c r="B977" s="87" t="s">
        <v>16</v>
      </c>
      <c r="C977" s="87" t="s">
        <v>1898</v>
      </c>
      <c r="D977" s="87" t="s">
        <v>1960</v>
      </c>
      <c r="E977" s="87" t="s">
        <v>1961</v>
      </c>
      <c r="F977" s="87">
        <v>37.039082892499998</v>
      </c>
      <c r="G977" s="87">
        <v>43.279670886700004</v>
      </c>
      <c r="H977" s="86">
        <v>5</v>
      </c>
      <c r="I977" s="86">
        <v>30</v>
      </c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>
        <v>5</v>
      </c>
      <c r="W977" s="87"/>
      <c r="X977" s="87"/>
      <c r="Y977" s="87"/>
      <c r="Z977" s="87"/>
      <c r="AA977" s="87"/>
      <c r="AB977" s="87"/>
      <c r="AC977" s="87">
        <v>1</v>
      </c>
      <c r="AD977" s="87"/>
      <c r="AE977" s="87"/>
      <c r="AF977" s="87"/>
      <c r="AG977" s="87"/>
      <c r="AH977" s="87">
        <v>3</v>
      </c>
      <c r="AI977" s="87"/>
      <c r="AJ977" s="87"/>
      <c r="AK977" s="87">
        <v>1</v>
      </c>
      <c r="AL977" s="87"/>
      <c r="AM977" s="87"/>
      <c r="AN977" s="87"/>
      <c r="AO977" s="87">
        <v>1</v>
      </c>
      <c r="AP977" s="87">
        <v>4</v>
      </c>
      <c r="AQ977" s="87"/>
      <c r="AR977" s="87"/>
      <c r="AS977" s="87"/>
      <c r="AT977" s="87"/>
      <c r="AU977" s="87"/>
      <c r="AV977" s="87"/>
      <c r="AW977" s="88" t="str">
        <f>HYPERLINK("http://www.openstreetmap.org/?mlat=37.0391&amp;mlon=43.2797&amp;zoom=12#map=12/37.0391/43.2797","Maplink1")</f>
        <v>Maplink1</v>
      </c>
      <c r="AX977" s="88" t="str">
        <f>HYPERLINK("https://www.google.iq/maps/search/+37.0391,43.2797/@37.0391,43.2797,14z?hl=en","Maplink2")</f>
        <v>Maplink2</v>
      </c>
      <c r="AY977" s="88" t="str">
        <f>HYPERLINK("http://www.bing.com/maps/?lvl=14&amp;sty=h&amp;cp=37.0391~43.2797&amp;sp=point.37.0391_43.2797","Maplink3")</f>
        <v>Maplink3</v>
      </c>
      <c r="AZ977" s="76"/>
    </row>
    <row r="978" spans="1:52" x14ac:dyDescent="0.25">
      <c r="A978" s="86">
        <v>26044</v>
      </c>
      <c r="B978" s="87" t="s">
        <v>16</v>
      </c>
      <c r="C978" s="87" t="s">
        <v>1898</v>
      </c>
      <c r="D978" s="87" t="s">
        <v>1962</v>
      </c>
      <c r="E978" s="87" t="s">
        <v>1963</v>
      </c>
      <c r="F978" s="87">
        <v>37.008642424800001</v>
      </c>
      <c r="G978" s="87">
        <v>43.226761643800003</v>
      </c>
      <c r="H978" s="86">
        <v>2</v>
      </c>
      <c r="I978" s="86">
        <v>12</v>
      </c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>
        <v>2</v>
      </c>
      <c r="W978" s="87"/>
      <c r="X978" s="87"/>
      <c r="Y978" s="87"/>
      <c r="Z978" s="87"/>
      <c r="AA978" s="87"/>
      <c r="AB978" s="87"/>
      <c r="AC978" s="87">
        <v>2</v>
      </c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>
        <v>2</v>
      </c>
      <c r="AQ978" s="87"/>
      <c r="AR978" s="87"/>
      <c r="AS978" s="87"/>
      <c r="AT978" s="87"/>
      <c r="AU978" s="87"/>
      <c r="AV978" s="87"/>
      <c r="AW978" s="88" t="str">
        <f>HYPERLINK("http://www.openstreetmap.org/?mlat=37.0086&amp;mlon=43.2268&amp;zoom=12#map=12/37.0086/43.2268","Maplink1")</f>
        <v>Maplink1</v>
      </c>
      <c r="AX978" s="88" t="str">
        <f>HYPERLINK("https://www.google.iq/maps/search/+37.0086,43.2268/@37.0086,43.2268,14z?hl=en","Maplink2")</f>
        <v>Maplink2</v>
      </c>
      <c r="AY978" s="88" t="str">
        <f>HYPERLINK("http://www.bing.com/maps/?lvl=14&amp;sty=h&amp;cp=37.0086~43.2268&amp;sp=point.37.0086_43.2268","Maplink3")</f>
        <v>Maplink3</v>
      </c>
      <c r="AZ978" s="76"/>
    </row>
    <row r="979" spans="1:52" x14ac:dyDescent="0.25">
      <c r="A979" s="86">
        <v>8335</v>
      </c>
      <c r="B979" s="87" t="s">
        <v>16</v>
      </c>
      <c r="C979" s="87" t="s">
        <v>1898</v>
      </c>
      <c r="D979" s="87" t="s">
        <v>1964</v>
      </c>
      <c r="E979" s="87" t="s">
        <v>1965</v>
      </c>
      <c r="F979" s="87">
        <v>36.970846115400001</v>
      </c>
      <c r="G979" s="87">
        <v>43.316906803899997</v>
      </c>
      <c r="H979" s="86">
        <v>16</v>
      </c>
      <c r="I979" s="86">
        <v>96</v>
      </c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>
        <v>16</v>
      </c>
      <c r="W979" s="87"/>
      <c r="X979" s="87"/>
      <c r="Y979" s="87"/>
      <c r="Z979" s="87"/>
      <c r="AA979" s="87"/>
      <c r="AB979" s="87"/>
      <c r="AC979" s="87">
        <v>16</v>
      </c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>
        <v>1</v>
      </c>
      <c r="AP979" s="87">
        <v>15</v>
      </c>
      <c r="AQ979" s="87"/>
      <c r="AR979" s="87"/>
      <c r="AS979" s="87"/>
      <c r="AT979" s="87"/>
      <c r="AU979" s="87"/>
      <c r="AV979" s="87"/>
      <c r="AW979" s="88" t="str">
        <f>HYPERLINK("http://www.openstreetmap.org/?mlat=36.9708&amp;mlon=43.3169&amp;zoom=12#map=12/36.9708/43.3169","Maplink1")</f>
        <v>Maplink1</v>
      </c>
      <c r="AX979" s="88" t="str">
        <f>HYPERLINK("https://www.google.iq/maps/search/+36.9708,43.3169/@36.9708,43.3169,14z?hl=en","Maplink2")</f>
        <v>Maplink2</v>
      </c>
      <c r="AY979" s="88" t="str">
        <f>HYPERLINK("http://www.bing.com/maps/?lvl=14&amp;sty=h&amp;cp=36.9708~43.3169&amp;sp=point.36.9708_43.3169","Maplink3")</f>
        <v>Maplink3</v>
      </c>
      <c r="AZ979" s="76"/>
    </row>
    <row r="980" spans="1:52" x14ac:dyDescent="0.25">
      <c r="A980" s="86">
        <v>23580</v>
      </c>
      <c r="B980" s="87" t="s">
        <v>16</v>
      </c>
      <c r="C980" s="87" t="s">
        <v>16</v>
      </c>
      <c r="D980" s="87" t="s">
        <v>1966</v>
      </c>
      <c r="E980" s="87" t="s">
        <v>1967</v>
      </c>
      <c r="F980" s="87">
        <v>36.854205976700001</v>
      </c>
      <c r="G980" s="87">
        <v>43.044588520600001</v>
      </c>
      <c r="H980" s="86">
        <v>180</v>
      </c>
      <c r="I980" s="86">
        <v>1080</v>
      </c>
      <c r="J980" s="87"/>
      <c r="K980" s="87"/>
      <c r="L980" s="87">
        <v>2</v>
      </c>
      <c r="M980" s="87"/>
      <c r="N980" s="87"/>
      <c r="O980" s="87"/>
      <c r="P980" s="87"/>
      <c r="Q980" s="87"/>
      <c r="R980" s="87"/>
      <c r="S980" s="87"/>
      <c r="T980" s="87"/>
      <c r="U980" s="87"/>
      <c r="V980" s="87">
        <v>178</v>
      </c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>
        <v>180</v>
      </c>
      <c r="AI980" s="87"/>
      <c r="AJ980" s="87"/>
      <c r="AK980" s="87"/>
      <c r="AL980" s="87"/>
      <c r="AM980" s="87"/>
      <c r="AN980" s="87"/>
      <c r="AO980" s="87">
        <v>112</v>
      </c>
      <c r="AP980" s="87">
        <v>68</v>
      </c>
      <c r="AQ980" s="87"/>
      <c r="AR980" s="87"/>
      <c r="AS980" s="87"/>
      <c r="AT980" s="87"/>
      <c r="AU980" s="87"/>
      <c r="AV980" s="87"/>
      <c r="AW980" s="88" t="str">
        <f>HYPERLINK("http://www.openstreetmap.org/?mlat=36.8542&amp;mlon=43.0446&amp;zoom=12#map=12/36.8542/43.0446","Maplink1")</f>
        <v>Maplink1</v>
      </c>
      <c r="AX980" s="88" t="str">
        <f>HYPERLINK("https://www.google.iq/maps/search/+36.8542,43.0446/@36.8542,43.0446,14z?hl=en","Maplink2")</f>
        <v>Maplink2</v>
      </c>
      <c r="AY980" s="88" t="str">
        <f>HYPERLINK("http://www.bing.com/maps/?lvl=14&amp;sty=h&amp;cp=36.8542~43.0446&amp;sp=point.36.8542_43.0446","Maplink3")</f>
        <v>Maplink3</v>
      </c>
      <c r="AZ980" s="76"/>
    </row>
    <row r="981" spans="1:52" x14ac:dyDescent="0.25">
      <c r="A981" s="86">
        <v>26054</v>
      </c>
      <c r="B981" s="87" t="s">
        <v>16</v>
      </c>
      <c r="C981" s="87" t="s">
        <v>16</v>
      </c>
      <c r="D981" s="87" t="s">
        <v>1968</v>
      </c>
      <c r="E981" s="87" t="s">
        <v>1969</v>
      </c>
      <c r="F981" s="87">
        <v>36.869398845900001</v>
      </c>
      <c r="G981" s="87">
        <v>42.982650769000003</v>
      </c>
      <c r="H981" s="86">
        <v>15</v>
      </c>
      <c r="I981" s="86">
        <v>90</v>
      </c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>
        <v>15</v>
      </c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>
        <v>15</v>
      </c>
      <c r="AI981" s="87"/>
      <c r="AJ981" s="87"/>
      <c r="AK981" s="87"/>
      <c r="AL981" s="87"/>
      <c r="AM981" s="87"/>
      <c r="AN981" s="87"/>
      <c r="AO981" s="87">
        <v>6</v>
      </c>
      <c r="AP981" s="87">
        <v>9</v>
      </c>
      <c r="AQ981" s="87"/>
      <c r="AR981" s="87"/>
      <c r="AS981" s="87"/>
      <c r="AT981" s="87"/>
      <c r="AU981" s="87"/>
      <c r="AV981" s="87"/>
      <c r="AW981" s="88" t="str">
        <f>HYPERLINK("http://www.openstreetmap.org/?mlat=36.8694&amp;mlon=42.9827&amp;zoom=12#map=12/36.8694/42.9827","Maplink1")</f>
        <v>Maplink1</v>
      </c>
      <c r="AX981" s="88" t="str">
        <f>HYPERLINK("https://www.google.iq/maps/search/+36.8694,42.9827/@36.8694,42.9827,14z?hl=en","Maplink2")</f>
        <v>Maplink2</v>
      </c>
      <c r="AY981" s="88" t="str">
        <f>HYPERLINK("http://www.bing.com/maps/?lvl=14&amp;sty=h&amp;cp=36.8694~42.9827&amp;sp=point.36.8694_42.9827","Maplink3")</f>
        <v>Maplink3</v>
      </c>
      <c r="AZ981" s="76"/>
    </row>
    <row r="982" spans="1:52" x14ac:dyDescent="0.25">
      <c r="A982" s="86">
        <v>25898</v>
      </c>
      <c r="B982" s="87" t="s">
        <v>16</v>
      </c>
      <c r="C982" s="87" t="s">
        <v>16</v>
      </c>
      <c r="D982" s="87" t="s">
        <v>1970</v>
      </c>
      <c r="E982" s="87" t="s">
        <v>1971</v>
      </c>
      <c r="F982" s="87">
        <v>36.831764034099997</v>
      </c>
      <c r="G982" s="87">
        <v>43.119039982700002</v>
      </c>
      <c r="H982" s="86">
        <v>205</v>
      </c>
      <c r="I982" s="86">
        <v>1230</v>
      </c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>
        <v>205</v>
      </c>
      <c r="W982" s="87"/>
      <c r="X982" s="87"/>
      <c r="Y982" s="87"/>
      <c r="Z982" s="87"/>
      <c r="AA982" s="87"/>
      <c r="AB982" s="87"/>
      <c r="AC982" s="87">
        <v>52</v>
      </c>
      <c r="AD982" s="87"/>
      <c r="AE982" s="87"/>
      <c r="AF982" s="87"/>
      <c r="AG982" s="87"/>
      <c r="AH982" s="87">
        <v>145</v>
      </c>
      <c r="AI982" s="87"/>
      <c r="AJ982" s="87"/>
      <c r="AK982" s="87">
        <v>8</v>
      </c>
      <c r="AL982" s="87"/>
      <c r="AM982" s="87"/>
      <c r="AN982" s="87"/>
      <c r="AO982" s="87">
        <v>113</v>
      </c>
      <c r="AP982" s="87">
        <v>92</v>
      </c>
      <c r="AQ982" s="87"/>
      <c r="AR982" s="87"/>
      <c r="AS982" s="87"/>
      <c r="AT982" s="87"/>
      <c r="AU982" s="87"/>
      <c r="AV982" s="87"/>
      <c r="AW982" s="88" t="str">
        <f>HYPERLINK("http://www.openstreetmap.org/?mlat=36.8318&amp;mlon=43.119&amp;zoom=12#map=12/36.8318/43.119","Maplink1")</f>
        <v>Maplink1</v>
      </c>
      <c r="AX982" s="88" t="str">
        <f>HYPERLINK("https://www.google.iq/maps/search/+36.8318,43.119/@36.8318,43.119,14z?hl=en","Maplink2")</f>
        <v>Maplink2</v>
      </c>
      <c r="AY982" s="88" t="str">
        <f>HYPERLINK("http://www.bing.com/maps/?lvl=14&amp;sty=h&amp;cp=36.8318~43.119&amp;sp=point.36.8318_43.119","Maplink3")</f>
        <v>Maplink3</v>
      </c>
      <c r="AZ982" s="76"/>
    </row>
    <row r="983" spans="1:52" x14ac:dyDescent="0.25">
      <c r="A983" s="86">
        <v>8687</v>
      </c>
      <c r="B983" s="87" t="s">
        <v>16</v>
      </c>
      <c r="C983" s="87" t="s">
        <v>16</v>
      </c>
      <c r="D983" s="87" t="s">
        <v>1972</v>
      </c>
      <c r="E983" s="87" t="s">
        <v>1973</v>
      </c>
      <c r="F983" s="87">
        <v>36.876306298499998</v>
      </c>
      <c r="G983" s="87">
        <v>43.125083527500003</v>
      </c>
      <c r="H983" s="86">
        <v>50</v>
      </c>
      <c r="I983" s="86">
        <v>300</v>
      </c>
      <c r="J983" s="87"/>
      <c r="K983" s="87"/>
      <c r="L983" s="87">
        <v>1</v>
      </c>
      <c r="M983" s="87"/>
      <c r="N983" s="87"/>
      <c r="O983" s="87"/>
      <c r="P983" s="87"/>
      <c r="Q983" s="87"/>
      <c r="R983" s="87"/>
      <c r="S983" s="87"/>
      <c r="T983" s="87"/>
      <c r="U983" s="87"/>
      <c r="V983" s="87">
        <v>49</v>
      </c>
      <c r="W983" s="87"/>
      <c r="X983" s="87"/>
      <c r="Y983" s="87"/>
      <c r="Z983" s="87"/>
      <c r="AA983" s="87"/>
      <c r="AB983" s="87"/>
      <c r="AC983" s="87">
        <v>17</v>
      </c>
      <c r="AD983" s="87"/>
      <c r="AE983" s="87">
        <v>25</v>
      </c>
      <c r="AF983" s="87"/>
      <c r="AG983" s="87"/>
      <c r="AH983" s="87">
        <v>7</v>
      </c>
      <c r="AI983" s="87"/>
      <c r="AJ983" s="87"/>
      <c r="AK983" s="87">
        <v>1</v>
      </c>
      <c r="AL983" s="87"/>
      <c r="AM983" s="87"/>
      <c r="AN983" s="87"/>
      <c r="AO983" s="87">
        <v>14</v>
      </c>
      <c r="AP983" s="87">
        <v>36</v>
      </c>
      <c r="AQ983" s="87"/>
      <c r="AR983" s="87"/>
      <c r="AS983" s="87"/>
      <c r="AT983" s="87"/>
      <c r="AU983" s="87"/>
      <c r="AV983" s="87"/>
      <c r="AW983" s="88" t="str">
        <f>HYPERLINK("http://www.openstreetmap.org/?mlat=36.8763&amp;mlon=43.1251&amp;zoom=12#map=12/36.8763/43.1251","Maplink1")</f>
        <v>Maplink1</v>
      </c>
      <c r="AX983" s="88" t="str">
        <f>HYPERLINK("https://www.google.iq/maps/search/+36.8763,43.1251/@36.8763,43.1251,14z?hl=en","Maplink2")</f>
        <v>Maplink2</v>
      </c>
      <c r="AY983" s="88" t="str">
        <f>HYPERLINK("http://www.bing.com/maps/?lvl=14&amp;sty=h&amp;cp=36.8763~43.1251&amp;sp=point.36.8763_43.1251","Maplink3")</f>
        <v>Maplink3</v>
      </c>
      <c r="AZ983" s="76"/>
    </row>
    <row r="984" spans="1:52" x14ac:dyDescent="0.25">
      <c r="A984" s="86">
        <v>24801</v>
      </c>
      <c r="B984" s="87" t="s">
        <v>16</v>
      </c>
      <c r="C984" s="87" t="s">
        <v>16</v>
      </c>
      <c r="D984" s="87" t="s">
        <v>1974</v>
      </c>
      <c r="E984" s="87" t="s">
        <v>1975</v>
      </c>
      <c r="F984" s="87">
        <v>36.965668439200002</v>
      </c>
      <c r="G984" s="87">
        <v>43.169657078199997</v>
      </c>
      <c r="H984" s="86">
        <v>85</v>
      </c>
      <c r="I984" s="86">
        <v>510</v>
      </c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>
        <v>85</v>
      </c>
      <c r="W984" s="87"/>
      <c r="X984" s="87"/>
      <c r="Y984" s="87"/>
      <c r="Z984" s="87"/>
      <c r="AA984" s="87"/>
      <c r="AB984" s="87"/>
      <c r="AC984" s="87">
        <v>29</v>
      </c>
      <c r="AD984" s="87"/>
      <c r="AE984" s="87"/>
      <c r="AF984" s="87"/>
      <c r="AG984" s="87"/>
      <c r="AH984" s="87">
        <v>53</v>
      </c>
      <c r="AI984" s="87"/>
      <c r="AJ984" s="87"/>
      <c r="AK984" s="87">
        <v>3</v>
      </c>
      <c r="AL984" s="87"/>
      <c r="AM984" s="87"/>
      <c r="AN984" s="87"/>
      <c r="AO984" s="87">
        <v>14</v>
      </c>
      <c r="AP984" s="87">
        <v>71</v>
      </c>
      <c r="AQ984" s="87"/>
      <c r="AR984" s="87"/>
      <c r="AS984" s="87"/>
      <c r="AT984" s="87"/>
      <c r="AU984" s="87"/>
      <c r="AV984" s="87"/>
      <c r="AW984" s="88" t="str">
        <f>HYPERLINK("http://www.openstreetmap.org/?mlat=36.9657&amp;mlon=43.1697&amp;zoom=12#map=12/36.9657/43.1697","Maplink1")</f>
        <v>Maplink1</v>
      </c>
      <c r="AX984" s="88" t="str">
        <f>HYPERLINK("https://www.google.iq/maps/search/+36.9657,43.1697/@36.9657,43.1697,14z?hl=en","Maplink2")</f>
        <v>Maplink2</v>
      </c>
      <c r="AY984" s="88" t="str">
        <f>HYPERLINK("http://www.bing.com/maps/?lvl=14&amp;sty=h&amp;cp=36.9657~43.1697&amp;sp=point.36.9657_43.1697","Maplink3")</f>
        <v>Maplink3</v>
      </c>
      <c r="AZ984" s="76"/>
    </row>
    <row r="985" spans="1:52" x14ac:dyDescent="0.25">
      <c r="A985" s="86">
        <v>26048</v>
      </c>
      <c r="B985" s="87" t="s">
        <v>16</v>
      </c>
      <c r="C985" s="87" t="s">
        <v>16</v>
      </c>
      <c r="D985" s="87" t="s">
        <v>1976</v>
      </c>
      <c r="E985" s="87" t="s">
        <v>1977</v>
      </c>
      <c r="F985" s="87">
        <v>36.863793066299998</v>
      </c>
      <c r="G985" s="87">
        <v>42.968604123399999</v>
      </c>
      <c r="H985" s="86">
        <v>38</v>
      </c>
      <c r="I985" s="86">
        <v>228</v>
      </c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>
        <v>38</v>
      </c>
      <c r="W985" s="87"/>
      <c r="X985" s="87"/>
      <c r="Y985" s="87"/>
      <c r="Z985" s="87"/>
      <c r="AA985" s="87"/>
      <c r="AB985" s="87"/>
      <c r="AC985" s="87">
        <v>7</v>
      </c>
      <c r="AD985" s="87"/>
      <c r="AE985" s="87"/>
      <c r="AF985" s="87"/>
      <c r="AG985" s="87"/>
      <c r="AH985" s="87">
        <v>31</v>
      </c>
      <c r="AI985" s="87"/>
      <c r="AJ985" s="87"/>
      <c r="AK985" s="87"/>
      <c r="AL985" s="87"/>
      <c r="AM985" s="87"/>
      <c r="AN985" s="87"/>
      <c r="AO985" s="87">
        <v>29</v>
      </c>
      <c r="AP985" s="87">
        <v>9</v>
      </c>
      <c r="AQ985" s="87"/>
      <c r="AR985" s="87"/>
      <c r="AS985" s="87"/>
      <c r="AT985" s="87"/>
      <c r="AU985" s="87"/>
      <c r="AV985" s="87"/>
      <c r="AW985" s="88" t="str">
        <f>HYPERLINK("http://www.openstreetmap.org/?mlat=36.8638&amp;mlon=42.9686&amp;zoom=12#map=12/36.8638/42.9686","Maplink1")</f>
        <v>Maplink1</v>
      </c>
      <c r="AX985" s="88" t="str">
        <f>HYPERLINK("https://www.google.iq/maps/search/+36.8638,42.9686/@36.8638,42.9686,14z?hl=en","Maplink2")</f>
        <v>Maplink2</v>
      </c>
      <c r="AY985" s="88" t="str">
        <f>HYPERLINK("http://www.bing.com/maps/?lvl=14&amp;sty=h&amp;cp=36.8638~42.9686&amp;sp=point.36.8638_42.9686","Maplink3")</f>
        <v>Maplink3</v>
      </c>
      <c r="AZ985" s="76"/>
    </row>
    <row r="986" spans="1:52" x14ac:dyDescent="0.25">
      <c r="A986" s="86">
        <v>8822</v>
      </c>
      <c r="B986" s="87" t="s">
        <v>16</v>
      </c>
      <c r="C986" s="87" t="s">
        <v>16</v>
      </c>
      <c r="D986" s="87" t="s">
        <v>1978</v>
      </c>
      <c r="E986" s="87" t="s">
        <v>1979</v>
      </c>
      <c r="F986" s="87">
        <v>37.015493398099999</v>
      </c>
      <c r="G986" s="87">
        <v>43.016330132999997</v>
      </c>
      <c r="H986" s="86">
        <v>62</v>
      </c>
      <c r="I986" s="86">
        <v>372</v>
      </c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>
        <v>59</v>
      </c>
      <c r="W986" s="87"/>
      <c r="X986" s="87">
        <v>3</v>
      </c>
      <c r="Y986" s="87"/>
      <c r="Z986" s="87"/>
      <c r="AA986" s="87"/>
      <c r="AB986" s="87"/>
      <c r="AC986" s="87">
        <v>50</v>
      </c>
      <c r="AD986" s="87"/>
      <c r="AE986" s="87"/>
      <c r="AF986" s="87"/>
      <c r="AG986" s="87"/>
      <c r="AH986" s="87">
        <v>12</v>
      </c>
      <c r="AI986" s="87"/>
      <c r="AJ986" s="87"/>
      <c r="AK986" s="87"/>
      <c r="AL986" s="87"/>
      <c r="AM986" s="87"/>
      <c r="AN986" s="87"/>
      <c r="AO986" s="87">
        <v>5</v>
      </c>
      <c r="AP986" s="87">
        <v>57</v>
      </c>
      <c r="AQ986" s="87"/>
      <c r="AR986" s="87"/>
      <c r="AS986" s="87"/>
      <c r="AT986" s="87"/>
      <c r="AU986" s="87"/>
      <c r="AV986" s="87"/>
      <c r="AW986" s="88" t="str">
        <f>HYPERLINK("http://www.openstreetmap.org/?mlat=37.0155&amp;mlon=43.0163&amp;zoom=12#map=12/37.0155/43.0163","Maplink1")</f>
        <v>Maplink1</v>
      </c>
      <c r="AX986" s="88" t="str">
        <f>HYPERLINK("https://www.google.iq/maps/search/+37.0155,43.0163/@37.0155,43.0163,14z?hl=en","Maplink2")</f>
        <v>Maplink2</v>
      </c>
      <c r="AY986" s="88" t="str">
        <f>HYPERLINK("http://www.bing.com/maps/?lvl=14&amp;sty=h&amp;cp=37.0155~43.0163&amp;sp=point.37.0155_43.0163","Maplink3")</f>
        <v>Maplink3</v>
      </c>
      <c r="AZ986" s="76"/>
    </row>
    <row r="987" spans="1:52" x14ac:dyDescent="0.25">
      <c r="A987" s="86">
        <v>8538</v>
      </c>
      <c r="B987" s="87" t="s">
        <v>16</v>
      </c>
      <c r="C987" s="87" t="s">
        <v>16</v>
      </c>
      <c r="D987" s="87" t="s">
        <v>1980</v>
      </c>
      <c r="E987" s="87" t="s">
        <v>1981</v>
      </c>
      <c r="F987" s="87">
        <v>36.9102061181</v>
      </c>
      <c r="G987" s="87">
        <v>43.236218590699998</v>
      </c>
      <c r="H987" s="86">
        <v>41</v>
      </c>
      <c r="I987" s="86">
        <v>246</v>
      </c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>
        <v>41</v>
      </c>
      <c r="W987" s="87"/>
      <c r="X987" s="87"/>
      <c r="Y987" s="87"/>
      <c r="Z987" s="87"/>
      <c r="AA987" s="87"/>
      <c r="AB987" s="87"/>
      <c r="AC987" s="87">
        <v>1</v>
      </c>
      <c r="AD987" s="87"/>
      <c r="AE987" s="87"/>
      <c r="AF987" s="87"/>
      <c r="AG987" s="87"/>
      <c r="AH987" s="87"/>
      <c r="AI987" s="87"/>
      <c r="AJ987" s="87"/>
      <c r="AK987" s="87">
        <v>40</v>
      </c>
      <c r="AL987" s="87"/>
      <c r="AM987" s="87"/>
      <c r="AN987" s="87"/>
      <c r="AO987" s="87"/>
      <c r="AP987" s="87">
        <v>41</v>
      </c>
      <c r="AQ987" s="87"/>
      <c r="AR987" s="87"/>
      <c r="AS987" s="87"/>
      <c r="AT987" s="87"/>
      <c r="AU987" s="87"/>
      <c r="AV987" s="87"/>
      <c r="AW987" s="88" t="str">
        <f>HYPERLINK("http://www.openstreetmap.org/?mlat=36.9102&amp;mlon=43.2362&amp;zoom=12#map=12/36.9102/43.2362","Maplink1")</f>
        <v>Maplink1</v>
      </c>
      <c r="AX987" s="88" t="str">
        <f>HYPERLINK("https://www.google.iq/maps/search/+36.9102,43.2362/@36.9102,43.2362,14z?hl=en","Maplink2")</f>
        <v>Maplink2</v>
      </c>
      <c r="AY987" s="88" t="str">
        <f>HYPERLINK("http://www.bing.com/maps/?lvl=14&amp;sty=h&amp;cp=36.9102~43.2362&amp;sp=point.36.9102_43.2362","Maplink3")</f>
        <v>Maplink3</v>
      </c>
      <c r="AZ987" s="76"/>
    </row>
    <row r="988" spans="1:52" x14ac:dyDescent="0.25">
      <c r="A988" s="86">
        <v>8193</v>
      </c>
      <c r="B988" s="87" t="s">
        <v>16</v>
      </c>
      <c r="C988" s="87" t="s">
        <v>16</v>
      </c>
      <c r="D988" s="87" t="s">
        <v>1982</v>
      </c>
      <c r="E988" s="87" t="s">
        <v>1983</v>
      </c>
      <c r="F988" s="87">
        <v>37.067141894999999</v>
      </c>
      <c r="G988" s="87">
        <v>43.077984502900001</v>
      </c>
      <c r="H988" s="86">
        <v>25</v>
      </c>
      <c r="I988" s="86">
        <v>150</v>
      </c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>
        <v>25</v>
      </c>
      <c r="W988" s="87"/>
      <c r="X988" s="87"/>
      <c r="Y988" s="87"/>
      <c r="Z988" s="87"/>
      <c r="AA988" s="87"/>
      <c r="AB988" s="87"/>
      <c r="AC988" s="87">
        <v>25</v>
      </c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>
        <v>1</v>
      </c>
      <c r="AP988" s="87">
        <v>24</v>
      </c>
      <c r="AQ988" s="87"/>
      <c r="AR988" s="87"/>
      <c r="AS988" s="87"/>
      <c r="AT988" s="87"/>
      <c r="AU988" s="87"/>
      <c r="AV988" s="87"/>
      <c r="AW988" s="88" t="str">
        <f>HYPERLINK("http://www.openstreetmap.org/?mlat=37.0671&amp;mlon=43.078&amp;zoom=12#map=12/37.0671/43.078","Maplink1")</f>
        <v>Maplink1</v>
      </c>
      <c r="AX988" s="88" t="str">
        <f>HYPERLINK("https://www.google.iq/maps/search/+37.0671,43.078/@37.0671,43.078,14z?hl=en","Maplink2")</f>
        <v>Maplink2</v>
      </c>
      <c r="AY988" s="88" t="str">
        <f>HYPERLINK("http://www.bing.com/maps/?lvl=14&amp;sty=h&amp;cp=37.0671~43.078&amp;sp=point.37.0671_43.078","Maplink3")</f>
        <v>Maplink3</v>
      </c>
      <c r="AZ988" s="76"/>
    </row>
    <row r="989" spans="1:52" x14ac:dyDescent="0.25">
      <c r="A989" s="86">
        <v>7945</v>
      </c>
      <c r="B989" s="87" t="s">
        <v>16</v>
      </c>
      <c r="C989" s="87" t="s">
        <v>16</v>
      </c>
      <c r="D989" s="87" t="s">
        <v>1984</v>
      </c>
      <c r="E989" s="87" t="s">
        <v>1985</v>
      </c>
      <c r="F989" s="87">
        <v>36.855219126999998</v>
      </c>
      <c r="G989" s="87">
        <v>43.022270536500002</v>
      </c>
      <c r="H989" s="86">
        <v>270</v>
      </c>
      <c r="I989" s="86">
        <v>1620</v>
      </c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>
        <v>270</v>
      </c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>
        <v>270</v>
      </c>
      <c r="AI989" s="87"/>
      <c r="AJ989" s="87"/>
      <c r="AK989" s="87"/>
      <c r="AL989" s="87"/>
      <c r="AM989" s="87"/>
      <c r="AN989" s="87"/>
      <c r="AO989" s="87">
        <v>190</v>
      </c>
      <c r="AP989" s="87">
        <v>75</v>
      </c>
      <c r="AQ989" s="87"/>
      <c r="AR989" s="87"/>
      <c r="AS989" s="87"/>
      <c r="AT989" s="87"/>
      <c r="AU989" s="87">
        <v>5</v>
      </c>
      <c r="AV989" s="87"/>
      <c r="AW989" s="88" t="str">
        <f>HYPERLINK("http://www.openstreetmap.org/?mlat=36.8552&amp;mlon=43.0223&amp;zoom=12#map=12/36.8552/43.0223","Maplink1")</f>
        <v>Maplink1</v>
      </c>
      <c r="AX989" s="88" t="str">
        <f>HYPERLINK("https://www.google.iq/maps/search/+36.8552,43.0223/@36.8552,43.0223,14z?hl=en","Maplink2")</f>
        <v>Maplink2</v>
      </c>
      <c r="AY989" s="88" t="str">
        <f>HYPERLINK("http://www.bing.com/maps/?lvl=14&amp;sty=h&amp;cp=36.8552~43.0223&amp;sp=point.36.8552_43.0223","Maplink3")</f>
        <v>Maplink3</v>
      </c>
      <c r="AZ989" s="76"/>
    </row>
    <row r="990" spans="1:52" x14ac:dyDescent="0.25">
      <c r="A990" s="86">
        <v>26051</v>
      </c>
      <c r="B990" s="87" t="s">
        <v>16</v>
      </c>
      <c r="C990" s="87" t="s">
        <v>16</v>
      </c>
      <c r="D990" s="87" t="s">
        <v>1986</v>
      </c>
      <c r="E990" s="87" t="s">
        <v>1987</v>
      </c>
      <c r="F990" s="87">
        <v>36.850169232799999</v>
      </c>
      <c r="G990" s="87">
        <v>43.036977761300001</v>
      </c>
      <c r="H990" s="86">
        <v>75</v>
      </c>
      <c r="I990" s="86">
        <v>450</v>
      </c>
      <c r="J990" s="87">
        <v>3</v>
      </c>
      <c r="K990" s="87"/>
      <c r="L990" s="87">
        <v>1</v>
      </c>
      <c r="M990" s="87"/>
      <c r="N990" s="87"/>
      <c r="O990" s="87"/>
      <c r="P990" s="87"/>
      <c r="Q990" s="87"/>
      <c r="R990" s="87"/>
      <c r="S990" s="87"/>
      <c r="T990" s="87"/>
      <c r="U990" s="87"/>
      <c r="V990" s="87">
        <v>71</v>
      </c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>
        <v>75</v>
      </c>
      <c r="AI990" s="87"/>
      <c r="AJ990" s="87"/>
      <c r="AK990" s="87"/>
      <c r="AL990" s="87"/>
      <c r="AM990" s="87"/>
      <c r="AN990" s="87">
        <v>3</v>
      </c>
      <c r="AO990" s="87">
        <v>40</v>
      </c>
      <c r="AP990" s="87">
        <v>32</v>
      </c>
      <c r="AQ990" s="87"/>
      <c r="AR990" s="87"/>
      <c r="AS990" s="87"/>
      <c r="AT990" s="87"/>
      <c r="AU990" s="87"/>
      <c r="AV990" s="87"/>
      <c r="AW990" s="88" t="str">
        <f>HYPERLINK("http://www.openstreetmap.org/?mlat=36.8502&amp;mlon=43.037&amp;zoom=12#map=12/36.8502/43.037","Maplink1")</f>
        <v>Maplink1</v>
      </c>
      <c r="AX990" s="88" t="str">
        <f>HYPERLINK("https://www.google.iq/maps/search/+36.8502,43.037/@36.8502,43.037,14z?hl=en","Maplink2")</f>
        <v>Maplink2</v>
      </c>
      <c r="AY990" s="88" t="str">
        <f>HYPERLINK("http://www.bing.com/maps/?lvl=14&amp;sty=h&amp;cp=36.8502~43.037&amp;sp=point.36.8502_43.037","Maplink3")</f>
        <v>Maplink3</v>
      </c>
      <c r="AZ990" s="76"/>
    </row>
    <row r="991" spans="1:52" x14ac:dyDescent="0.25">
      <c r="A991" s="86">
        <v>23710</v>
      </c>
      <c r="B991" s="87" t="s">
        <v>16</v>
      </c>
      <c r="C991" s="87" t="s">
        <v>16</v>
      </c>
      <c r="D991" s="87" t="s">
        <v>1988</v>
      </c>
      <c r="E991" s="87" t="s">
        <v>1989</v>
      </c>
      <c r="F991" s="87">
        <v>36.862278004399997</v>
      </c>
      <c r="G991" s="87">
        <v>42.9991135024</v>
      </c>
      <c r="H991" s="86">
        <v>40</v>
      </c>
      <c r="I991" s="86">
        <v>240</v>
      </c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>
        <v>40</v>
      </c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>
        <v>40</v>
      </c>
      <c r="AI991" s="87"/>
      <c r="AJ991" s="87"/>
      <c r="AK991" s="87"/>
      <c r="AL991" s="87"/>
      <c r="AM991" s="87"/>
      <c r="AN991" s="87"/>
      <c r="AO991" s="87">
        <v>12</v>
      </c>
      <c r="AP991" s="87">
        <v>28</v>
      </c>
      <c r="AQ991" s="87"/>
      <c r="AR991" s="87"/>
      <c r="AS991" s="87"/>
      <c r="AT991" s="87"/>
      <c r="AU991" s="87"/>
      <c r="AV991" s="87"/>
      <c r="AW991" s="88" t="str">
        <f>HYPERLINK("http://www.openstreetmap.org/?mlat=36.8623&amp;mlon=42.9991&amp;zoom=12#map=12/36.8623/42.9991","Maplink1")</f>
        <v>Maplink1</v>
      </c>
      <c r="AX991" s="88" t="str">
        <f>HYPERLINK("https://www.google.iq/maps/search/+36.8623,42.9991/@36.8623,42.9991,14z?hl=en","Maplink2")</f>
        <v>Maplink2</v>
      </c>
      <c r="AY991" s="88" t="str">
        <f>HYPERLINK("http://www.bing.com/maps/?lvl=14&amp;sty=h&amp;cp=36.8623~42.9991&amp;sp=point.36.8623_42.9991","Maplink3")</f>
        <v>Maplink3</v>
      </c>
      <c r="AZ991" s="76"/>
    </row>
    <row r="992" spans="1:52" x14ac:dyDescent="0.25">
      <c r="A992" s="86">
        <v>25899</v>
      </c>
      <c r="B992" s="87" t="s">
        <v>16</v>
      </c>
      <c r="C992" s="87" t="s">
        <v>16</v>
      </c>
      <c r="D992" s="87" t="s">
        <v>1990</v>
      </c>
      <c r="E992" s="87" t="s">
        <v>1991</v>
      </c>
      <c r="F992" s="87">
        <v>36.8205982757</v>
      </c>
      <c r="G992" s="87">
        <v>43.117695755299998</v>
      </c>
      <c r="H992" s="86">
        <v>22</v>
      </c>
      <c r="I992" s="86">
        <v>132</v>
      </c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>
        <v>22</v>
      </c>
      <c r="W992" s="87"/>
      <c r="X992" s="87"/>
      <c r="Y992" s="87"/>
      <c r="Z992" s="87"/>
      <c r="AA992" s="87"/>
      <c r="AB992" s="87"/>
      <c r="AC992" s="87">
        <v>3</v>
      </c>
      <c r="AD992" s="87"/>
      <c r="AE992" s="87"/>
      <c r="AF992" s="87"/>
      <c r="AG992" s="87"/>
      <c r="AH992" s="87">
        <v>19</v>
      </c>
      <c r="AI992" s="87"/>
      <c r="AJ992" s="87"/>
      <c r="AK992" s="87"/>
      <c r="AL992" s="87"/>
      <c r="AM992" s="87"/>
      <c r="AN992" s="87"/>
      <c r="AO992" s="87">
        <v>7</v>
      </c>
      <c r="AP992" s="87">
        <v>15</v>
      </c>
      <c r="AQ992" s="87"/>
      <c r="AR992" s="87"/>
      <c r="AS992" s="87"/>
      <c r="AT992" s="87"/>
      <c r="AU992" s="87"/>
      <c r="AV992" s="87"/>
      <c r="AW992" s="88" t="str">
        <f>HYPERLINK("http://www.openstreetmap.org/?mlat=36.8206&amp;mlon=43.1177&amp;zoom=12#map=12/36.8206/43.1177","Maplink1")</f>
        <v>Maplink1</v>
      </c>
      <c r="AX992" s="88" t="str">
        <f>HYPERLINK("https://www.google.iq/maps/search/+36.8206,43.1177/@36.8206,43.1177,14z?hl=en","Maplink2")</f>
        <v>Maplink2</v>
      </c>
      <c r="AY992" s="88" t="str">
        <f>HYPERLINK("http://www.bing.com/maps/?lvl=14&amp;sty=h&amp;cp=36.8206~43.1177&amp;sp=point.36.8206_43.1177","Maplink3")</f>
        <v>Maplink3</v>
      </c>
      <c r="AZ992" s="76"/>
    </row>
    <row r="993" spans="1:52" x14ac:dyDescent="0.25">
      <c r="A993" s="86">
        <v>26052</v>
      </c>
      <c r="B993" s="87" t="s">
        <v>16</v>
      </c>
      <c r="C993" s="87" t="s">
        <v>16</v>
      </c>
      <c r="D993" s="87" t="s">
        <v>1992</v>
      </c>
      <c r="E993" s="87" t="s">
        <v>1993</v>
      </c>
      <c r="F993" s="87">
        <v>36.845520541399999</v>
      </c>
      <c r="G993" s="87">
        <v>43.008828057199999</v>
      </c>
      <c r="H993" s="86">
        <v>26</v>
      </c>
      <c r="I993" s="86">
        <v>156</v>
      </c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>
        <v>26</v>
      </c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>
        <v>26</v>
      </c>
      <c r="AI993" s="87"/>
      <c r="AJ993" s="87"/>
      <c r="AK993" s="87"/>
      <c r="AL993" s="87"/>
      <c r="AM993" s="87"/>
      <c r="AN993" s="87"/>
      <c r="AO993" s="87">
        <v>9</v>
      </c>
      <c r="AP993" s="87">
        <v>17</v>
      </c>
      <c r="AQ993" s="87"/>
      <c r="AR993" s="87"/>
      <c r="AS993" s="87"/>
      <c r="AT993" s="87"/>
      <c r="AU993" s="87"/>
      <c r="AV993" s="87"/>
      <c r="AW993" s="88" t="str">
        <f>HYPERLINK("http://www.openstreetmap.org/?mlat=36.8455&amp;mlon=43.0088&amp;zoom=12#map=12/36.8455/43.0088","Maplink1")</f>
        <v>Maplink1</v>
      </c>
      <c r="AX993" s="88" t="str">
        <f>HYPERLINK("https://www.google.iq/maps/search/+36.8455,43.0088/@36.8455,43.0088,14z?hl=en","Maplink2")</f>
        <v>Maplink2</v>
      </c>
      <c r="AY993" s="88" t="str">
        <f>HYPERLINK("http://www.bing.com/maps/?lvl=14&amp;sty=h&amp;cp=36.8455~43.0088&amp;sp=point.36.8455_43.0088","Maplink3")</f>
        <v>Maplink3</v>
      </c>
      <c r="AZ993" s="76"/>
    </row>
    <row r="994" spans="1:52" x14ac:dyDescent="0.25">
      <c r="A994" s="86">
        <v>26047</v>
      </c>
      <c r="B994" s="87" t="s">
        <v>16</v>
      </c>
      <c r="C994" s="87" t="s">
        <v>16</v>
      </c>
      <c r="D994" s="87" t="s">
        <v>1994</v>
      </c>
      <c r="E994" s="87" t="s">
        <v>1995</v>
      </c>
      <c r="F994" s="87">
        <v>36.870300831900003</v>
      </c>
      <c r="G994" s="87">
        <v>42.971921597700003</v>
      </c>
      <c r="H994" s="86">
        <v>86</v>
      </c>
      <c r="I994" s="86">
        <v>516</v>
      </c>
      <c r="J994" s="87">
        <v>1</v>
      </c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>
        <v>85</v>
      </c>
      <c r="W994" s="87"/>
      <c r="X994" s="87"/>
      <c r="Y994" s="87"/>
      <c r="Z994" s="87"/>
      <c r="AA994" s="87"/>
      <c r="AB994" s="87"/>
      <c r="AC994" s="87"/>
      <c r="AD994" s="87">
        <v>20</v>
      </c>
      <c r="AE994" s="87"/>
      <c r="AF994" s="87"/>
      <c r="AG994" s="87"/>
      <c r="AH994" s="87">
        <v>66</v>
      </c>
      <c r="AI994" s="87"/>
      <c r="AJ994" s="87"/>
      <c r="AK994" s="87"/>
      <c r="AL994" s="87"/>
      <c r="AM994" s="87"/>
      <c r="AN994" s="87">
        <v>1</v>
      </c>
      <c r="AO994" s="87">
        <v>22</v>
      </c>
      <c r="AP994" s="87">
        <v>63</v>
      </c>
      <c r="AQ994" s="87"/>
      <c r="AR994" s="87"/>
      <c r="AS994" s="87"/>
      <c r="AT994" s="87"/>
      <c r="AU994" s="87"/>
      <c r="AV994" s="87"/>
      <c r="AW994" s="88" t="str">
        <f>HYPERLINK("http://www.openstreetmap.org/?mlat=36.8703&amp;mlon=42.9719&amp;zoom=12#map=12/36.8703/42.9719","Maplink1")</f>
        <v>Maplink1</v>
      </c>
      <c r="AX994" s="88" t="str">
        <f>HYPERLINK("https://www.google.iq/maps/search/+36.8703,42.9719/@36.8703,42.9719,14z?hl=en","Maplink2")</f>
        <v>Maplink2</v>
      </c>
      <c r="AY994" s="88" t="str">
        <f>HYPERLINK("http://www.bing.com/maps/?lvl=14&amp;sty=h&amp;cp=36.8703~42.9719&amp;sp=point.36.8703_42.9719","Maplink3")</f>
        <v>Maplink3</v>
      </c>
      <c r="AZ994" s="76"/>
    </row>
    <row r="995" spans="1:52" x14ac:dyDescent="0.25">
      <c r="A995" s="86">
        <v>23763</v>
      </c>
      <c r="B995" s="87" t="s">
        <v>16</v>
      </c>
      <c r="C995" s="87" t="s">
        <v>16</v>
      </c>
      <c r="D995" s="87" t="s">
        <v>1996</v>
      </c>
      <c r="E995" s="87" t="s">
        <v>1997</v>
      </c>
      <c r="F995" s="87">
        <v>36.8653013829</v>
      </c>
      <c r="G995" s="87">
        <v>42.978795715700002</v>
      </c>
      <c r="H995" s="86">
        <v>24</v>
      </c>
      <c r="I995" s="86">
        <v>144</v>
      </c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>
        <v>24</v>
      </c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>
        <v>24</v>
      </c>
      <c r="AI995" s="87"/>
      <c r="AJ995" s="87"/>
      <c r="AK995" s="87"/>
      <c r="AL995" s="87"/>
      <c r="AM995" s="87"/>
      <c r="AN995" s="87"/>
      <c r="AO995" s="87">
        <v>20</v>
      </c>
      <c r="AP995" s="87">
        <v>4</v>
      </c>
      <c r="AQ995" s="87"/>
      <c r="AR995" s="87"/>
      <c r="AS995" s="87"/>
      <c r="AT995" s="87"/>
      <c r="AU995" s="87"/>
      <c r="AV995" s="87"/>
      <c r="AW995" s="88" t="str">
        <f>HYPERLINK("http://www.openstreetmap.org/?mlat=36.8653&amp;mlon=42.9788&amp;zoom=12#map=12/36.8653/42.9788","Maplink1")</f>
        <v>Maplink1</v>
      </c>
      <c r="AX995" s="88" t="str">
        <f>HYPERLINK("https://www.google.iq/maps/search/+36.8653,42.9788/@36.8653,42.9788,14z?hl=en","Maplink2")</f>
        <v>Maplink2</v>
      </c>
      <c r="AY995" s="88" t="str">
        <f>HYPERLINK("http://www.bing.com/maps/?lvl=14&amp;sty=h&amp;cp=36.8653~42.9788&amp;sp=point.36.8653_42.9788","Maplink3")</f>
        <v>Maplink3</v>
      </c>
      <c r="AZ995" s="76"/>
    </row>
    <row r="996" spans="1:52" x14ac:dyDescent="0.25">
      <c r="A996" s="86">
        <v>24302</v>
      </c>
      <c r="B996" s="87" t="s">
        <v>16</v>
      </c>
      <c r="C996" s="87" t="s">
        <v>16</v>
      </c>
      <c r="D996" s="87" t="s">
        <v>1998</v>
      </c>
      <c r="E996" s="87" t="s">
        <v>1999</v>
      </c>
      <c r="F996" s="87">
        <v>36.8818269693</v>
      </c>
      <c r="G996" s="87">
        <v>42.942555819399999</v>
      </c>
      <c r="H996" s="86">
        <v>382</v>
      </c>
      <c r="I996" s="86">
        <v>2292</v>
      </c>
      <c r="J996" s="87">
        <v>3</v>
      </c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>
        <v>379</v>
      </c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>
        <v>382</v>
      </c>
      <c r="AI996" s="87"/>
      <c r="AJ996" s="87"/>
      <c r="AK996" s="87"/>
      <c r="AL996" s="87"/>
      <c r="AM996" s="87"/>
      <c r="AN996" s="87">
        <v>3</v>
      </c>
      <c r="AO996" s="87">
        <v>269</v>
      </c>
      <c r="AP996" s="87">
        <v>103</v>
      </c>
      <c r="AQ996" s="87"/>
      <c r="AR996" s="87"/>
      <c r="AS996" s="87"/>
      <c r="AT996" s="87"/>
      <c r="AU996" s="87">
        <v>7</v>
      </c>
      <c r="AV996" s="87"/>
      <c r="AW996" s="88" t="str">
        <f>HYPERLINK("http://www.openstreetmap.org/?mlat=36.8818&amp;mlon=42.9426&amp;zoom=12#map=12/36.8818/42.9426","Maplink1")</f>
        <v>Maplink1</v>
      </c>
      <c r="AX996" s="88" t="str">
        <f>HYPERLINK("https://www.google.iq/maps/search/+36.8818,42.9426/@36.8818,42.9426,14z?hl=en","Maplink2")</f>
        <v>Maplink2</v>
      </c>
      <c r="AY996" s="88" t="str">
        <f>HYPERLINK("http://www.bing.com/maps/?lvl=14&amp;sty=h&amp;cp=36.8818~42.9426&amp;sp=point.36.8818_42.9426","Maplink3")</f>
        <v>Maplink3</v>
      </c>
      <c r="AZ996" s="76"/>
    </row>
    <row r="997" spans="1:52" x14ac:dyDescent="0.25">
      <c r="A997" s="86">
        <v>24185</v>
      </c>
      <c r="B997" s="87" t="s">
        <v>16</v>
      </c>
      <c r="C997" s="87" t="s">
        <v>16</v>
      </c>
      <c r="D997" s="87" t="s">
        <v>2000</v>
      </c>
      <c r="E997" s="87" t="s">
        <v>2001</v>
      </c>
      <c r="F997" s="87">
        <v>36.848990003600001</v>
      </c>
      <c r="G997" s="87">
        <v>43.023010915699999</v>
      </c>
      <c r="H997" s="86">
        <v>10</v>
      </c>
      <c r="I997" s="86">
        <v>60</v>
      </c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>
        <v>10</v>
      </c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>
        <v>10</v>
      </c>
      <c r="AI997" s="87"/>
      <c r="AJ997" s="87"/>
      <c r="AK997" s="87"/>
      <c r="AL997" s="87"/>
      <c r="AM997" s="87"/>
      <c r="AN997" s="87"/>
      <c r="AO997" s="87"/>
      <c r="AP997" s="87">
        <v>10</v>
      </c>
      <c r="AQ997" s="87"/>
      <c r="AR997" s="87"/>
      <c r="AS997" s="87"/>
      <c r="AT997" s="87"/>
      <c r="AU997" s="87"/>
      <c r="AV997" s="87"/>
      <c r="AW997" s="88" t="str">
        <f>HYPERLINK("http://www.openstreetmap.org/?mlat=36.849&amp;mlon=43.023&amp;zoom=12#map=12/36.849/43.023","Maplink1")</f>
        <v>Maplink1</v>
      </c>
      <c r="AX997" s="88" t="str">
        <f>HYPERLINK("https://www.google.iq/maps/search/+36.849,43.023/@36.849,43.023,14z?hl=en","Maplink2")</f>
        <v>Maplink2</v>
      </c>
      <c r="AY997" s="88" t="str">
        <f>HYPERLINK("http://www.bing.com/maps/?lvl=14&amp;sty=h&amp;cp=36.849~43.023&amp;sp=point.36.849_43.023","Maplink3")</f>
        <v>Maplink3</v>
      </c>
      <c r="AZ997" s="76"/>
    </row>
    <row r="998" spans="1:52" x14ac:dyDescent="0.25">
      <c r="A998" s="86">
        <v>7949</v>
      </c>
      <c r="B998" s="87" t="s">
        <v>16</v>
      </c>
      <c r="C998" s="87" t="s">
        <v>16</v>
      </c>
      <c r="D998" s="87" t="s">
        <v>2002</v>
      </c>
      <c r="E998" s="87" t="s">
        <v>2003</v>
      </c>
      <c r="F998" s="87">
        <v>36.859858980200002</v>
      </c>
      <c r="G998" s="87">
        <v>43.0951569088</v>
      </c>
      <c r="H998" s="86">
        <v>125</v>
      </c>
      <c r="I998" s="86">
        <v>750</v>
      </c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>
        <v>125</v>
      </c>
      <c r="W998" s="87"/>
      <c r="X998" s="87"/>
      <c r="Y998" s="87"/>
      <c r="Z998" s="87"/>
      <c r="AA998" s="87"/>
      <c r="AB998" s="87"/>
      <c r="AC998" s="87">
        <v>32</v>
      </c>
      <c r="AD998" s="87"/>
      <c r="AE998" s="87"/>
      <c r="AF998" s="87"/>
      <c r="AG998" s="87"/>
      <c r="AH998" s="87">
        <v>75</v>
      </c>
      <c r="AI998" s="87"/>
      <c r="AJ998" s="87"/>
      <c r="AK998" s="87">
        <v>18</v>
      </c>
      <c r="AL998" s="87"/>
      <c r="AM998" s="87"/>
      <c r="AN998" s="87"/>
      <c r="AO998" s="87">
        <v>40</v>
      </c>
      <c r="AP998" s="87">
        <v>85</v>
      </c>
      <c r="AQ998" s="87"/>
      <c r="AR998" s="87"/>
      <c r="AS998" s="87"/>
      <c r="AT998" s="87"/>
      <c r="AU998" s="87"/>
      <c r="AV998" s="87"/>
      <c r="AW998" s="88" t="str">
        <f>HYPERLINK("http://www.openstreetmap.org/?mlat=36.8599&amp;mlon=43.0952&amp;zoom=12#map=12/36.8599/43.0952","Maplink1")</f>
        <v>Maplink1</v>
      </c>
      <c r="AX998" s="88" t="str">
        <f>HYPERLINK("https://www.google.iq/maps/search/+36.8599,43.0952/@36.8599,43.0952,14z?hl=en","Maplink2")</f>
        <v>Maplink2</v>
      </c>
      <c r="AY998" s="88" t="str">
        <f>HYPERLINK("http://www.bing.com/maps/?lvl=14&amp;sty=h&amp;cp=36.8599~43.0952&amp;sp=point.36.8599_43.0952","Maplink3")</f>
        <v>Maplink3</v>
      </c>
      <c r="AZ998" s="76"/>
    </row>
    <row r="999" spans="1:52" x14ac:dyDescent="0.25">
      <c r="A999" s="86">
        <v>24628</v>
      </c>
      <c r="B999" s="87" t="s">
        <v>16</v>
      </c>
      <c r="C999" s="87" t="s">
        <v>16</v>
      </c>
      <c r="D999" s="87" t="s">
        <v>2004</v>
      </c>
      <c r="E999" s="87" t="s">
        <v>2005</v>
      </c>
      <c r="F999" s="87">
        <v>36.844704079000003</v>
      </c>
      <c r="G999" s="87">
        <v>43.082330210199999</v>
      </c>
      <c r="H999" s="86">
        <v>212</v>
      </c>
      <c r="I999" s="86">
        <v>1272</v>
      </c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>
        <v>212</v>
      </c>
      <c r="W999" s="87"/>
      <c r="X999" s="87"/>
      <c r="Y999" s="87"/>
      <c r="Z999" s="87"/>
      <c r="AA999" s="87"/>
      <c r="AB999" s="87"/>
      <c r="AC999" s="87">
        <v>23</v>
      </c>
      <c r="AD999" s="87"/>
      <c r="AE999" s="87"/>
      <c r="AF999" s="87"/>
      <c r="AG999" s="87"/>
      <c r="AH999" s="87">
        <v>174</v>
      </c>
      <c r="AI999" s="87"/>
      <c r="AJ999" s="87"/>
      <c r="AK999" s="87">
        <v>15</v>
      </c>
      <c r="AL999" s="87"/>
      <c r="AM999" s="87"/>
      <c r="AN999" s="87"/>
      <c r="AO999" s="87">
        <v>71</v>
      </c>
      <c r="AP999" s="87">
        <v>114</v>
      </c>
      <c r="AQ999" s="87"/>
      <c r="AR999" s="87"/>
      <c r="AS999" s="87"/>
      <c r="AT999" s="87"/>
      <c r="AU999" s="87">
        <v>27</v>
      </c>
      <c r="AV999" s="87"/>
      <c r="AW999" s="88" t="str">
        <f>HYPERLINK("http://www.openstreetmap.org/?mlat=36.8447&amp;mlon=43.0823&amp;zoom=12#map=12/36.8447/43.0823","Maplink1")</f>
        <v>Maplink1</v>
      </c>
      <c r="AX999" s="88" t="str">
        <f>HYPERLINK("https://www.google.iq/maps/search/+36.8447,43.0823/@36.8447,43.0823,14z?hl=en","Maplink2")</f>
        <v>Maplink2</v>
      </c>
      <c r="AY999" s="88" t="str">
        <f>HYPERLINK("http://www.bing.com/maps/?lvl=14&amp;sty=h&amp;cp=36.8447~43.0823&amp;sp=point.36.8447_43.0823","Maplink3")</f>
        <v>Maplink3</v>
      </c>
      <c r="AZ999" s="76"/>
    </row>
    <row r="1000" spans="1:52" x14ac:dyDescent="0.25">
      <c r="A1000" s="86">
        <v>23711</v>
      </c>
      <c r="B1000" s="87" t="s">
        <v>16</v>
      </c>
      <c r="C1000" s="87" t="s">
        <v>16</v>
      </c>
      <c r="D1000" s="87" t="s">
        <v>2006</v>
      </c>
      <c r="E1000" s="87" t="s">
        <v>2007</v>
      </c>
      <c r="F1000" s="87">
        <v>36.863874868300002</v>
      </c>
      <c r="G1000" s="87">
        <v>43.006124331499997</v>
      </c>
      <c r="H1000" s="86">
        <v>20</v>
      </c>
      <c r="I1000" s="86">
        <v>120</v>
      </c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>
        <v>20</v>
      </c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>
        <v>20</v>
      </c>
      <c r="AI1000" s="87"/>
      <c r="AJ1000" s="87"/>
      <c r="AK1000" s="87"/>
      <c r="AL1000" s="87"/>
      <c r="AM1000" s="87"/>
      <c r="AN1000" s="87"/>
      <c r="AO1000" s="87"/>
      <c r="AP1000" s="87">
        <v>20</v>
      </c>
      <c r="AQ1000" s="87"/>
      <c r="AR1000" s="87"/>
      <c r="AS1000" s="87"/>
      <c r="AT1000" s="87"/>
      <c r="AU1000" s="87"/>
      <c r="AV1000" s="87"/>
      <c r="AW1000" s="88" t="str">
        <f>HYPERLINK("http://www.openstreetmap.org/?mlat=36.8639&amp;mlon=43.0061&amp;zoom=12#map=12/36.8639/43.0061","Maplink1")</f>
        <v>Maplink1</v>
      </c>
      <c r="AX1000" s="88" t="str">
        <f>HYPERLINK("https://www.google.iq/maps/search/+36.8639,43.0061/@36.8639,43.0061,14z?hl=en","Maplink2")</f>
        <v>Maplink2</v>
      </c>
      <c r="AY1000" s="88" t="str">
        <f>HYPERLINK("http://www.bing.com/maps/?lvl=14&amp;sty=h&amp;cp=36.8639~43.0061&amp;sp=point.36.8639_43.0061","Maplink3")</f>
        <v>Maplink3</v>
      </c>
      <c r="AZ1000" s="76"/>
    </row>
    <row r="1001" spans="1:52" x14ac:dyDescent="0.25">
      <c r="A1001" s="86">
        <v>8371</v>
      </c>
      <c r="B1001" s="87" t="s">
        <v>16</v>
      </c>
      <c r="C1001" s="87" t="s">
        <v>16</v>
      </c>
      <c r="D1001" s="87" t="s">
        <v>2008</v>
      </c>
      <c r="E1001" s="87" t="s">
        <v>2009</v>
      </c>
      <c r="F1001" s="87">
        <v>36.8471850269</v>
      </c>
      <c r="G1001" s="87">
        <v>42.940011138400003</v>
      </c>
      <c r="H1001" s="86">
        <v>20</v>
      </c>
      <c r="I1001" s="86">
        <v>120</v>
      </c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>
        <v>20</v>
      </c>
      <c r="W1001" s="87"/>
      <c r="X1001" s="87"/>
      <c r="Y1001" s="87"/>
      <c r="Z1001" s="87"/>
      <c r="AA1001" s="87"/>
      <c r="AB1001" s="87"/>
      <c r="AC1001" s="87">
        <v>1</v>
      </c>
      <c r="AD1001" s="87"/>
      <c r="AE1001" s="87"/>
      <c r="AF1001" s="87"/>
      <c r="AG1001" s="87"/>
      <c r="AH1001" s="87">
        <v>17</v>
      </c>
      <c r="AI1001" s="87"/>
      <c r="AJ1001" s="87"/>
      <c r="AK1001" s="87">
        <v>2</v>
      </c>
      <c r="AL1001" s="87"/>
      <c r="AM1001" s="87"/>
      <c r="AN1001" s="87"/>
      <c r="AO1001" s="87">
        <v>7</v>
      </c>
      <c r="AP1001" s="87">
        <v>13</v>
      </c>
      <c r="AQ1001" s="87"/>
      <c r="AR1001" s="87"/>
      <c r="AS1001" s="87"/>
      <c r="AT1001" s="87"/>
      <c r="AU1001" s="87"/>
      <c r="AV1001" s="87"/>
      <c r="AW1001" s="88" t="str">
        <f>HYPERLINK("http://www.openstreetmap.org/?mlat=36.8472&amp;mlon=42.94&amp;zoom=12#map=12/36.8472/42.94","Maplink1")</f>
        <v>Maplink1</v>
      </c>
      <c r="AX1001" s="88" t="str">
        <f>HYPERLINK("https://www.google.iq/maps/search/+36.8472,42.94/@36.8472,42.94,14z?hl=en","Maplink2")</f>
        <v>Maplink2</v>
      </c>
      <c r="AY1001" s="88" t="str">
        <f>HYPERLINK("http://www.bing.com/maps/?lvl=14&amp;sty=h&amp;cp=36.8472~42.94&amp;sp=point.36.8472_42.94","Maplink3")</f>
        <v>Maplink3</v>
      </c>
      <c r="AZ1001" s="76"/>
    </row>
    <row r="1002" spans="1:52" x14ac:dyDescent="0.25">
      <c r="A1002" s="86">
        <v>21509</v>
      </c>
      <c r="B1002" s="87" t="s">
        <v>16</v>
      </c>
      <c r="C1002" s="87" t="s">
        <v>16</v>
      </c>
      <c r="D1002" s="87" t="s">
        <v>2010</v>
      </c>
      <c r="E1002" s="87" t="s">
        <v>2011</v>
      </c>
      <c r="F1002" s="87">
        <v>36.868092251900002</v>
      </c>
      <c r="G1002" s="87">
        <v>42.991873884100002</v>
      </c>
      <c r="H1002" s="86">
        <v>195</v>
      </c>
      <c r="I1002" s="86">
        <v>1170</v>
      </c>
      <c r="J1002" s="87">
        <v>3</v>
      </c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>
        <v>192</v>
      </c>
      <c r="W1002" s="87"/>
      <c r="X1002" s="87"/>
      <c r="Y1002" s="87"/>
      <c r="Z1002" s="87"/>
      <c r="AA1002" s="87"/>
      <c r="AB1002" s="87"/>
      <c r="AC1002" s="87">
        <v>4</v>
      </c>
      <c r="AD1002" s="87">
        <v>26</v>
      </c>
      <c r="AE1002" s="87"/>
      <c r="AF1002" s="87"/>
      <c r="AG1002" s="87"/>
      <c r="AH1002" s="87">
        <v>165</v>
      </c>
      <c r="AI1002" s="87"/>
      <c r="AJ1002" s="87"/>
      <c r="AK1002" s="87"/>
      <c r="AL1002" s="87"/>
      <c r="AM1002" s="87"/>
      <c r="AN1002" s="87">
        <v>3</v>
      </c>
      <c r="AO1002" s="87">
        <v>79</v>
      </c>
      <c r="AP1002" s="87">
        <v>113</v>
      </c>
      <c r="AQ1002" s="87"/>
      <c r="AR1002" s="87"/>
      <c r="AS1002" s="87"/>
      <c r="AT1002" s="87"/>
      <c r="AU1002" s="87"/>
      <c r="AV1002" s="87"/>
      <c r="AW1002" s="88" t="str">
        <f>HYPERLINK("http://www.openstreetmap.org/?mlat=36.8681&amp;mlon=42.9919&amp;zoom=12#map=12/36.8681/42.9919","Maplink1")</f>
        <v>Maplink1</v>
      </c>
      <c r="AX1002" s="88" t="str">
        <f>HYPERLINK("https://www.google.iq/maps/search/+36.8681,42.9919/@36.8681,42.9919,14z?hl=en","Maplink2")</f>
        <v>Maplink2</v>
      </c>
      <c r="AY1002" s="88" t="str">
        <f>HYPERLINK("http://www.bing.com/maps/?lvl=14&amp;sty=h&amp;cp=36.8681~42.9919&amp;sp=point.36.8681_42.9919","Maplink3")</f>
        <v>Maplink3</v>
      </c>
      <c r="AZ1002" s="76"/>
    </row>
    <row r="1003" spans="1:52" x14ac:dyDescent="0.25">
      <c r="A1003" s="86">
        <v>7984</v>
      </c>
      <c r="B1003" s="87" t="s">
        <v>16</v>
      </c>
      <c r="C1003" s="87" t="s">
        <v>16</v>
      </c>
      <c r="D1003" s="87" t="s">
        <v>2012</v>
      </c>
      <c r="E1003" s="87" t="s">
        <v>2013</v>
      </c>
      <c r="F1003" s="87">
        <v>36.8901529412</v>
      </c>
      <c r="G1003" s="87">
        <v>42.914954319499998</v>
      </c>
      <c r="H1003" s="86">
        <v>100</v>
      </c>
      <c r="I1003" s="86">
        <v>600</v>
      </c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>
        <v>100</v>
      </c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>
        <v>85</v>
      </c>
      <c r="AI1003" s="87"/>
      <c r="AJ1003" s="87"/>
      <c r="AK1003" s="87">
        <v>5</v>
      </c>
      <c r="AL1003" s="87">
        <v>10</v>
      </c>
      <c r="AM1003" s="87"/>
      <c r="AN1003" s="87"/>
      <c r="AO1003" s="87">
        <v>5</v>
      </c>
      <c r="AP1003" s="87">
        <v>95</v>
      </c>
      <c r="AQ1003" s="87"/>
      <c r="AR1003" s="87"/>
      <c r="AS1003" s="87"/>
      <c r="AT1003" s="87"/>
      <c r="AU1003" s="87"/>
      <c r="AV1003" s="87"/>
      <c r="AW1003" s="88" t="str">
        <f>HYPERLINK("http://www.openstreetmap.org/?mlat=36.8902&amp;mlon=42.915&amp;zoom=12#map=12/36.8902/42.915","Maplink1")</f>
        <v>Maplink1</v>
      </c>
      <c r="AX1003" s="88" t="str">
        <f>HYPERLINK("https://www.google.iq/maps/search/+36.8902,42.915/@36.8902,42.915,14z?hl=en","Maplink2")</f>
        <v>Maplink2</v>
      </c>
      <c r="AY1003" s="88" t="str">
        <f>HYPERLINK("http://www.bing.com/maps/?lvl=14&amp;sty=h&amp;cp=36.8902~42.915&amp;sp=point.36.8902_42.915","Maplink3")</f>
        <v>Maplink3</v>
      </c>
      <c r="AZ1003" s="76"/>
    </row>
    <row r="1004" spans="1:52" x14ac:dyDescent="0.25">
      <c r="A1004" s="86">
        <v>24184</v>
      </c>
      <c r="B1004" s="87" t="s">
        <v>16</v>
      </c>
      <c r="C1004" s="87" t="s">
        <v>16</v>
      </c>
      <c r="D1004" s="87" t="s">
        <v>2014</v>
      </c>
      <c r="E1004" s="87" t="s">
        <v>2015</v>
      </c>
      <c r="F1004" s="87">
        <v>36.856413552200003</v>
      </c>
      <c r="G1004" s="87">
        <v>43.002842736799998</v>
      </c>
      <c r="H1004" s="86">
        <v>144</v>
      </c>
      <c r="I1004" s="86">
        <v>864</v>
      </c>
      <c r="J1004" s="87">
        <v>1</v>
      </c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>
        <v>143</v>
      </c>
      <c r="W1004" s="87"/>
      <c r="X1004" s="87"/>
      <c r="Y1004" s="87"/>
      <c r="Z1004" s="87"/>
      <c r="AA1004" s="87"/>
      <c r="AB1004" s="87"/>
      <c r="AC1004" s="87"/>
      <c r="AD1004" s="87">
        <v>9</v>
      </c>
      <c r="AE1004" s="87"/>
      <c r="AF1004" s="87"/>
      <c r="AG1004" s="87"/>
      <c r="AH1004" s="87">
        <v>135</v>
      </c>
      <c r="AI1004" s="87"/>
      <c r="AJ1004" s="87"/>
      <c r="AK1004" s="87"/>
      <c r="AL1004" s="87"/>
      <c r="AM1004" s="87"/>
      <c r="AN1004" s="87">
        <v>1</v>
      </c>
      <c r="AO1004" s="87">
        <v>66</v>
      </c>
      <c r="AP1004" s="87">
        <v>77</v>
      </c>
      <c r="AQ1004" s="87"/>
      <c r="AR1004" s="87"/>
      <c r="AS1004" s="87"/>
      <c r="AT1004" s="87"/>
      <c r="AU1004" s="87"/>
      <c r="AV1004" s="87"/>
      <c r="AW1004" s="88" t="str">
        <f>HYPERLINK("http://www.openstreetmap.org/?mlat=36.8564&amp;mlon=43.0028&amp;zoom=12#map=12/36.8564/43.0028","Maplink1")</f>
        <v>Maplink1</v>
      </c>
      <c r="AX1004" s="88" t="str">
        <f>HYPERLINK("https://www.google.iq/maps/search/+36.8564,43.0028/@36.8564,43.0028,14z?hl=en","Maplink2")</f>
        <v>Maplink2</v>
      </c>
      <c r="AY1004" s="88" t="str">
        <f>HYPERLINK("http://www.bing.com/maps/?lvl=14&amp;sty=h&amp;cp=36.8564~43.0028&amp;sp=point.36.8564_43.0028","Maplink3")</f>
        <v>Maplink3</v>
      </c>
      <c r="AZ1004" s="76"/>
    </row>
    <row r="1005" spans="1:52" x14ac:dyDescent="0.25">
      <c r="A1005" s="86">
        <v>8871</v>
      </c>
      <c r="B1005" s="87" t="s">
        <v>16</v>
      </c>
      <c r="C1005" s="87" t="s">
        <v>16</v>
      </c>
      <c r="D1005" s="87" t="s">
        <v>2016</v>
      </c>
      <c r="E1005" s="87" t="s">
        <v>2017</v>
      </c>
      <c r="F1005" s="87">
        <v>36.934219498700003</v>
      </c>
      <c r="G1005" s="87">
        <v>43.1507973334</v>
      </c>
      <c r="H1005" s="86">
        <v>62</v>
      </c>
      <c r="I1005" s="86">
        <v>372</v>
      </c>
      <c r="J1005" s="87"/>
      <c r="K1005" s="87"/>
      <c r="L1005" s="87">
        <v>1</v>
      </c>
      <c r="M1005" s="87"/>
      <c r="N1005" s="87"/>
      <c r="O1005" s="87"/>
      <c r="P1005" s="87"/>
      <c r="Q1005" s="87"/>
      <c r="R1005" s="87"/>
      <c r="S1005" s="87"/>
      <c r="T1005" s="87"/>
      <c r="U1005" s="87"/>
      <c r="V1005" s="87">
        <v>61</v>
      </c>
      <c r="W1005" s="87"/>
      <c r="X1005" s="87"/>
      <c r="Y1005" s="87"/>
      <c r="Z1005" s="87"/>
      <c r="AA1005" s="87"/>
      <c r="AB1005" s="87"/>
      <c r="AC1005" s="87">
        <v>29</v>
      </c>
      <c r="AD1005" s="87"/>
      <c r="AE1005" s="87"/>
      <c r="AF1005" s="87"/>
      <c r="AG1005" s="87"/>
      <c r="AH1005" s="87">
        <v>29</v>
      </c>
      <c r="AI1005" s="87"/>
      <c r="AJ1005" s="87"/>
      <c r="AK1005" s="87">
        <v>4</v>
      </c>
      <c r="AL1005" s="87"/>
      <c r="AM1005" s="87"/>
      <c r="AN1005" s="87"/>
      <c r="AO1005" s="87">
        <v>4</v>
      </c>
      <c r="AP1005" s="87">
        <v>58</v>
      </c>
      <c r="AQ1005" s="87"/>
      <c r="AR1005" s="87"/>
      <c r="AS1005" s="87"/>
      <c r="AT1005" s="87"/>
      <c r="AU1005" s="87"/>
      <c r="AV1005" s="87"/>
      <c r="AW1005" s="88" t="str">
        <f>HYPERLINK("http://www.openstreetmap.org/?mlat=36.9342&amp;mlon=43.1508&amp;zoom=12#map=12/36.9342/43.1508","Maplink1")</f>
        <v>Maplink1</v>
      </c>
      <c r="AX1005" s="88" t="str">
        <f>HYPERLINK("https://www.google.iq/maps/search/+36.9342,43.1508/@36.9342,43.1508,14z?hl=en","Maplink2")</f>
        <v>Maplink2</v>
      </c>
      <c r="AY1005" s="88" t="str">
        <f>HYPERLINK("http://www.bing.com/maps/?lvl=14&amp;sty=h&amp;cp=36.9342~43.1508&amp;sp=point.36.9342_43.1508","Maplink3")</f>
        <v>Maplink3</v>
      </c>
      <c r="AZ1005" s="76"/>
    </row>
    <row r="1006" spans="1:52" x14ac:dyDescent="0.25">
      <c r="A1006" s="86">
        <v>8238</v>
      </c>
      <c r="B1006" s="87" t="s">
        <v>16</v>
      </c>
      <c r="C1006" s="87" t="s">
        <v>16</v>
      </c>
      <c r="D1006" s="87" t="s">
        <v>2018</v>
      </c>
      <c r="E1006" s="87" t="s">
        <v>2019</v>
      </c>
      <c r="F1006" s="87">
        <v>37.046852424699999</v>
      </c>
      <c r="G1006" s="87">
        <v>43.138863274599998</v>
      </c>
      <c r="H1006" s="86">
        <v>3</v>
      </c>
      <c r="I1006" s="86">
        <v>18</v>
      </c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>
        <v>3</v>
      </c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>
        <v>3</v>
      </c>
      <c r="AL1006" s="87"/>
      <c r="AM1006" s="87"/>
      <c r="AN1006" s="87"/>
      <c r="AO1006" s="87"/>
      <c r="AP1006" s="87">
        <v>3</v>
      </c>
      <c r="AQ1006" s="87"/>
      <c r="AR1006" s="87"/>
      <c r="AS1006" s="87"/>
      <c r="AT1006" s="87"/>
      <c r="AU1006" s="87"/>
      <c r="AV1006" s="87"/>
      <c r="AW1006" s="88" t="str">
        <f>HYPERLINK("http://www.openstreetmap.org/?mlat=37.0469&amp;mlon=43.1389&amp;zoom=12#map=12/37.0469/43.1389","Maplink1")</f>
        <v>Maplink1</v>
      </c>
      <c r="AX1006" s="88" t="str">
        <f>HYPERLINK("https://www.google.iq/maps/search/+37.0469,43.1389/@37.0469,43.1389,14z?hl=en","Maplink2")</f>
        <v>Maplink2</v>
      </c>
      <c r="AY1006" s="88" t="str">
        <f>HYPERLINK("http://www.bing.com/maps/?lvl=14&amp;sty=h&amp;cp=37.0469~43.1389&amp;sp=point.37.0469_43.1389","Maplink3")</f>
        <v>Maplink3</v>
      </c>
      <c r="AZ1006" s="76"/>
    </row>
    <row r="1007" spans="1:52" x14ac:dyDescent="0.25">
      <c r="A1007" s="86">
        <v>26045</v>
      </c>
      <c r="B1007" s="87" t="s">
        <v>16</v>
      </c>
      <c r="C1007" s="87" t="s">
        <v>16</v>
      </c>
      <c r="D1007" s="87" t="s">
        <v>2020</v>
      </c>
      <c r="E1007" s="87" t="s">
        <v>2021</v>
      </c>
      <c r="F1007" s="87">
        <v>36.851558218599997</v>
      </c>
      <c r="G1007" s="87">
        <v>42.9319835441</v>
      </c>
      <c r="H1007" s="86">
        <v>98</v>
      </c>
      <c r="I1007" s="86">
        <v>588</v>
      </c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>
        <v>98</v>
      </c>
      <c r="W1007" s="87"/>
      <c r="X1007" s="87"/>
      <c r="Y1007" s="87"/>
      <c r="Z1007" s="87"/>
      <c r="AA1007" s="87"/>
      <c r="AB1007" s="87"/>
      <c r="AC1007" s="87">
        <v>9</v>
      </c>
      <c r="AD1007" s="87"/>
      <c r="AE1007" s="87"/>
      <c r="AF1007" s="87"/>
      <c r="AG1007" s="87"/>
      <c r="AH1007" s="87">
        <v>89</v>
      </c>
      <c r="AI1007" s="87"/>
      <c r="AJ1007" s="87"/>
      <c r="AK1007" s="87"/>
      <c r="AL1007" s="87"/>
      <c r="AM1007" s="87"/>
      <c r="AN1007" s="87"/>
      <c r="AO1007" s="87">
        <v>39</v>
      </c>
      <c r="AP1007" s="87">
        <v>59</v>
      </c>
      <c r="AQ1007" s="87"/>
      <c r="AR1007" s="87"/>
      <c r="AS1007" s="87"/>
      <c r="AT1007" s="87"/>
      <c r="AU1007" s="87"/>
      <c r="AV1007" s="87"/>
      <c r="AW1007" s="88" t="str">
        <f>HYPERLINK("http://www.openstreetmap.org/?mlat=36.8516&amp;mlon=42.932&amp;zoom=12#map=12/36.8516/42.932","Maplink1")</f>
        <v>Maplink1</v>
      </c>
      <c r="AX1007" s="88" t="str">
        <f>HYPERLINK("https://www.google.iq/maps/search/+36.8516,42.932/@36.8516,42.932,14z?hl=en","Maplink2")</f>
        <v>Maplink2</v>
      </c>
      <c r="AY1007" s="88" t="str">
        <f>HYPERLINK("http://www.bing.com/maps/?lvl=14&amp;sty=h&amp;cp=36.8516~42.932&amp;sp=point.36.8516_42.932","Maplink3")</f>
        <v>Maplink3</v>
      </c>
      <c r="AZ1007" s="76"/>
    </row>
    <row r="1008" spans="1:52" x14ac:dyDescent="0.25">
      <c r="A1008" s="86">
        <v>7964</v>
      </c>
      <c r="B1008" s="87" t="s">
        <v>16</v>
      </c>
      <c r="C1008" s="87" t="s">
        <v>16</v>
      </c>
      <c r="D1008" s="87" t="s">
        <v>2022</v>
      </c>
      <c r="E1008" s="87" t="s">
        <v>2023</v>
      </c>
      <c r="F1008" s="87">
        <v>37.035876278000003</v>
      </c>
      <c r="G1008" s="87">
        <v>43.096530336500003</v>
      </c>
      <c r="H1008" s="86">
        <v>20</v>
      </c>
      <c r="I1008" s="86">
        <v>120</v>
      </c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>
        <v>20</v>
      </c>
      <c r="W1008" s="87"/>
      <c r="X1008" s="87"/>
      <c r="Y1008" s="87"/>
      <c r="Z1008" s="87"/>
      <c r="AA1008" s="87"/>
      <c r="AB1008" s="87"/>
      <c r="AC1008" s="87">
        <v>19</v>
      </c>
      <c r="AD1008" s="87"/>
      <c r="AE1008" s="87"/>
      <c r="AF1008" s="87"/>
      <c r="AG1008" s="87"/>
      <c r="AH1008" s="87">
        <v>1</v>
      </c>
      <c r="AI1008" s="87"/>
      <c r="AJ1008" s="87"/>
      <c r="AK1008" s="87"/>
      <c r="AL1008" s="87"/>
      <c r="AM1008" s="87"/>
      <c r="AN1008" s="87"/>
      <c r="AO1008" s="87"/>
      <c r="AP1008" s="87">
        <v>20</v>
      </c>
      <c r="AQ1008" s="87"/>
      <c r="AR1008" s="87"/>
      <c r="AS1008" s="87"/>
      <c r="AT1008" s="87"/>
      <c r="AU1008" s="87"/>
      <c r="AV1008" s="87"/>
      <c r="AW1008" s="88" t="str">
        <f>HYPERLINK("http://www.openstreetmap.org/?mlat=37.0359&amp;mlon=43.0965&amp;zoom=12#map=12/37.0359/43.0965","Maplink1")</f>
        <v>Maplink1</v>
      </c>
      <c r="AX1008" s="88" t="str">
        <f>HYPERLINK("https://www.google.iq/maps/search/+37.0359,43.0965/@37.0359,43.0965,14z?hl=en","Maplink2")</f>
        <v>Maplink2</v>
      </c>
      <c r="AY1008" s="88" t="str">
        <f>HYPERLINK("http://www.bing.com/maps/?lvl=14&amp;sty=h&amp;cp=37.0359~43.0965&amp;sp=point.37.0359_43.0965","Maplink3")</f>
        <v>Maplink3</v>
      </c>
      <c r="AZ1008" s="76"/>
    </row>
    <row r="1009" spans="1:52" x14ac:dyDescent="0.25">
      <c r="A1009" s="86">
        <v>24092</v>
      </c>
      <c r="B1009" s="87" t="s">
        <v>16</v>
      </c>
      <c r="C1009" s="87" t="s">
        <v>16</v>
      </c>
      <c r="D1009" s="87" t="s">
        <v>2024</v>
      </c>
      <c r="E1009" s="87" t="s">
        <v>2025</v>
      </c>
      <c r="F1009" s="87">
        <v>36.8811633973</v>
      </c>
      <c r="G1009" s="87">
        <v>42.948334316</v>
      </c>
      <c r="H1009" s="86">
        <v>165</v>
      </c>
      <c r="I1009" s="86">
        <v>990</v>
      </c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>
        <v>165</v>
      </c>
      <c r="W1009" s="87"/>
      <c r="X1009" s="87"/>
      <c r="Y1009" s="87"/>
      <c r="Z1009" s="87"/>
      <c r="AA1009" s="87"/>
      <c r="AB1009" s="87"/>
      <c r="AC1009" s="87">
        <v>8</v>
      </c>
      <c r="AD1009" s="87">
        <v>15</v>
      </c>
      <c r="AE1009" s="87"/>
      <c r="AF1009" s="87"/>
      <c r="AG1009" s="87"/>
      <c r="AH1009" s="87">
        <v>139</v>
      </c>
      <c r="AI1009" s="87"/>
      <c r="AJ1009" s="87"/>
      <c r="AK1009" s="87">
        <v>3</v>
      </c>
      <c r="AL1009" s="87"/>
      <c r="AM1009" s="87"/>
      <c r="AN1009" s="87"/>
      <c r="AO1009" s="87">
        <v>55</v>
      </c>
      <c r="AP1009" s="87">
        <v>74</v>
      </c>
      <c r="AQ1009" s="87"/>
      <c r="AR1009" s="87"/>
      <c r="AS1009" s="87"/>
      <c r="AT1009" s="87"/>
      <c r="AU1009" s="87">
        <v>36</v>
      </c>
      <c r="AV1009" s="87"/>
      <c r="AW1009" s="88" t="str">
        <f>HYPERLINK("http://www.openstreetmap.org/?mlat=36.8812&amp;mlon=42.9483&amp;zoom=12#map=12/36.8812/42.9483","Maplink1")</f>
        <v>Maplink1</v>
      </c>
      <c r="AX1009" s="88" t="str">
        <f>HYPERLINK("https://www.google.iq/maps/search/+36.8812,42.9483/@36.8812,42.9483,14z?hl=en","Maplink2")</f>
        <v>Maplink2</v>
      </c>
      <c r="AY1009" s="88" t="str">
        <f>HYPERLINK("http://www.bing.com/maps/?lvl=14&amp;sty=h&amp;cp=36.8812~42.9483&amp;sp=point.36.8812_42.9483","Maplink3")</f>
        <v>Maplink3</v>
      </c>
      <c r="AZ1009" s="76"/>
    </row>
    <row r="1010" spans="1:52" x14ac:dyDescent="0.25">
      <c r="A1010" s="86">
        <v>24093</v>
      </c>
      <c r="B1010" s="87" t="s">
        <v>16</v>
      </c>
      <c r="C1010" s="87" t="s">
        <v>16</v>
      </c>
      <c r="D1010" s="87" t="s">
        <v>2026</v>
      </c>
      <c r="E1010" s="87" t="s">
        <v>2027</v>
      </c>
      <c r="F1010" s="87">
        <v>36.873031400899997</v>
      </c>
      <c r="G1010" s="87">
        <v>42.941639907300001</v>
      </c>
      <c r="H1010" s="86">
        <v>76</v>
      </c>
      <c r="I1010" s="86">
        <v>456</v>
      </c>
      <c r="J1010" s="87">
        <v>2</v>
      </c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>
        <v>74</v>
      </c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>
        <v>70</v>
      </c>
      <c r="AI1010" s="87"/>
      <c r="AJ1010" s="87"/>
      <c r="AK1010" s="87">
        <v>6</v>
      </c>
      <c r="AL1010" s="87"/>
      <c r="AM1010" s="87"/>
      <c r="AN1010" s="87">
        <v>2</v>
      </c>
      <c r="AO1010" s="87">
        <v>24</v>
      </c>
      <c r="AP1010" s="87">
        <v>48</v>
      </c>
      <c r="AQ1010" s="87"/>
      <c r="AR1010" s="87"/>
      <c r="AS1010" s="87"/>
      <c r="AT1010" s="87"/>
      <c r="AU1010" s="87">
        <v>2</v>
      </c>
      <c r="AV1010" s="87"/>
      <c r="AW1010" s="88" t="str">
        <f>HYPERLINK("http://www.openstreetmap.org/?mlat=36.873&amp;mlon=42.9416&amp;zoom=12#map=12/36.873/42.9416","Maplink1")</f>
        <v>Maplink1</v>
      </c>
      <c r="AX1010" s="88" t="str">
        <f>HYPERLINK("https://www.google.iq/maps/search/+36.873,42.9416/@36.873,42.9416,14z?hl=en","Maplink2")</f>
        <v>Maplink2</v>
      </c>
      <c r="AY1010" s="88" t="str">
        <f>HYPERLINK("http://www.bing.com/maps/?lvl=14&amp;sty=h&amp;cp=36.873~42.9416&amp;sp=point.36.873_42.9416","Maplink3")</f>
        <v>Maplink3</v>
      </c>
      <c r="AZ1010" s="76"/>
    </row>
    <row r="1011" spans="1:52" x14ac:dyDescent="0.25">
      <c r="A1011" s="86">
        <v>24802</v>
      </c>
      <c r="B1011" s="87" t="s">
        <v>16</v>
      </c>
      <c r="C1011" s="87" t="s">
        <v>16</v>
      </c>
      <c r="D1011" s="87" t="s">
        <v>2028</v>
      </c>
      <c r="E1011" s="87" t="s">
        <v>2029</v>
      </c>
      <c r="F1011" s="87">
        <v>36.855496655899998</v>
      </c>
      <c r="G1011" s="87">
        <v>42.976034537499999</v>
      </c>
      <c r="H1011" s="86">
        <v>82</v>
      </c>
      <c r="I1011" s="86">
        <v>492</v>
      </c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>
        <v>82</v>
      </c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>
        <v>81</v>
      </c>
      <c r="AI1011" s="87"/>
      <c r="AJ1011" s="87"/>
      <c r="AK1011" s="87">
        <v>1</v>
      </c>
      <c r="AL1011" s="87"/>
      <c r="AM1011" s="87"/>
      <c r="AN1011" s="87"/>
      <c r="AO1011" s="87">
        <v>50</v>
      </c>
      <c r="AP1011" s="87">
        <v>32</v>
      </c>
      <c r="AQ1011" s="87"/>
      <c r="AR1011" s="87"/>
      <c r="AS1011" s="87"/>
      <c r="AT1011" s="87"/>
      <c r="AU1011" s="87"/>
      <c r="AV1011" s="87"/>
      <c r="AW1011" s="88" t="str">
        <f>HYPERLINK("http://www.openstreetmap.org/?mlat=36.8555&amp;mlon=42.976&amp;zoom=12#map=12/36.8555/42.976","Maplink1")</f>
        <v>Maplink1</v>
      </c>
      <c r="AX1011" s="88" t="str">
        <f>HYPERLINK("https://www.google.iq/maps/search/+36.8555,42.976/@36.8555,42.976,14z?hl=en","Maplink2")</f>
        <v>Maplink2</v>
      </c>
      <c r="AY1011" s="88" t="str">
        <f>HYPERLINK("http://www.bing.com/maps/?lvl=14&amp;sty=h&amp;cp=36.8555~42.976&amp;sp=point.36.8555_42.976","Maplink3")</f>
        <v>Maplink3</v>
      </c>
      <c r="AZ1011" s="76"/>
    </row>
    <row r="1012" spans="1:52" x14ac:dyDescent="0.25">
      <c r="A1012" s="86">
        <v>24803</v>
      </c>
      <c r="B1012" s="87" t="s">
        <v>16</v>
      </c>
      <c r="C1012" s="87" t="s">
        <v>16</v>
      </c>
      <c r="D1012" s="87" t="s">
        <v>2030</v>
      </c>
      <c r="E1012" s="87" t="s">
        <v>2031</v>
      </c>
      <c r="F1012" s="87">
        <v>36.853771790400003</v>
      </c>
      <c r="G1012" s="87">
        <v>42.962325171800003</v>
      </c>
      <c r="H1012" s="86">
        <v>35</v>
      </c>
      <c r="I1012" s="86">
        <v>210</v>
      </c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>
        <v>35</v>
      </c>
      <c r="W1012" s="87"/>
      <c r="X1012" s="87"/>
      <c r="Y1012" s="87"/>
      <c r="Z1012" s="87"/>
      <c r="AA1012" s="87"/>
      <c r="AB1012" s="87"/>
      <c r="AC1012" s="87">
        <v>5</v>
      </c>
      <c r="AD1012" s="87"/>
      <c r="AE1012" s="87"/>
      <c r="AF1012" s="87"/>
      <c r="AG1012" s="87"/>
      <c r="AH1012" s="87">
        <v>30</v>
      </c>
      <c r="AI1012" s="87"/>
      <c r="AJ1012" s="87"/>
      <c r="AK1012" s="87"/>
      <c r="AL1012" s="87"/>
      <c r="AM1012" s="87"/>
      <c r="AN1012" s="87"/>
      <c r="AO1012" s="87">
        <v>7</v>
      </c>
      <c r="AP1012" s="87">
        <v>28</v>
      </c>
      <c r="AQ1012" s="87"/>
      <c r="AR1012" s="87"/>
      <c r="AS1012" s="87"/>
      <c r="AT1012" s="87"/>
      <c r="AU1012" s="87"/>
      <c r="AV1012" s="87"/>
      <c r="AW1012" s="88" t="str">
        <f>HYPERLINK("http://www.openstreetmap.org/?mlat=36.8538&amp;mlon=42.9623&amp;zoom=12#map=12/36.8538/42.9623","Maplink1")</f>
        <v>Maplink1</v>
      </c>
      <c r="AX1012" s="88" t="str">
        <f>HYPERLINK("https://www.google.iq/maps/search/+36.8538,42.9623/@36.8538,42.9623,14z?hl=en","Maplink2")</f>
        <v>Maplink2</v>
      </c>
      <c r="AY1012" s="88" t="str">
        <f>HYPERLINK("http://www.bing.com/maps/?lvl=14&amp;sty=h&amp;cp=36.8538~42.9623&amp;sp=point.36.8538_42.9623","Maplink3")</f>
        <v>Maplink3</v>
      </c>
      <c r="AZ1012" s="76"/>
    </row>
    <row r="1013" spans="1:52" x14ac:dyDescent="0.25">
      <c r="A1013" s="86">
        <v>8460</v>
      </c>
      <c r="B1013" s="87" t="s">
        <v>16</v>
      </c>
      <c r="C1013" s="87" t="s">
        <v>16</v>
      </c>
      <c r="D1013" s="87" t="s">
        <v>2032</v>
      </c>
      <c r="E1013" s="87" t="s">
        <v>2033</v>
      </c>
      <c r="F1013" s="87">
        <v>37.019169544599997</v>
      </c>
      <c r="G1013" s="87">
        <v>43.165573460300003</v>
      </c>
      <c r="H1013" s="86">
        <v>9</v>
      </c>
      <c r="I1013" s="86">
        <v>54</v>
      </c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>
        <v>9</v>
      </c>
      <c r="W1013" s="87"/>
      <c r="X1013" s="87"/>
      <c r="Y1013" s="87"/>
      <c r="Z1013" s="87"/>
      <c r="AA1013" s="87"/>
      <c r="AB1013" s="87"/>
      <c r="AC1013" s="87">
        <v>9</v>
      </c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>
        <v>9</v>
      </c>
      <c r="AQ1013" s="87"/>
      <c r="AR1013" s="87"/>
      <c r="AS1013" s="87"/>
      <c r="AT1013" s="87"/>
      <c r="AU1013" s="87"/>
      <c r="AV1013" s="87"/>
      <c r="AW1013" s="88" t="str">
        <f>HYPERLINK("http://www.openstreetmap.org/?mlat=37.0192&amp;mlon=43.1656&amp;zoom=12#map=12/37.0192/43.1656","Maplink1")</f>
        <v>Maplink1</v>
      </c>
      <c r="AX1013" s="88" t="str">
        <f>HYPERLINK("https://www.google.iq/maps/search/+37.0192,43.1656/@37.0192,43.1656,14z?hl=en","Maplink2")</f>
        <v>Maplink2</v>
      </c>
      <c r="AY1013" s="88" t="str">
        <f>HYPERLINK("http://www.bing.com/maps/?lvl=14&amp;sty=h&amp;cp=37.0192~43.1656&amp;sp=point.37.0192_43.1656","Maplink3")</f>
        <v>Maplink3</v>
      </c>
      <c r="AZ1013" s="76"/>
    </row>
    <row r="1014" spans="1:52" x14ac:dyDescent="0.25">
      <c r="A1014" s="86">
        <v>24644</v>
      </c>
      <c r="B1014" s="87" t="s">
        <v>16</v>
      </c>
      <c r="C1014" s="87" t="s">
        <v>16</v>
      </c>
      <c r="D1014" s="87" t="s">
        <v>2034</v>
      </c>
      <c r="E1014" s="87" t="s">
        <v>2035</v>
      </c>
      <c r="F1014" s="87">
        <v>36.848285103499997</v>
      </c>
      <c r="G1014" s="87">
        <v>43.031633020100003</v>
      </c>
      <c r="H1014" s="86">
        <v>23</v>
      </c>
      <c r="I1014" s="86">
        <v>138</v>
      </c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>
        <v>23</v>
      </c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>
        <v>23</v>
      </c>
      <c r="AI1014" s="87"/>
      <c r="AJ1014" s="87"/>
      <c r="AK1014" s="87"/>
      <c r="AL1014" s="87"/>
      <c r="AM1014" s="87"/>
      <c r="AN1014" s="87"/>
      <c r="AO1014" s="87"/>
      <c r="AP1014" s="87">
        <v>23</v>
      </c>
      <c r="AQ1014" s="87"/>
      <c r="AR1014" s="87"/>
      <c r="AS1014" s="87"/>
      <c r="AT1014" s="87"/>
      <c r="AU1014" s="87"/>
      <c r="AV1014" s="87"/>
      <c r="AW1014" s="88" t="str">
        <f>HYPERLINK("http://www.openstreetmap.org/?mlat=36.8483&amp;mlon=43.0316&amp;zoom=12#map=12/36.8483/43.0316","Maplink1")</f>
        <v>Maplink1</v>
      </c>
      <c r="AX1014" s="88" t="str">
        <f>HYPERLINK("https://www.google.iq/maps/search/+36.8483,43.0316/@36.8483,43.0316,14z?hl=en","Maplink2")</f>
        <v>Maplink2</v>
      </c>
      <c r="AY1014" s="88" t="str">
        <f>HYPERLINK("http://www.bing.com/maps/?lvl=14&amp;sty=h&amp;cp=36.8483~43.0316&amp;sp=point.36.8483_43.0316","Maplink3")</f>
        <v>Maplink3</v>
      </c>
      <c r="AZ1014" s="76"/>
    </row>
    <row r="1015" spans="1:52" x14ac:dyDescent="0.25">
      <c r="A1015" s="86">
        <v>23905</v>
      </c>
      <c r="B1015" s="87" t="s">
        <v>16</v>
      </c>
      <c r="C1015" s="87" t="s">
        <v>16</v>
      </c>
      <c r="D1015" s="87" t="s">
        <v>2036</v>
      </c>
      <c r="E1015" s="87" t="s">
        <v>2037</v>
      </c>
      <c r="F1015" s="87">
        <v>36.858554199899999</v>
      </c>
      <c r="G1015" s="87">
        <v>43.012529631600003</v>
      </c>
      <c r="H1015" s="86">
        <v>120</v>
      </c>
      <c r="I1015" s="86">
        <v>720</v>
      </c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>
        <v>120</v>
      </c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>
        <v>120</v>
      </c>
      <c r="AI1015" s="87"/>
      <c r="AJ1015" s="87"/>
      <c r="AK1015" s="87"/>
      <c r="AL1015" s="87"/>
      <c r="AM1015" s="87"/>
      <c r="AN1015" s="87"/>
      <c r="AO1015" s="87">
        <v>66</v>
      </c>
      <c r="AP1015" s="87">
        <v>54</v>
      </c>
      <c r="AQ1015" s="87"/>
      <c r="AR1015" s="87"/>
      <c r="AS1015" s="87"/>
      <c r="AT1015" s="87"/>
      <c r="AU1015" s="87"/>
      <c r="AV1015" s="87"/>
      <c r="AW1015" s="88" t="str">
        <f>HYPERLINK("http://www.openstreetmap.org/?mlat=36.8586&amp;mlon=43.0125&amp;zoom=12#map=12/36.8586/43.0125","Maplink1")</f>
        <v>Maplink1</v>
      </c>
      <c r="AX1015" s="88" t="str">
        <f>HYPERLINK("https://www.google.iq/maps/search/+36.8586,43.0125/@36.8586,43.0125,14z?hl=en","Maplink2")</f>
        <v>Maplink2</v>
      </c>
      <c r="AY1015" s="88" t="str">
        <f>HYPERLINK("http://www.bing.com/maps/?lvl=14&amp;sty=h&amp;cp=36.8586~43.0125&amp;sp=point.36.8586_43.0125","Maplink3")</f>
        <v>Maplink3</v>
      </c>
      <c r="AZ1015" s="76"/>
    </row>
    <row r="1016" spans="1:52" x14ac:dyDescent="0.25">
      <c r="A1016" s="86">
        <v>29698</v>
      </c>
      <c r="B1016" s="87" t="s">
        <v>16</v>
      </c>
      <c r="C1016" s="87" t="s">
        <v>16</v>
      </c>
      <c r="D1016" s="87" t="s">
        <v>2038</v>
      </c>
      <c r="E1016" s="87" t="s">
        <v>2039</v>
      </c>
      <c r="F1016" s="87">
        <v>36.8657196578</v>
      </c>
      <c r="G1016" s="87">
        <v>42.990677803799997</v>
      </c>
      <c r="H1016" s="86">
        <v>38</v>
      </c>
      <c r="I1016" s="86">
        <v>228</v>
      </c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>
        <v>38</v>
      </c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>
        <v>38</v>
      </c>
      <c r="AI1016" s="87"/>
      <c r="AJ1016" s="87"/>
      <c r="AK1016" s="87"/>
      <c r="AL1016" s="87"/>
      <c r="AM1016" s="87"/>
      <c r="AN1016" s="87"/>
      <c r="AO1016" s="87">
        <v>8</v>
      </c>
      <c r="AP1016" s="87">
        <v>30</v>
      </c>
      <c r="AQ1016" s="87"/>
      <c r="AR1016" s="87"/>
      <c r="AS1016" s="87"/>
      <c r="AT1016" s="87"/>
      <c r="AU1016" s="87"/>
      <c r="AV1016" s="87"/>
      <c r="AW1016" s="88" t="str">
        <f>HYPERLINK("http://www.openstreetmap.org/?mlat=36.8657&amp;mlon=42.9907&amp;zoom=12#map=12/36.8657/42.9907","Maplink1")</f>
        <v>Maplink1</v>
      </c>
      <c r="AX1016" s="88" t="str">
        <f>HYPERLINK("https://www.google.iq/maps/search/+36.8657,42.9907/@36.8657,42.9907,14z?hl=en","Maplink2")</f>
        <v>Maplink2</v>
      </c>
      <c r="AY1016" s="88" t="str">
        <f>HYPERLINK("http://www.bing.com/maps/?lvl=14&amp;sty=h&amp;cp=36.8657~42.9907&amp;sp=point.36.8657_42.9907","Maplink3")</f>
        <v>Maplink3</v>
      </c>
      <c r="AZ1016" s="76"/>
    </row>
    <row r="1017" spans="1:52" x14ac:dyDescent="0.25">
      <c r="A1017" s="86">
        <v>7946</v>
      </c>
      <c r="B1017" s="87" t="s">
        <v>16</v>
      </c>
      <c r="C1017" s="87" t="s">
        <v>16</v>
      </c>
      <c r="D1017" s="87" t="s">
        <v>2040</v>
      </c>
      <c r="E1017" s="87" t="s">
        <v>2041</v>
      </c>
      <c r="F1017" s="87">
        <v>36.846127832100002</v>
      </c>
      <c r="G1017" s="87">
        <v>43.047767021799999</v>
      </c>
      <c r="H1017" s="86">
        <v>210</v>
      </c>
      <c r="I1017" s="86">
        <v>1260</v>
      </c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>
        <v>197</v>
      </c>
      <c r="W1017" s="87"/>
      <c r="X1017" s="87">
        <v>13</v>
      </c>
      <c r="Y1017" s="87"/>
      <c r="Z1017" s="87"/>
      <c r="AA1017" s="87"/>
      <c r="AB1017" s="87"/>
      <c r="AC1017" s="87">
        <v>25</v>
      </c>
      <c r="AD1017" s="87"/>
      <c r="AE1017" s="87"/>
      <c r="AF1017" s="87"/>
      <c r="AG1017" s="87"/>
      <c r="AH1017" s="87">
        <v>140</v>
      </c>
      <c r="AI1017" s="87"/>
      <c r="AJ1017" s="87"/>
      <c r="AK1017" s="87">
        <v>20</v>
      </c>
      <c r="AL1017" s="87">
        <v>25</v>
      </c>
      <c r="AM1017" s="87"/>
      <c r="AN1017" s="87"/>
      <c r="AO1017" s="87">
        <v>53</v>
      </c>
      <c r="AP1017" s="87">
        <v>157</v>
      </c>
      <c r="AQ1017" s="87"/>
      <c r="AR1017" s="87"/>
      <c r="AS1017" s="87"/>
      <c r="AT1017" s="87"/>
      <c r="AU1017" s="87"/>
      <c r="AV1017" s="87"/>
      <c r="AW1017" s="88" t="str">
        <f>HYPERLINK("http://www.openstreetmap.org/?mlat=36.8461&amp;mlon=43.0478&amp;zoom=12#map=12/36.8461/43.0478","Maplink1")</f>
        <v>Maplink1</v>
      </c>
      <c r="AX1017" s="88" t="str">
        <f>HYPERLINK("https://www.google.iq/maps/search/+36.8461,43.0478/@36.8461,43.0478,14z?hl=en","Maplink2")</f>
        <v>Maplink2</v>
      </c>
      <c r="AY1017" s="88" t="str">
        <f>HYPERLINK("http://www.bing.com/maps/?lvl=14&amp;sty=h&amp;cp=36.8461~43.0478&amp;sp=point.36.8461_43.0478","Maplink3")</f>
        <v>Maplink3</v>
      </c>
      <c r="AZ1017" s="76"/>
    </row>
    <row r="1018" spans="1:52" x14ac:dyDescent="0.25">
      <c r="A1018" s="86">
        <v>24188</v>
      </c>
      <c r="B1018" s="87" t="s">
        <v>16</v>
      </c>
      <c r="C1018" s="87" t="s">
        <v>16</v>
      </c>
      <c r="D1018" s="87" t="s">
        <v>2042</v>
      </c>
      <c r="E1018" s="87" t="s">
        <v>2043</v>
      </c>
      <c r="F1018" s="87">
        <v>36.841972913600003</v>
      </c>
      <c r="G1018" s="87">
        <v>42.932272597500003</v>
      </c>
      <c r="H1018" s="86">
        <v>50</v>
      </c>
      <c r="I1018" s="86">
        <v>300</v>
      </c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>
        <v>50</v>
      </c>
      <c r="W1018" s="87"/>
      <c r="X1018" s="87"/>
      <c r="Y1018" s="87"/>
      <c r="Z1018" s="87"/>
      <c r="AA1018" s="87"/>
      <c r="AB1018" s="87"/>
      <c r="AC1018" s="87">
        <v>5</v>
      </c>
      <c r="AD1018" s="87"/>
      <c r="AE1018" s="87"/>
      <c r="AF1018" s="87"/>
      <c r="AG1018" s="87"/>
      <c r="AH1018" s="87">
        <v>33</v>
      </c>
      <c r="AI1018" s="87"/>
      <c r="AJ1018" s="87"/>
      <c r="AK1018" s="87">
        <v>12</v>
      </c>
      <c r="AL1018" s="87"/>
      <c r="AM1018" s="87"/>
      <c r="AN1018" s="87"/>
      <c r="AO1018" s="87">
        <v>4</v>
      </c>
      <c r="AP1018" s="87">
        <v>46</v>
      </c>
      <c r="AQ1018" s="87"/>
      <c r="AR1018" s="87"/>
      <c r="AS1018" s="87"/>
      <c r="AT1018" s="87"/>
      <c r="AU1018" s="87"/>
      <c r="AV1018" s="87"/>
      <c r="AW1018" s="88" t="str">
        <f>HYPERLINK("http://www.openstreetmap.org/?mlat=36.842&amp;mlon=42.9323&amp;zoom=12#map=12/36.842/42.9323","Maplink1")</f>
        <v>Maplink1</v>
      </c>
      <c r="AX1018" s="88" t="str">
        <f>HYPERLINK("https://www.google.iq/maps/search/+36.842,42.9323/@36.842,42.9323,14z?hl=en","Maplink2")</f>
        <v>Maplink2</v>
      </c>
      <c r="AY1018" s="88" t="str">
        <f>HYPERLINK("http://www.bing.com/maps/?lvl=14&amp;sty=h&amp;cp=36.842~42.9323&amp;sp=point.36.842_42.9323","Maplink3")</f>
        <v>Maplink3</v>
      </c>
      <c r="AZ1018" s="76"/>
    </row>
    <row r="1019" spans="1:52" x14ac:dyDescent="0.25">
      <c r="A1019" s="86">
        <v>8468</v>
      </c>
      <c r="B1019" s="87" t="s">
        <v>16</v>
      </c>
      <c r="C1019" s="87" t="s">
        <v>16</v>
      </c>
      <c r="D1019" s="87" t="s">
        <v>2044</v>
      </c>
      <c r="E1019" s="87" t="s">
        <v>2045</v>
      </c>
      <c r="F1019" s="87">
        <v>36.929978316800003</v>
      </c>
      <c r="G1019" s="87">
        <v>43.198384229799998</v>
      </c>
      <c r="H1019" s="86">
        <v>54</v>
      </c>
      <c r="I1019" s="86">
        <v>324</v>
      </c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>
        <v>54</v>
      </c>
      <c r="W1019" s="87"/>
      <c r="X1019" s="87"/>
      <c r="Y1019" s="87"/>
      <c r="Z1019" s="87"/>
      <c r="AA1019" s="87"/>
      <c r="AB1019" s="87"/>
      <c r="AC1019" s="87">
        <v>15</v>
      </c>
      <c r="AD1019" s="87"/>
      <c r="AE1019" s="87">
        <v>5</v>
      </c>
      <c r="AF1019" s="87"/>
      <c r="AG1019" s="87"/>
      <c r="AH1019" s="87">
        <v>31</v>
      </c>
      <c r="AI1019" s="87"/>
      <c r="AJ1019" s="87"/>
      <c r="AK1019" s="87">
        <v>3</v>
      </c>
      <c r="AL1019" s="87"/>
      <c r="AM1019" s="87"/>
      <c r="AN1019" s="87"/>
      <c r="AO1019" s="87">
        <v>4</v>
      </c>
      <c r="AP1019" s="87">
        <v>50</v>
      </c>
      <c r="AQ1019" s="87"/>
      <c r="AR1019" s="87"/>
      <c r="AS1019" s="87"/>
      <c r="AT1019" s="87"/>
      <c r="AU1019" s="87"/>
      <c r="AV1019" s="87"/>
      <c r="AW1019" s="88" t="str">
        <f>HYPERLINK("http://www.openstreetmap.org/?mlat=36.93&amp;mlon=43.1984&amp;zoom=12#map=12/36.93/43.1984","Maplink1")</f>
        <v>Maplink1</v>
      </c>
      <c r="AX1019" s="88" t="str">
        <f>HYPERLINK("https://www.google.iq/maps/search/+36.93,43.1984/@36.93,43.1984,14z?hl=en","Maplink2")</f>
        <v>Maplink2</v>
      </c>
      <c r="AY1019" s="88" t="str">
        <f>HYPERLINK("http://www.bing.com/maps/?lvl=14&amp;sty=h&amp;cp=36.93~43.1984&amp;sp=point.36.93_43.1984","Maplink3")</f>
        <v>Maplink3</v>
      </c>
      <c r="AZ1019" s="76"/>
    </row>
    <row r="1020" spans="1:52" x14ac:dyDescent="0.25">
      <c r="A1020" s="86">
        <v>23712</v>
      </c>
      <c r="B1020" s="87" t="s">
        <v>16</v>
      </c>
      <c r="C1020" s="87" t="s">
        <v>16</v>
      </c>
      <c r="D1020" s="87" t="s">
        <v>2046</v>
      </c>
      <c r="E1020" s="87" t="s">
        <v>2047</v>
      </c>
      <c r="F1020" s="87">
        <v>36.850243524200003</v>
      </c>
      <c r="G1020" s="87">
        <v>42.9848694963</v>
      </c>
      <c r="H1020" s="86">
        <v>205</v>
      </c>
      <c r="I1020" s="86">
        <v>1230</v>
      </c>
      <c r="J1020" s="87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>
        <v>205</v>
      </c>
      <c r="W1020" s="87"/>
      <c r="X1020" s="87"/>
      <c r="Y1020" s="87"/>
      <c r="Z1020" s="87"/>
      <c r="AA1020" s="87"/>
      <c r="AB1020" s="87"/>
      <c r="AC1020" s="87">
        <v>5</v>
      </c>
      <c r="AD1020" s="87"/>
      <c r="AE1020" s="87"/>
      <c r="AF1020" s="87"/>
      <c r="AG1020" s="87"/>
      <c r="AH1020" s="87">
        <v>197</v>
      </c>
      <c r="AI1020" s="87"/>
      <c r="AJ1020" s="87"/>
      <c r="AK1020" s="87"/>
      <c r="AL1020" s="87">
        <v>3</v>
      </c>
      <c r="AM1020" s="87"/>
      <c r="AN1020" s="87"/>
      <c r="AO1020" s="87">
        <v>81</v>
      </c>
      <c r="AP1020" s="87">
        <v>124</v>
      </c>
      <c r="AQ1020" s="87"/>
      <c r="AR1020" s="87"/>
      <c r="AS1020" s="87"/>
      <c r="AT1020" s="87"/>
      <c r="AU1020" s="87"/>
      <c r="AV1020" s="87"/>
      <c r="AW1020" s="88" t="str">
        <f>HYPERLINK("http://www.openstreetmap.org/?mlat=36.8502&amp;mlon=42.9849&amp;zoom=12#map=12/36.8502/42.9849","Maplink1")</f>
        <v>Maplink1</v>
      </c>
      <c r="AX1020" s="88" t="str">
        <f>HYPERLINK("https://www.google.iq/maps/search/+36.8502,42.9849/@36.8502,42.9849,14z?hl=en","Maplink2")</f>
        <v>Maplink2</v>
      </c>
      <c r="AY1020" s="88" t="str">
        <f>HYPERLINK("http://www.bing.com/maps/?lvl=14&amp;sty=h&amp;cp=36.8502~42.9849&amp;sp=point.36.8502_42.9849","Maplink3")</f>
        <v>Maplink3</v>
      </c>
      <c r="AZ1020" s="76"/>
    </row>
    <row r="1021" spans="1:52" x14ac:dyDescent="0.25">
      <c r="A1021" s="86">
        <v>33474</v>
      </c>
      <c r="B1021" s="87" t="s">
        <v>16</v>
      </c>
      <c r="C1021" s="87" t="s">
        <v>16</v>
      </c>
      <c r="D1021" s="87" t="s">
        <v>2048</v>
      </c>
      <c r="E1021" s="87" t="s">
        <v>2049</v>
      </c>
      <c r="F1021" s="87">
        <v>36.852577902699998</v>
      </c>
      <c r="G1021" s="87">
        <v>42.950201407000002</v>
      </c>
      <c r="H1021" s="86">
        <v>55</v>
      </c>
      <c r="I1021" s="86">
        <v>330</v>
      </c>
      <c r="J1021" s="87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>
        <v>55</v>
      </c>
      <c r="W1021" s="87"/>
      <c r="X1021" s="87"/>
      <c r="Y1021" s="87"/>
      <c r="Z1021" s="87"/>
      <c r="AA1021" s="87"/>
      <c r="AB1021" s="87"/>
      <c r="AC1021" s="87">
        <v>2</v>
      </c>
      <c r="AD1021" s="87"/>
      <c r="AE1021" s="87"/>
      <c r="AF1021" s="87"/>
      <c r="AG1021" s="87"/>
      <c r="AH1021" s="87">
        <v>53</v>
      </c>
      <c r="AI1021" s="87"/>
      <c r="AJ1021" s="87"/>
      <c r="AK1021" s="87"/>
      <c r="AL1021" s="87"/>
      <c r="AM1021" s="87"/>
      <c r="AN1021" s="87"/>
      <c r="AO1021" s="87">
        <v>5</v>
      </c>
      <c r="AP1021" s="87">
        <v>50</v>
      </c>
      <c r="AQ1021" s="87"/>
      <c r="AR1021" s="87"/>
      <c r="AS1021" s="87"/>
      <c r="AT1021" s="87"/>
      <c r="AU1021" s="87"/>
      <c r="AV1021" s="87"/>
      <c r="AW1021" s="88" t="str">
        <f>HYPERLINK("http://www.openstreetmap.org/?mlat=36.8526&amp;mlon=42.9502&amp;zoom=12#map=12/36.8526/42.9502","Maplink1")</f>
        <v>Maplink1</v>
      </c>
      <c r="AX1021" s="88" t="str">
        <f>HYPERLINK("https://www.google.iq/maps/search/+36.8526,42.9502/@36.8526,42.9502,14z?hl=en","Maplink2")</f>
        <v>Maplink2</v>
      </c>
      <c r="AY1021" s="88" t="str">
        <f>HYPERLINK("http://www.bing.com/maps/?lvl=14&amp;sty=h&amp;cp=36.8526~42.9502&amp;sp=point.36.8526_42.9502","Maplink3")</f>
        <v>Maplink3</v>
      </c>
      <c r="AZ1021" s="76"/>
    </row>
    <row r="1022" spans="1:52" x14ac:dyDescent="0.25">
      <c r="A1022" s="86">
        <v>26049</v>
      </c>
      <c r="B1022" s="87" t="s">
        <v>16</v>
      </c>
      <c r="C1022" s="87" t="s">
        <v>16</v>
      </c>
      <c r="D1022" s="87" t="s">
        <v>2050</v>
      </c>
      <c r="E1022" s="87" t="s">
        <v>2051</v>
      </c>
      <c r="F1022" s="87">
        <v>36.850409386899997</v>
      </c>
      <c r="G1022" s="87">
        <v>43.0092905542</v>
      </c>
      <c r="H1022" s="86">
        <v>20</v>
      </c>
      <c r="I1022" s="86">
        <v>120</v>
      </c>
      <c r="J1022" s="87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>
        <v>20</v>
      </c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>
        <v>20</v>
      </c>
      <c r="AI1022" s="87"/>
      <c r="AJ1022" s="87"/>
      <c r="AK1022" s="87"/>
      <c r="AL1022" s="87"/>
      <c r="AM1022" s="87"/>
      <c r="AN1022" s="87"/>
      <c r="AO1022" s="87">
        <v>2</v>
      </c>
      <c r="AP1022" s="87">
        <v>18</v>
      </c>
      <c r="AQ1022" s="87"/>
      <c r="AR1022" s="87"/>
      <c r="AS1022" s="87"/>
      <c r="AT1022" s="87"/>
      <c r="AU1022" s="87"/>
      <c r="AV1022" s="87"/>
      <c r="AW1022" s="88" t="str">
        <f>HYPERLINK("http://www.openstreetmap.org/?mlat=36.8504&amp;mlon=43.0093&amp;zoom=12#map=12/36.8504/43.0093","Maplink1")</f>
        <v>Maplink1</v>
      </c>
      <c r="AX1022" s="88" t="str">
        <f>HYPERLINK("https://www.google.iq/maps/search/+36.8504,43.0093/@36.8504,43.0093,14z?hl=en","Maplink2")</f>
        <v>Maplink2</v>
      </c>
      <c r="AY1022" s="88" t="str">
        <f>HYPERLINK("http://www.bing.com/maps/?lvl=14&amp;sty=h&amp;cp=36.8504~43.0093&amp;sp=point.36.8504_43.0093","Maplink3")</f>
        <v>Maplink3</v>
      </c>
      <c r="AZ1022" s="76"/>
    </row>
    <row r="1023" spans="1:52" x14ac:dyDescent="0.25">
      <c r="A1023" s="86">
        <v>23902</v>
      </c>
      <c r="B1023" s="87" t="s">
        <v>16</v>
      </c>
      <c r="C1023" s="87" t="s">
        <v>16</v>
      </c>
      <c r="D1023" s="87" t="s">
        <v>2052</v>
      </c>
      <c r="E1023" s="87" t="s">
        <v>2053</v>
      </c>
      <c r="F1023" s="87">
        <v>36.853706628600001</v>
      </c>
      <c r="G1023" s="87">
        <v>43.030532173799998</v>
      </c>
      <c r="H1023" s="86">
        <v>225</v>
      </c>
      <c r="I1023" s="86">
        <v>1350</v>
      </c>
      <c r="J1023" s="87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>
        <v>225</v>
      </c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>
        <v>225</v>
      </c>
      <c r="AI1023" s="87"/>
      <c r="AJ1023" s="87"/>
      <c r="AK1023" s="87"/>
      <c r="AL1023" s="87"/>
      <c r="AM1023" s="87"/>
      <c r="AN1023" s="87"/>
      <c r="AO1023" s="87">
        <v>135</v>
      </c>
      <c r="AP1023" s="87">
        <v>90</v>
      </c>
      <c r="AQ1023" s="87"/>
      <c r="AR1023" s="87"/>
      <c r="AS1023" s="87"/>
      <c r="AT1023" s="87"/>
      <c r="AU1023" s="87"/>
      <c r="AV1023" s="87"/>
      <c r="AW1023" s="88" t="str">
        <f>HYPERLINK("http://www.openstreetmap.org/?mlat=36.8537&amp;mlon=43.0305&amp;zoom=12#map=12/36.8537/43.0305","Maplink1")</f>
        <v>Maplink1</v>
      </c>
      <c r="AX1023" s="88" t="str">
        <f>HYPERLINK("https://www.google.iq/maps/search/+36.8537,43.0305/@36.8537,43.0305,14z?hl=en","Maplink2")</f>
        <v>Maplink2</v>
      </c>
      <c r="AY1023" s="88" t="str">
        <f>HYPERLINK("http://www.bing.com/maps/?lvl=14&amp;sty=h&amp;cp=36.8537~43.0305&amp;sp=point.36.8537_43.0305","Maplink3")</f>
        <v>Maplink3</v>
      </c>
      <c r="AZ1023" s="76"/>
    </row>
    <row r="1024" spans="1:52" x14ac:dyDescent="0.25">
      <c r="A1024" s="86">
        <v>26053</v>
      </c>
      <c r="B1024" s="87" t="s">
        <v>16</v>
      </c>
      <c r="C1024" s="87" t="s">
        <v>16</v>
      </c>
      <c r="D1024" s="87" t="s">
        <v>2054</v>
      </c>
      <c r="E1024" s="87" t="s">
        <v>2055</v>
      </c>
      <c r="F1024" s="87">
        <v>36.868549736799999</v>
      </c>
      <c r="G1024" s="87">
        <v>42.995022024599997</v>
      </c>
      <c r="H1024" s="86">
        <v>65</v>
      </c>
      <c r="I1024" s="86">
        <v>390</v>
      </c>
      <c r="J1024" s="87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>
        <v>65</v>
      </c>
      <c r="W1024" s="87"/>
      <c r="X1024" s="87"/>
      <c r="Y1024" s="87"/>
      <c r="Z1024" s="87"/>
      <c r="AA1024" s="87"/>
      <c r="AB1024" s="87"/>
      <c r="AC1024" s="87">
        <v>2</v>
      </c>
      <c r="AD1024" s="87"/>
      <c r="AE1024" s="87"/>
      <c r="AF1024" s="87"/>
      <c r="AG1024" s="87"/>
      <c r="AH1024" s="87">
        <v>63</v>
      </c>
      <c r="AI1024" s="87"/>
      <c r="AJ1024" s="87"/>
      <c r="AK1024" s="87"/>
      <c r="AL1024" s="87"/>
      <c r="AM1024" s="87"/>
      <c r="AN1024" s="87"/>
      <c r="AO1024" s="87">
        <v>7</v>
      </c>
      <c r="AP1024" s="87">
        <v>56</v>
      </c>
      <c r="AQ1024" s="87"/>
      <c r="AR1024" s="87"/>
      <c r="AS1024" s="87"/>
      <c r="AT1024" s="87"/>
      <c r="AU1024" s="87">
        <v>2</v>
      </c>
      <c r="AV1024" s="87"/>
      <c r="AW1024" s="88" t="str">
        <f>HYPERLINK("http://www.openstreetmap.org/?mlat=36.8685&amp;mlon=42.995&amp;zoom=12#map=12/36.8685/42.995","Maplink1")</f>
        <v>Maplink1</v>
      </c>
      <c r="AX1024" s="88" t="str">
        <f>HYPERLINK("https://www.google.iq/maps/search/+36.8685,42.995/@36.8685,42.995,14z?hl=en","Maplink2")</f>
        <v>Maplink2</v>
      </c>
      <c r="AY1024" s="88" t="str">
        <f>HYPERLINK("http://www.bing.com/maps/?lvl=14&amp;sty=h&amp;cp=36.8685~42.995&amp;sp=point.36.8685_42.995","Maplink3")</f>
        <v>Maplink3</v>
      </c>
      <c r="AZ1024" s="76"/>
    </row>
    <row r="1025" spans="1:52" x14ac:dyDescent="0.25">
      <c r="A1025" s="86">
        <v>8373</v>
      </c>
      <c r="B1025" s="87" t="s">
        <v>16</v>
      </c>
      <c r="C1025" s="87" t="s">
        <v>16</v>
      </c>
      <c r="D1025" s="87" t="s">
        <v>2056</v>
      </c>
      <c r="E1025" s="87" t="s">
        <v>2057</v>
      </c>
      <c r="F1025" s="87">
        <v>36.8762293618</v>
      </c>
      <c r="G1025" s="87">
        <v>42.979035324000002</v>
      </c>
      <c r="H1025" s="86">
        <v>182</v>
      </c>
      <c r="I1025" s="86">
        <v>1092</v>
      </c>
      <c r="J1025" s="87">
        <v>6</v>
      </c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>
        <v>173</v>
      </c>
      <c r="W1025" s="87"/>
      <c r="X1025" s="87">
        <v>3</v>
      </c>
      <c r="Y1025" s="87"/>
      <c r="Z1025" s="87"/>
      <c r="AA1025" s="87"/>
      <c r="AB1025" s="87"/>
      <c r="AC1025" s="87">
        <v>29</v>
      </c>
      <c r="AD1025" s="87"/>
      <c r="AE1025" s="87"/>
      <c r="AF1025" s="87"/>
      <c r="AG1025" s="87"/>
      <c r="AH1025" s="87">
        <v>153</v>
      </c>
      <c r="AI1025" s="87"/>
      <c r="AJ1025" s="87"/>
      <c r="AK1025" s="87"/>
      <c r="AL1025" s="87"/>
      <c r="AM1025" s="87"/>
      <c r="AN1025" s="87">
        <v>6</v>
      </c>
      <c r="AO1025" s="87">
        <v>74</v>
      </c>
      <c r="AP1025" s="87">
        <v>102</v>
      </c>
      <c r="AQ1025" s="87"/>
      <c r="AR1025" s="87"/>
      <c r="AS1025" s="87"/>
      <c r="AT1025" s="87"/>
      <c r="AU1025" s="87"/>
      <c r="AV1025" s="87"/>
      <c r="AW1025" s="88" t="str">
        <f>HYPERLINK("http://www.openstreetmap.org/?mlat=36.8762&amp;mlon=42.979&amp;zoom=12#map=12/36.8762/42.979","Maplink1")</f>
        <v>Maplink1</v>
      </c>
      <c r="AX1025" s="88" t="str">
        <f>HYPERLINK("https://www.google.iq/maps/search/+36.8762,42.979/@36.8762,42.979,14z?hl=en","Maplink2")</f>
        <v>Maplink2</v>
      </c>
      <c r="AY1025" s="88" t="str">
        <f>HYPERLINK("http://www.bing.com/maps/?lvl=14&amp;sty=h&amp;cp=36.8762~42.979&amp;sp=point.36.8762_42.979","Maplink3")</f>
        <v>Maplink3</v>
      </c>
      <c r="AZ1025" s="76"/>
    </row>
    <row r="1026" spans="1:52" x14ac:dyDescent="0.25">
      <c r="A1026" s="86">
        <v>21979</v>
      </c>
      <c r="B1026" s="87" t="s">
        <v>16</v>
      </c>
      <c r="C1026" s="87" t="s">
        <v>16</v>
      </c>
      <c r="D1026" s="87" t="s">
        <v>2058</v>
      </c>
      <c r="E1026" s="87" t="s">
        <v>2059</v>
      </c>
      <c r="F1026" s="87">
        <v>36.857583691499997</v>
      </c>
      <c r="G1026" s="87">
        <v>42.996507391500003</v>
      </c>
      <c r="H1026" s="86">
        <v>48</v>
      </c>
      <c r="I1026" s="86">
        <v>288</v>
      </c>
      <c r="J1026" s="87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>
        <v>48</v>
      </c>
      <c r="W1026" s="87"/>
      <c r="X1026" s="87"/>
      <c r="Y1026" s="87"/>
      <c r="Z1026" s="87"/>
      <c r="AA1026" s="87"/>
      <c r="AB1026" s="87"/>
      <c r="AC1026" s="87">
        <v>6</v>
      </c>
      <c r="AD1026" s="87"/>
      <c r="AE1026" s="87"/>
      <c r="AF1026" s="87"/>
      <c r="AG1026" s="87"/>
      <c r="AH1026" s="87">
        <v>42</v>
      </c>
      <c r="AI1026" s="87"/>
      <c r="AJ1026" s="87"/>
      <c r="AK1026" s="87"/>
      <c r="AL1026" s="87"/>
      <c r="AM1026" s="87"/>
      <c r="AN1026" s="87"/>
      <c r="AO1026" s="87">
        <v>14</v>
      </c>
      <c r="AP1026" s="87">
        <v>34</v>
      </c>
      <c r="AQ1026" s="87"/>
      <c r="AR1026" s="87"/>
      <c r="AS1026" s="87"/>
      <c r="AT1026" s="87"/>
      <c r="AU1026" s="87"/>
      <c r="AV1026" s="87"/>
      <c r="AW1026" s="88" t="str">
        <f>HYPERLINK("http://www.openstreetmap.org/?mlat=36.8576&amp;mlon=42.9965&amp;zoom=12#map=12/36.8576/42.9965","Maplink1")</f>
        <v>Maplink1</v>
      </c>
      <c r="AX1026" s="88" t="str">
        <f>HYPERLINK("https://www.google.iq/maps/search/+36.8576,42.9965/@36.8576,42.9965,14z?hl=en","Maplink2")</f>
        <v>Maplink2</v>
      </c>
      <c r="AY1026" s="88" t="str">
        <f>HYPERLINK("http://www.bing.com/maps/?lvl=14&amp;sty=h&amp;cp=36.8576~42.9965&amp;sp=point.36.8576_42.9965","Maplink3")</f>
        <v>Maplink3</v>
      </c>
      <c r="AZ1026" s="76"/>
    </row>
    <row r="1027" spans="1:52" x14ac:dyDescent="0.25">
      <c r="A1027" s="86">
        <v>8372</v>
      </c>
      <c r="B1027" s="87" t="s">
        <v>16</v>
      </c>
      <c r="C1027" s="87" t="s">
        <v>16</v>
      </c>
      <c r="D1027" s="87" t="s">
        <v>2060</v>
      </c>
      <c r="E1027" s="87" t="s">
        <v>2061</v>
      </c>
      <c r="F1027" s="87">
        <v>36.8462234223</v>
      </c>
      <c r="G1027" s="87">
        <v>42.969520178400003</v>
      </c>
      <c r="H1027" s="86">
        <v>55</v>
      </c>
      <c r="I1027" s="86">
        <v>330</v>
      </c>
      <c r="J1027" s="87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>
        <v>55</v>
      </c>
      <c r="W1027" s="87"/>
      <c r="X1027" s="87"/>
      <c r="Y1027" s="87"/>
      <c r="Z1027" s="87"/>
      <c r="AA1027" s="87"/>
      <c r="AB1027" s="87"/>
      <c r="AC1027" s="87">
        <v>6</v>
      </c>
      <c r="AD1027" s="87"/>
      <c r="AE1027" s="87"/>
      <c r="AF1027" s="87"/>
      <c r="AG1027" s="87"/>
      <c r="AH1027" s="87">
        <v>49</v>
      </c>
      <c r="AI1027" s="87"/>
      <c r="AJ1027" s="87"/>
      <c r="AK1027" s="87"/>
      <c r="AL1027" s="87"/>
      <c r="AM1027" s="87"/>
      <c r="AN1027" s="87"/>
      <c r="AO1027" s="87">
        <v>20</v>
      </c>
      <c r="AP1027" s="87">
        <v>33</v>
      </c>
      <c r="AQ1027" s="87"/>
      <c r="AR1027" s="87"/>
      <c r="AS1027" s="87"/>
      <c r="AT1027" s="87"/>
      <c r="AU1027" s="87">
        <v>2</v>
      </c>
      <c r="AV1027" s="87"/>
      <c r="AW1027" s="88" t="str">
        <f>HYPERLINK("http://www.openstreetmap.org/?mlat=36.8462&amp;mlon=42.9695&amp;zoom=12#map=12/36.8462/42.9695","Maplink1")</f>
        <v>Maplink1</v>
      </c>
      <c r="AX1027" s="88" t="str">
        <f>HYPERLINK("https://www.google.iq/maps/search/+36.8462,42.9695/@36.8462,42.9695,14z?hl=en","Maplink2")</f>
        <v>Maplink2</v>
      </c>
      <c r="AY1027" s="88" t="str">
        <f>HYPERLINK("http://www.bing.com/maps/?lvl=14&amp;sty=h&amp;cp=36.8462~42.9695&amp;sp=point.36.8462_42.9695","Maplink3")</f>
        <v>Maplink3</v>
      </c>
      <c r="AZ1027" s="76"/>
    </row>
    <row r="1028" spans="1:52" x14ac:dyDescent="0.25">
      <c r="A1028" s="86">
        <v>21971</v>
      </c>
      <c r="B1028" s="87" t="s">
        <v>16</v>
      </c>
      <c r="C1028" s="87" t="s">
        <v>16</v>
      </c>
      <c r="D1028" s="87" t="s">
        <v>2062</v>
      </c>
      <c r="E1028" s="87" t="s">
        <v>2063</v>
      </c>
      <c r="F1028" s="87">
        <v>36.870482659399997</v>
      </c>
      <c r="G1028" s="87">
        <v>42.992015468699996</v>
      </c>
      <c r="H1028" s="86">
        <v>130</v>
      </c>
      <c r="I1028" s="86">
        <v>780</v>
      </c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>
        <v>127</v>
      </c>
      <c r="W1028" s="87"/>
      <c r="X1028" s="87">
        <v>3</v>
      </c>
      <c r="Y1028" s="87"/>
      <c r="Z1028" s="87"/>
      <c r="AA1028" s="87"/>
      <c r="AB1028" s="87"/>
      <c r="AC1028" s="87">
        <v>8</v>
      </c>
      <c r="AD1028" s="87"/>
      <c r="AE1028" s="87"/>
      <c r="AF1028" s="87"/>
      <c r="AG1028" s="87"/>
      <c r="AH1028" s="87">
        <v>122</v>
      </c>
      <c r="AI1028" s="87"/>
      <c r="AJ1028" s="87"/>
      <c r="AK1028" s="87"/>
      <c r="AL1028" s="87"/>
      <c r="AM1028" s="87"/>
      <c r="AN1028" s="87"/>
      <c r="AO1028" s="87">
        <v>72</v>
      </c>
      <c r="AP1028" s="87">
        <v>58</v>
      </c>
      <c r="AQ1028" s="87"/>
      <c r="AR1028" s="87"/>
      <c r="AS1028" s="87"/>
      <c r="AT1028" s="87"/>
      <c r="AU1028" s="87"/>
      <c r="AV1028" s="87"/>
      <c r="AW1028" s="88" t="str">
        <f>HYPERLINK("http://www.openstreetmap.org/?mlat=36.8705&amp;mlon=42.992&amp;zoom=12#map=12/36.8705/42.992","Maplink1")</f>
        <v>Maplink1</v>
      </c>
      <c r="AX1028" s="88" t="str">
        <f>HYPERLINK("https://www.google.iq/maps/search/+36.8705,42.992/@36.8705,42.992,14z?hl=en","Maplink2")</f>
        <v>Maplink2</v>
      </c>
      <c r="AY1028" s="88" t="str">
        <f>HYPERLINK("http://www.bing.com/maps/?lvl=14&amp;sty=h&amp;cp=36.8705~42.992&amp;sp=point.36.8705_42.992","Maplink3")</f>
        <v>Maplink3</v>
      </c>
      <c r="AZ1028" s="76"/>
    </row>
    <row r="1029" spans="1:52" x14ac:dyDescent="0.25">
      <c r="A1029" s="86">
        <v>26046</v>
      </c>
      <c r="B1029" s="87" t="s">
        <v>16</v>
      </c>
      <c r="C1029" s="87" t="s">
        <v>16</v>
      </c>
      <c r="D1029" s="87" t="s">
        <v>2064</v>
      </c>
      <c r="E1029" s="87" t="s">
        <v>2065</v>
      </c>
      <c r="F1029" s="87">
        <v>36.861509947800002</v>
      </c>
      <c r="G1029" s="87">
        <v>42.944986395199997</v>
      </c>
      <c r="H1029" s="86">
        <v>86</v>
      </c>
      <c r="I1029" s="86">
        <v>516</v>
      </c>
      <c r="J1029" s="87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>
        <v>86</v>
      </c>
      <c r="W1029" s="87"/>
      <c r="X1029" s="87"/>
      <c r="Y1029" s="87"/>
      <c r="Z1029" s="87"/>
      <c r="AA1029" s="87"/>
      <c r="AB1029" s="87"/>
      <c r="AC1029" s="87"/>
      <c r="AD1029" s="87">
        <v>15</v>
      </c>
      <c r="AE1029" s="87"/>
      <c r="AF1029" s="87"/>
      <c r="AG1029" s="87"/>
      <c r="AH1029" s="87">
        <v>71</v>
      </c>
      <c r="AI1029" s="87"/>
      <c r="AJ1029" s="87"/>
      <c r="AK1029" s="87"/>
      <c r="AL1029" s="87"/>
      <c r="AM1029" s="87"/>
      <c r="AN1029" s="87"/>
      <c r="AO1029" s="87">
        <v>46</v>
      </c>
      <c r="AP1029" s="87">
        <v>40</v>
      </c>
      <c r="AQ1029" s="87"/>
      <c r="AR1029" s="87"/>
      <c r="AS1029" s="87"/>
      <c r="AT1029" s="87"/>
      <c r="AU1029" s="87"/>
      <c r="AV1029" s="87"/>
      <c r="AW1029" s="88" t="str">
        <f>HYPERLINK("http://www.openstreetmap.org/?mlat=36.8615&amp;mlon=42.945&amp;zoom=12#map=12/36.8615/42.945","Maplink1")</f>
        <v>Maplink1</v>
      </c>
      <c r="AX1029" s="88" t="str">
        <f>HYPERLINK("https://www.google.iq/maps/search/+36.8615,42.945/@36.8615,42.945,14z?hl=en","Maplink2")</f>
        <v>Maplink2</v>
      </c>
      <c r="AY1029" s="88" t="str">
        <f>HYPERLINK("http://www.bing.com/maps/?lvl=14&amp;sty=h&amp;cp=36.8615~42.945&amp;sp=point.36.8615_42.945","Maplink3")</f>
        <v>Maplink3</v>
      </c>
      <c r="AZ1029" s="76"/>
    </row>
    <row r="1030" spans="1:52" x14ac:dyDescent="0.25">
      <c r="A1030" s="86">
        <v>7921</v>
      </c>
      <c r="B1030" s="87" t="s">
        <v>16</v>
      </c>
      <c r="C1030" s="87" t="s">
        <v>16</v>
      </c>
      <c r="D1030" s="87" t="s">
        <v>2066</v>
      </c>
      <c r="E1030" s="87" t="s">
        <v>2067</v>
      </c>
      <c r="F1030" s="87">
        <v>36.906067604999997</v>
      </c>
      <c r="G1030" s="87">
        <v>43.146529996700004</v>
      </c>
      <c r="H1030" s="86">
        <v>53</v>
      </c>
      <c r="I1030" s="86">
        <v>318</v>
      </c>
      <c r="J1030" s="87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>
        <v>47</v>
      </c>
      <c r="W1030" s="87"/>
      <c r="X1030" s="87">
        <v>6</v>
      </c>
      <c r="Y1030" s="87"/>
      <c r="Z1030" s="87"/>
      <c r="AA1030" s="87"/>
      <c r="AB1030" s="87"/>
      <c r="AC1030" s="87">
        <v>21</v>
      </c>
      <c r="AD1030" s="87"/>
      <c r="AE1030" s="87"/>
      <c r="AF1030" s="87"/>
      <c r="AG1030" s="87"/>
      <c r="AH1030" s="87">
        <v>30</v>
      </c>
      <c r="AI1030" s="87"/>
      <c r="AJ1030" s="87"/>
      <c r="AK1030" s="87">
        <v>2</v>
      </c>
      <c r="AL1030" s="87"/>
      <c r="AM1030" s="87"/>
      <c r="AN1030" s="87"/>
      <c r="AO1030" s="87">
        <v>29</v>
      </c>
      <c r="AP1030" s="87">
        <v>15</v>
      </c>
      <c r="AQ1030" s="87"/>
      <c r="AR1030" s="87"/>
      <c r="AS1030" s="87"/>
      <c r="AT1030" s="87"/>
      <c r="AU1030" s="87">
        <v>9</v>
      </c>
      <c r="AV1030" s="87"/>
      <c r="AW1030" s="88" t="str">
        <f>HYPERLINK("http://www.openstreetmap.org/?mlat=36.9061&amp;mlon=43.1465&amp;zoom=12#map=12/36.9061/43.1465","Maplink1")</f>
        <v>Maplink1</v>
      </c>
      <c r="AX1030" s="88" t="str">
        <f>HYPERLINK("https://www.google.iq/maps/search/+36.9061,43.1465/@36.9061,43.1465,14z?hl=en","Maplink2")</f>
        <v>Maplink2</v>
      </c>
      <c r="AY1030" s="88" t="str">
        <f>HYPERLINK("http://www.bing.com/maps/?lvl=14&amp;sty=h&amp;cp=36.9061~43.1465&amp;sp=point.36.9061_43.1465","Maplink3")</f>
        <v>Maplink3</v>
      </c>
      <c r="AZ1030" s="76"/>
    </row>
    <row r="1031" spans="1:52" x14ac:dyDescent="0.25">
      <c r="A1031" s="86">
        <v>8867</v>
      </c>
      <c r="B1031" s="87" t="s">
        <v>16</v>
      </c>
      <c r="C1031" s="87" t="s">
        <v>16</v>
      </c>
      <c r="D1031" s="87" t="s">
        <v>2068</v>
      </c>
      <c r="E1031" s="87" t="s">
        <v>2069</v>
      </c>
      <c r="F1031" s="87">
        <v>36.870283392700003</v>
      </c>
      <c r="G1031" s="87">
        <v>42.958675991299998</v>
      </c>
      <c r="H1031" s="86">
        <v>498</v>
      </c>
      <c r="I1031" s="86">
        <v>2988</v>
      </c>
      <c r="J1031" s="87">
        <v>11</v>
      </c>
      <c r="K1031" s="87"/>
      <c r="L1031" s="87">
        <v>2</v>
      </c>
      <c r="M1031" s="87"/>
      <c r="N1031" s="87"/>
      <c r="O1031" s="87"/>
      <c r="P1031" s="87"/>
      <c r="Q1031" s="87"/>
      <c r="R1031" s="87"/>
      <c r="S1031" s="87"/>
      <c r="T1031" s="87"/>
      <c r="U1031" s="87"/>
      <c r="V1031" s="87">
        <v>482</v>
      </c>
      <c r="W1031" s="87"/>
      <c r="X1031" s="87">
        <v>3</v>
      </c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>
        <v>498</v>
      </c>
      <c r="AI1031" s="87"/>
      <c r="AJ1031" s="87"/>
      <c r="AK1031" s="87"/>
      <c r="AL1031" s="87"/>
      <c r="AM1031" s="87"/>
      <c r="AN1031" s="87">
        <v>11</v>
      </c>
      <c r="AO1031" s="87">
        <v>341</v>
      </c>
      <c r="AP1031" s="87">
        <v>138</v>
      </c>
      <c r="AQ1031" s="87"/>
      <c r="AR1031" s="87"/>
      <c r="AS1031" s="87"/>
      <c r="AT1031" s="87"/>
      <c r="AU1031" s="87">
        <v>8</v>
      </c>
      <c r="AV1031" s="87"/>
      <c r="AW1031" s="88" t="str">
        <f>HYPERLINK("http://www.openstreetmap.org/?mlat=36.8703&amp;mlon=42.9587&amp;zoom=12#map=12/36.8703/42.9587","Maplink1")</f>
        <v>Maplink1</v>
      </c>
      <c r="AX1031" s="88" t="str">
        <f>HYPERLINK("https://www.google.iq/maps/search/+36.8703,42.9587/@36.8703,42.9587,14z?hl=en","Maplink2")</f>
        <v>Maplink2</v>
      </c>
      <c r="AY1031" s="88" t="str">
        <f>HYPERLINK("http://www.bing.com/maps/?lvl=14&amp;sty=h&amp;cp=36.8703~42.9587&amp;sp=point.36.8703_42.9587","Maplink3")</f>
        <v>Maplink3</v>
      </c>
      <c r="AZ1031" s="76"/>
    </row>
    <row r="1032" spans="1:52" x14ac:dyDescent="0.25">
      <c r="A1032" s="86">
        <v>24186</v>
      </c>
      <c r="B1032" s="87" t="s">
        <v>16</v>
      </c>
      <c r="C1032" s="87" t="s">
        <v>16</v>
      </c>
      <c r="D1032" s="87" t="s">
        <v>2070</v>
      </c>
      <c r="E1032" s="87" t="s">
        <v>2071</v>
      </c>
      <c r="F1032" s="87">
        <v>36.8711301218</v>
      </c>
      <c r="G1032" s="87">
        <v>42.930107498600002</v>
      </c>
      <c r="H1032" s="86">
        <v>105</v>
      </c>
      <c r="I1032" s="86">
        <v>630</v>
      </c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>
        <v>105</v>
      </c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>
        <v>86</v>
      </c>
      <c r="AI1032" s="87"/>
      <c r="AJ1032" s="87"/>
      <c r="AK1032" s="87">
        <v>19</v>
      </c>
      <c r="AL1032" s="87"/>
      <c r="AM1032" s="87"/>
      <c r="AN1032" s="87"/>
      <c r="AO1032" s="87">
        <v>60</v>
      </c>
      <c r="AP1032" s="87">
        <v>43</v>
      </c>
      <c r="AQ1032" s="87"/>
      <c r="AR1032" s="87"/>
      <c r="AS1032" s="87"/>
      <c r="AT1032" s="87"/>
      <c r="AU1032" s="87">
        <v>2</v>
      </c>
      <c r="AV1032" s="87"/>
      <c r="AW1032" s="88" t="str">
        <f>HYPERLINK("http://www.openstreetmap.org/?mlat=36.8711&amp;mlon=42.9301&amp;zoom=12#map=12/36.8711/42.9301","Maplink1")</f>
        <v>Maplink1</v>
      </c>
      <c r="AX1032" s="88" t="str">
        <f>HYPERLINK("https://www.google.iq/maps/search/+36.8711,42.9301/@36.8711,42.9301,14z?hl=en","Maplink2")</f>
        <v>Maplink2</v>
      </c>
      <c r="AY1032" s="88" t="str">
        <f>HYPERLINK("http://www.bing.com/maps/?lvl=14&amp;sty=h&amp;cp=36.8711~42.9301&amp;sp=point.36.8711_42.9301","Maplink3")</f>
        <v>Maplink3</v>
      </c>
      <c r="AZ1032" s="76"/>
    </row>
    <row r="1033" spans="1:52" x14ac:dyDescent="0.25">
      <c r="A1033" s="86">
        <v>24187</v>
      </c>
      <c r="B1033" s="87" t="s">
        <v>16</v>
      </c>
      <c r="C1033" s="87" t="s">
        <v>16</v>
      </c>
      <c r="D1033" s="87" t="s">
        <v>2072</v>
      </c>
      <c r="E1033" s="87" t="s">
        <v>2073</v>
      </c>
      <c r="F1033" s="87">
        <v>36.8595380545</v>
      </c>
      <c r="G1033" s="87">
        <v>43.005781165999998</v>
      </c>
      <c r="H1033" s="86">
        <v>95</v>
      </c>
      <c r="I1033" s="86">
        <v>570</v>
      </c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>
        <v>95</v>
      </c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>
        <v>95</v>
      </c>
      <c r="AI1033" s="87"/>
      <c r="AJ1033" s="87"/>
      <c r="AK1033" s="87"/>
      <c r="AL1033" s="87"/>
      <c r="AM1033" s="87"/>
      <c r="AN1033" s="87"/>
      <c r="AO1033" s="87">
        <v>33</v>
      </c>
      <c r="AP1033" s="87">
        <v>62</v>
      </c>
      <c r="AQ1033" s="87"/>
      <c r="AR1033" s="87"/>
      <c r="AS1033" s="87"/>
      <c r="AT1033" s="87"/>
      <c r="AU1033" s="87"/>
      <c r="AV1033" s="87"/>
      <c r="AW1033" s="88" t="str">
        <f>HYPERLINK("http://www.openstreetmap.org/?mlat=36.8595&amp;mlon=43.0058&amp;zoom=12#map=12/36.8595/43.0058","Maplink1")</f>
        <v>Maplink1</v>
      </c>
      <c r="AX1033" s="88" t="str">
        <f>HYPERLINK("https://www.google.iq/maps/search/+36.8595,43.0058/@36.8595,43.0058,14z?hl=en","Maplink2")</f>
        <v>Maplink2</v>
      </c>
      <c r="AY1033" s="88" t="str">
        <f>HYPERLINK("http://www.bing.com/maps/?lvl=14&amp;sty=h&amp;cp=36.8595~43.0058&amp;sp=point.36.8595_43.0058","Maplink3")</f>
        <v>Maplink3</v>
      </c>
      <c r="AZ1033" s="76"/>
    </row>
    <row r="1034" spans="1:52" x14ac:dyDescent="0.25">
      <c r="A1034" s="86">
        <v>24800</v>
      </c>
      <c r="B1034" s="87" t="s">
        <v>16</v>
      </c>
      <c r="C1034" s="87" t="s">
        <v>2074</v>
      </c>
      <c r="D1034" s="87" t="s">
        <v>2075</v>
      </c>
      <c r="E1034" s="87" t="s">
        <v>2076</v>
      </c>
      <c r="F1034" s="87">
        <v>36.857428871700002</v>
      </c>
      <c r="G1034" s="87">
        <v>42.907697010699998</v>
      </c>
      <c r="H1034" s="86">
        <v>1053</v>
      </c>
      <c r="I1034" s="86">
        <v>6318</v>
      </c>
      <c r="J1034" s="87">
        <v>1</v>
      </c>
      <c r="K1034" s="87"/>
      <c r="L1034" s="87">
        <v>4</v>
      </c>
      <c r="M1034" s="87"/>
      <c r="N1034" s="87"/>
      <c r="O1034" s="87"/>
      <c r="P1034" s="87"/>
      <c r="Q1034" s="87"/>
      <c r="R1034" s="87"/>
      <c r="S1034" s="87"/>
      <c r="T1034" s="87"/>
      <c r="U1034" s="87"/>
      <c r="V1034" s="87">
        <v>1048</v>
      </c>
      <c r="W1034" s="87"/>
      <c r="X1034" s="87"/>
      <c r="Y1034" s="87"/>
      <c r="Z1034" s="87"/>
      <c r="AA1034" s="87"/>
      <c r="AB1034" s="87"/>
      <c r="AC1034" s="87">
        <v>200</v>
      </c>
      <c r="AD1034" s="87"/>
      <c r="AE1034" s="87"/>
      <c r="AF1034" s="87"/>
      <c r="AG1034" s="87"/>
      <c r="AH1034" s="87">
        <v>853</v>
      </c>
      <c r="AI1034" s="87"/>
      <c r="AJ1034" s="87"/>
      <c r="AK1034" s="87"/>
      <c r="AL1034" s="87"/>
      <c r="AM1034" s="87"/>
      <c r="AN1034" s="87">
        <v>1</v>
      </c>
      <c r="AO1034" s="87">
        <v>900</v>
      </c>
      <c r="AP1034" s="87">
        <v>152</v>
      </c>
      <c r="AQ1034" s="87"/>
      <c r="AR1034" s="87"/>
      <c r="AS1034" s="87"/>
      <c r="AT1034" s="87"/>
      <c r="AU1034" s="87"/>
      <c r="AV1034" s="87"/>
      <c r="AW1034" s="88" t="str">
        <f>HYPERLINK("http://www.openstreetmap.org/?mlat=36.8574&amp;mlon=42.9077&amp;zoom=12#map=12/36.8574/42.9077","Maplink1")</f>
        <v>Maplink1</v>
      </c>
      <c r="AX1034" s="88" t="str">
        <f>HYPERLINK("https://www.google.iq/maps/search/+36.8574,42.9077/@36.8574,42.9077,14z?hl=en","Maplink2")</f>
        <v>Maplink2</v>
      </c>
      <c r="AY1034" s="88" t="str">
        <f>HYPERLINK("http://www.bing.com/maps/?lvl=14&amp;sty=h&amp;cp=36.8574~42.9077&amp;sp=point.36.8574_42.9077","Maplink3")</f>
        <v>Maplink3</v>
      </c>
      <c r="AZ1034" s="76"/>
    </row>
    <row r="1035" spans="1:52" x14ac:dyDescent="0.25">
      <c r="A1035" s="86">
        <v>24790</v>
      </c>
      <c r="B1035" s="87" t="s">
        <v>16</v>
      </c>
      <c r="C1035" s="87" t="s">
        <v>2074</v>
      </c>
      <c r="D1035" s="87" t="s">
        <v>2077</v>
      </c>
      <c r="E1035" s="87" t="s">
        <v>2078</v>
      </c>
      <c r="F1035" s="87">
        <v>37.055817681400001</v>
      </c>
      <c r="G1035" s="87">
        <v>42.446028556400002</v>
      </c>
      <c r="H1035" s="86">
        <v>2035</v>
      </c>
      <c r="I1035" s="86">
        <v>12210</v>
      </c>
      <c r="J1035" s="87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>
        <v>2035</v>
      </c>
      <c r="W1035" s="87"/>
      <c r="X1035" s="87"/>
      <c r="Y1035" s="87"/>
      <c r="Z1035" s="87"/>
      <c r="AA1035" s="87"/>
      <c r="AB1035" s="87">
        <v>2035</v>
      </c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>
        <v>2035</v>
      </c>
      <c r="AQ1035" s="87"/>
      <c r="AR1035" s="87"/>
      <c r="AS1035" s="87"/>
      <c r="AT1035" s="87"/>
      <c r="AU1035" s="87"/>
      <c r="AV1035" s="87"/>
      <c r="AW1035" s="88" t="str">
        <f>HYPERLINK("http://www.openstreetmap.org/?mlat=37.0558&amp;mlon=42.446&amp;zoom=12#map=12/37.0558/42.446","Maplink1")</f>
        <v>Maplink1</v>
      </c>
      <c r="AX1035" s="88" t="str">
        <f>HYPERLINK("https://www.google.iq/maps/search/+37.0558,42.446/@37.0558,42.446,14z?hl=en","Maplink2")</f>
        <v>Maplink2</v>
      </c>
      <c r="AY1035" s="88" t="str">
        <f>HYPERLINK("http://www.bing.com/maps/?lvl=14&amp;sty=h&amp;cp=37.0558~42.446&amp;sp=point.37.0558_42.446","Maplink3")</f>
        <v>Maplink3</v>
      </c>
      <c r="AZ1035" s="76"/>
    </row>
    <row r="1036" spans="1:52" x14ac:dyDescent="0.25">
      <c r="A1036" s="86">
        <v>8044</v>
      </c>
      <c r="B1036" s="87" t="s">
        <v>16</v>
      </c>
      <c r="C1036" s="87" t="s">
        <v>2074</v>
      </c>
      <c r="D1036" s="87" t="s">
        <v>2079</v>
      </c>
      <c r="E1036" s="87" t="s">
        <v>2080</v>
      </c>
      <c r="F1036" s="87">
        <v>37.047257891000001</v>
      </c>
      <c r="G1036" s="87">
        <v>42.451053770999998</v>
      </c>
      <c r="H1036" s="86">
        <v>101</v>
      </c>
      <c r="I1036" s="86">
        <v>606</v>
      </c>
      <c r="J1036" s="87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>
        <v>101</v>
      </c>
      <c r="W1036" s="87"/>
      <c r="X1036" s="87"/>
      <c r="Y1036" s="87"/>
      <c r="Z1036" s="87"/>
      <c r="AA1036" s="87"/>
      <c r="AB1036" s="87"/>
      <c r="AC1036" s="87">
        <v>83</v>
      </c>
      <c r="AD1036" s="87"/>
      <c r="AE1036" s="87">
        <v>7</v>
      </c>
      <c r="AF1036" s="87"/>
      <c r="AG1036" s="87"/>
      <c r="AH1036" s="87"/>
      <c r="AI1036" s="87"/>
      <c r="AJ1036" s="87"/>
      <c r="AK1036" s="87">
        <v>11</v>
      </c>
      <c r="AL1036" s="87"/>
      <c r="AM1036" s="87"/>
      <c r="AN1036" s="87"/>
      <c r="AO1036" s="87"/>
      <c r="AP1036" s="87">
        <v>101</v>
      </c>
      <c r="AQ1036" s="87"/>
      <c r="AR1036" s="87"/>
      <c r="AS1036" s="87"/>
      <c r="AT1036" s="87"/>
      <c r="AU1036" s="87"/>
      <c r="AV1036" s="87"/>
      <c r="AW1036" s="88" t="str">
        <f>HYPERLINK("http://www.openstreetmap.org/?mlat=37.0473&amp;mlon=42.4511&amp;zoom=12#map=12/37.0473/42.4511","Maplink1")</f>
        <v>Maplink1</v>
      </c>
      <c r="AX1036" s="88" t="str">
        <f>HYPERLINK("https://www.google.iq/maps/search/+37.0473,42.4511/@37.0473,42.4511,14z?hl=en","Maplink2")</f>
        <v>Maplink2</v>
      </c>
      <c r="AY1036" s="88" t="str">
        <f>HYPERLINK("http://www.bing.com/maps/?lvl=14&amp;sty=h&amp;cp=37.0473~42.4511&amp;sp=point.37.0473_42.4511","Maplink3")</f>
        <v>Maplink3</v>
      </c>
      <c r="AZ1036" s="76"/>
    </row>
    <row r="1037" spans="1:52" x14ac:dyDescent="0.25">
      <c r="A1037" s="86">
        <v>8019</v>
      </c>
      <c r="B1037" s="87" t="s">
        <v>16</v>
      </c>
      <c r="C1037" s="87" t="s">
        <v>2074</v>
      </c>
      <c r="D1037" s="87" t="s">
        <v>2081</v>
      </c>
      <c r="E1037" s="87" t="s">
        <v>2082</v>
      </c>
      <c r="F1037" s="87">
        <v>36.806965597000001</v>
      </c>
      <c r="G1037" s="87">
        <v>42.859376136500003</v>
      </c>
      <c r="H1037" s="86">
        <v>25</v>
      </c>
      <c r="I1037" s="86">
        <v>150</v>
      </c>
      <c r="J1037" s="87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>
        <v>25</v>
      </c>
      <c r="W1037" s="87"/>
      <c r="X1037" s="87"/>
      <c r="Y1037" s="87"/>
      <c r="Z1037" s="87"/>
      <c r="AA1037" s="87"/>
      <c r="AB1037" s="87"/>
      <c r="AC1037" s="87">
        <v>2</v>
      </c>
      <c r="AD1037" s="87"/>
      <c r="AE1037" s="87"/>
      <c r="AF1037" s="87"/>
      <c r="AG1037" s="87"/>
      <c r="AH1037" s="87">
        <v>15</v>
      </c>
      <c r="AI1037" s="87"/>
      <c r="AJ1037" s="87"/>
      <c r="AK1037" s="87">
        <v>8</v>
      </c>
      <c r="AL1037" s="87"/>
      <c r="AM1037" s="87"/>
      <c r="AN1037" s="87"/>
      <c r="AO1037" s="87"/>
      <c r="AP1037" s="87">
        <v>25</v>
      </c>
      <c r="AQ1037" s="87"/>
      <c r="AR1037" s="87"/>
      <c r="AS1037" s="87"/>
      <c r="AT1037" s="87"/>
      <c r="AU1037" s="87"/>
      <c r="AV1037" s="87"/>
      <c r="AW1037" s="88" t="str">
        <f>HYPERLINK("http://www.openstreetmap.org/?mlat=36.807&amp;mlon=42.8594&amp;zoom=12#map=12/36.807/42.8594","Maplink1")</f>
        <v>Maplink1</v>
      </c>
      <c r="AX1037" s="88" t="str">
        <f>HYPERLINK("https://www.google.iq/maps/search/+36.807,42.8594/@36.807,42.8594,14z?hl=en","Maplink2")</f>
        <v>Maplink2</v>
      </c>
      <c r="AY1037" s="88" t="str">
        <f>HYPERLINK("http://www.bing.com/maps/?lvl=14&amp;sty=h&amp;cp=36.807~42.8594&amp;sp=point.36.807_42.8594","Maplink3")</f>
        <v>Maplink3</v>
      </c>
      <c r="AZ1037" s="76"/>
    </row>
    <row r="1038" spans="1:52" x14ac:dyDescent="0.25">
      <c r="A1038" s="86">
        <v>25993</v>
      </c>
      <c r="B1038" s="87" t="s">
        <v>16</v>
      </c>
      <c r="C1038" s="87" t="s">
        <v>2074</v>
      </c>
      <c r="D1038" s="87" t="s">
        <v>2083</v>
      </c>
      <c r="E1038" s="87" t="s">
        <v>2084</v>
      </c>
      <c r="F1038" s="87">
        <v>36.956837873700003</v>
      </c>
      <c r="G1038" s="87">
        <v>42.728460381200001</v>
      </c>
      <c r="H1038" s="86">
        <v>161</v>
      </c>
      <c r="I1038" s="86">
        <v>966</v>
      </c>
      <c r="J1038" s="87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>
        <v>161</v>
      </c>
      <c r="W1038" s="87"/>
      <c r="X1038" s="87"/>
      <c r="Y1038" s="87"/>
      <c r="Z1038" s="87"/>
      <c r="AA1038" s="87"/>
      <c r="AB1038" s="87"/>
      <c r="AC1038" s="87">
        <v>111</v>
      </c>
      <c r="AD1038" s="87"/>
      <c r="AE1038" s="87"/>
      <c r="AF1038" s="87"/>
      <c r="AG1038" s="87"/>
      <c r="AH1038" s="87">
        <v>25</v>
      </c>
      <c r="AI1038" s="87"/>
      <c r="AJ1038" s="87"/>
      <c r="AK1038" s="87">
        <v>20</v>
      </c>
      <c r="AL1038" s="87">
        <v>5</v>
      </c>
      <c r="AM1038" s="87"/>
      <c r="AN1038" s="87"/>
      <c r="AO1038" s="87">
        <v>40</v>
      </c>
      <c r="AP1038" s="87">
        <v>91</v>
      </c>
      <c r="AQ1038" s="87"/>
      <c r="AR1038" s="87"/>
      <c r="AS1038" s="87"/>
      <c r="AT1038" s="87"/>
      <c r="AU1038" s="87">
        <v>30</v>
      </c>
      <c r="AV1038" s="87"/>
      <c r="AW1038" s="88" t="str">
        <f>HYPERLINK("http://www.openstreetmap.org/?mlat=36.9568&amp;mlon=42.7285&amp;zoom=12#map=12/36.9568/42.7285","Maplink1")</f>
        <v>Maplink1</v>
      </c>
      <c r="AX1038" s="88" t="str">
        <f>HYPERLINK("https://www.google.iq/maps/search/+36.9568,42.7285/@36.9568,42.7285,14z?hl=en","Maplink2")</f>
        <v>Maplink2</v>
      </c>
      <c r="AY1038" s="88" t="str">
        <f>HYPERLINK("http://www.bing.com/maps/?lvl=14&amp;sty=h&amp;cp=36.9568~42.7285&amp;sp=point.36.9568_42.7285","Maplink3")</f>
        <v>Maplink3</v>
      </c>
      <c r="AZ1038" s="76"/>
    </row>
    <row r="1039" spans="1:52" x14ac:dyDescent="0.25">
      <c r="A1039" s="86">
        <v>8196</v>
      </c>
      <c r="B1039" s="87" t="s">
        <v>16</v>
      </c>
      <c r="C1039" s="87" t="s">
        <v>2074</v>
      </c>
      <c r="D1039" s="87" t="s">
        <v>2085</v>
      </c>
      <c r="E1039" s="87" t="s">
        <v>2086</v>
      </c>
      <c r="F1039" s="87">
        <v>36.961093433499997</v>
      </c>
      <c r="G1039" s="87">
        <v>42.681343724900003</v>
      </c>
      <c r="H1039" s="86">
        <v>78</v>
      </c>
      <c r="I1039" s="86">
        <v>468</v>
      </c>
      <c r="J1039" s="87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>
        <v>78</v>
      </c>
      <c r="W1039" s="87"/>
      <c r="X1039" s="87"/>
      <c r="Y1039" s="87"/>
      <c r="Z1039" s="87"/>
      <c r="AA1039" s="87"/>
      <c r="AB1039" s="87"/>
      <c r="AC1039" s="87">
        <v>69</v>
      </c>
      <c r="AD1039" s="87"/>
      <c r="AE1039" s="87"/>
      <c r="AF1039" s="87"/>
      <c r="AG1039" s="87"/>
      <c r="AH1039" s="87">
        <v>6</v>
      </c>
      <c r="AI1039" s="87"/>
      <c r="AJ1039" s="87"/>
      <c r="AK1039" s="87">
        <v>3</v>
      </c>
      <c r="AL1039" s="87"/>
      <c r="AM1039" s="87"/>
      <c r="AN1039" s="87"/>
      <c r="AO1039" s="87">
        <v>40</v>
      </c>
      <c r="AP1039" s="87">
        <v>29</v>
      </c>
      <c r="AQ1039" s="87"/>
      <c r="AR1039" s="87"/>
      <c r="AS1039" s="87"/>
      <c r="AT1039" s="87"/>
      <c r="AU1039" s="87">
        <v>9</v>
      </c>
      <c r="AV1039" s="87"/>
      <c r="AW1039" s="88" t="str">
        <f>HYPERLINK("http://www.openstreetmap.org/?mlat=36.9611&amp;mlon=42.6813&amp;zoom=12#map=12/36.9611/42.6813","Maplink1")</f>
        <v>Maplink1</v>
      </c>
      <c r="AX1039" s="88" t="str">
        <f>HYPERLINK("https://www.google.iq/maps/search/+36.9611,42.6813/@36.9611,42.6813,14z?hl=en","Maplink2")</f>
        <v>Maplink2</v>
      </c>
      <c r="AY1039" s="88" t="str">
        <f>HYPERLINK("http://www.bing.com/maps/?lvl=14&amp;sty=h&amp;cp=36.9611~42.6813&amp;sp=point.36.9611_42.6813","Maplink3")</f>
        <v>Maplink3</v>
      </c>
      <c r="AZ1039" s="76"/>
    </row>
    <row r="1040" spans="1:52" x14ac:dyDescent="0.25">
      <c r="A1040" s="86">
        <v>8018</v>
      </c>
      <c r="B1040" s="87" t="s">
        <v>16</v>
      </c>
      <c r="C1040" s="87" t="s">
        <v>2074</v>
      </c>
      <c r="D1040" s="87" t="s">
        <v>2087</v>
      </c>
      <c r="E1040" s="87" t="s">
        <v>2088</v>
      </c>
      <c r="F1040" s="87">
        <v>36.815028489600003</v>
      </c>
      <c r="G1040" s="87">
        <v>42.914281544300003</v>
      </c>
      <c r="H1040" s="86">
        <v>52</v>
      </c>
      <c r="I1040" s="86">
        <v>312</v>
      </c>
      <c r="J1040" s="87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>
        <v>52</v>
      </c>
      <c r="W1040" s="87"/>
      <c r="X1040" s="87"/>
      <c r="Y1040" s="87"/>
      <c r="Z1040" s="87"/>
      <c r="AA1040" s="87"/>
      <c r="AB1040" s="87"/>
      <c r="AC1040" s="87">
        <v>46</v>
      </c>
      <c r="AD1040" s="87"/>
      <c r="AE1040" s="87"/>
      <c r="AF1040" s="87"/>
      <c r="AG1040" s="87"/>
      <c r="AH1040" s="87"/>
      <c r="AI1040" s="87"/>
      <c r="AJ1040" s="87"/>
      <c r="AK1040" s="87">
        <v>6</v>
      </c>
      <c r="AL1040" s="87"/>
      <c r="AM1040" s="87"/>
      <c r="AN1040" s="87"/>
      <c r="AO1040" s="87">
        <v>28</v>
      </c>
      <c r="AP1040" s="87">
        <v>24</v>
      </c>
      <c r="AQ1040" s="87"/>
      <c r="AR1040" s="87"/>
      <c r="AS1040" s="87"/>
      <c r="AT1040" s="87"/>
      <c r="AU1040" s="87"/>
      <c r="AV1040" s="87"/>
      <c r="AW1040" s="88" t="str">
        <f>HYPERLINK("http://www.openstreetmap.org/?mlat=36.815&amp;mlon=42.9143&amp;zoom=12#map=12/36.815/42.9143","Maplink1")</f>
        <v>Maplink1</v>
      </c>
      <c r="AX1040" s="88" t="str">
        <f>HYPERLINK("https://www.google.iq/maps/search/+36.815,42.9143/@36.815,42.9143,14z?hl=en","Maplink2")</f>
        <v>Maplink2</v>
      </c>
      <c r="AY1040" s="88" t="str">
        <f>HYPERLINK("http://www.bing.com/maps/?lvl=14&amp;sty=h&amp;cp=36.815~42.9143&amp;sp=point.36.815_42.9143","Maplink3")</f>
        <v>Maplink3</v>
      </c>
      <c r="AZ1040" s="76"/>
    </row>
    <row r="1041" spans="1:52" x14ac:dyDescent="0.25">
      <c r="A1041" s="86">
        <v>25777</v>
      </c>
      <c r="B1041" s="87" t="s">
        <v>16</v>
      </c>
      <c r="C1041" s="87" t="s">
        <v>2074</v>
      </c>
      <c r="D1041" s="87" t="s">
        <v>2089</v>
      </c>
      <c r="E1041" s="87" t="s">
        <v>2090</v>
      </c>
      <c r="F1041" s="87">
        <v>36.840521715800001</v>
      </c>
      <c r="G1041" s="87">
        <v>42.900922997499997</v>
      </c>
      <c r="H1041" s="86">
        <v>26</v>
      </c>
      <c r="I1041" s="86">
        <v>156</v>
      </c>
      <c r="J1041" s="87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>
        <v>26</v>
      </c>
      <c r="W1041" s="87"/>
      <c r="X1041" s="87"/>
      <c r="Y1041" s="87"/>
      <c r="Z1041" s="87"/>
      <c r="AA1041" s="87"/>
      <c r="AB1041" s="87"/>
      <c r="AC1041" s="87">
        <v>5</v>
      </c>
      <c r="AD1041" s="87"/>
      <c r="AE1041" s="87"/>
      <c r="AF1041" s="87"/>
      <c r="AG1041" s="87"/>
      <c r="AH1041" s="87">
        <v>21</v>
      </c>
      <c r="AI1041" s="87"/>
      <c r="AJ1041" s="87"/>
      <c r="AK1041" s="87"/>
      <c r="AL1041" s="87"/>
      <c r="AM1041" s="87"/>
      <c r="AN1041" s="87"/>
      <c r="AO1041" s="87">
        <v>3</v>
      </c>
      <c r="AP1041" s="87">
        <v>23</v>
      </c>
      <c r="AQ1041" s="87"/>
      <c r="AR1041" s="87"/>
      <c r="AS1041" s="87"/>
      <c r="AT1041" s="87"/>
      <c r="AU1041" s="87"/>
      <c r="AV1041" s="87"/>
      <c r="AW1041" s="88" t="str">
        <f>HYPERLINK("http://www.openstreetmap.org/?mlat=36.8405&amp;mlon=42.9009&amp;zoom=12#map=12/36.8405/42.9009","Maplink1")</f>
        <v>Maplink1</v>
      </c>
      <c r="AX1041" s="88" t="str">
        <f>HYPERLINK("https://www.google.iq/maps/search/+36.8405,42.9009/@36.8405,42.9009,14z?hl=en","Maplink2")</f>
        <v>Maplink2</v>
      </c>
      <c r="AY1041" s="88" t="str">
        <f>HYPERLINK("http://www.bing.com/maps/?lvl=14&amp;sty=h&amp;cp=36.8405~42.9009&amp;sp=point.36.8405_42.9009","Maplink3")</f>
        <v>Maplink3</v>
      </c>
      <c r="AZ1041" s="76"/>
    </row>
    <row r="1042" spans="1:52" x14ac:dyDescent="0.25">
      <c r="A1042" s="86">
        <v>26123</v>
      </c>
      <c r="B1042" s="87" t="s">
        <v>16</v>
      </c>
      <c r="C1042" s="87" t="s">
        <v>2074</v>
      </c>
      <c r="D1042" s="87" t="s">
        <v>2091</v>
      </c>
      <c r="E1042" s="87" t="s">
        <v>2092</v>
      </c>
      <c r="F1042" s="87">
        <v>36.794692085900003</v>
      </c>
      <c r="G1042" s="87">
        <v>42.917500035899998</v>
      </c>
      <c r="H1042" s="86">
        <v>479</v>
      </c>
      <c r="I1042" s="86">
        <v>2874</v>
      </c>
      <c r="J1042" s="87"/>
      <c r="K1042" s="87"/>
      <c r="L1042" s="87">
        <v>2</v>
      </c>
      <c r="M1042" s="87"/>
      <c r="N1042" s="87"/>
      <c r="O1042" s="87"/>
      <c r="P1042" s="87"/>
      <c r="Q1042" s="87"/>
      <c r="R1042" s="87"/>
      <c r="S1042" s="87"/>
      <c r="T1042" s="87"/>
      <c r="U1042" s="87"/>
      <c r="V1042" s="87">
        <v>476</v>
      </c>
      <c r="W1042" s="87"/>
      <c r="X1042" s="87">
        <v>1</v>
      </c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>
        <v>322</v>
      </c>
      <c r="AI1042" s="87"/>
      <c r="AJ1042" s="87"/>
      <c r="AK1042" s="87">
        <v>2</v>
      </c>
      <c r="AL1042" s="87">
        <v>155</v>
      </c>
      <c r="AM1042" s="87"/>
      <c r="AN1042" s="87"/>
      <c r="AO1042" s="87">
        <v>388</v>
      </c>
      <c r="AP1042" s="87">
        <v>65</v>
      </c>
      <c r="AQ1042" s="87"/>
      <c r="AR1042" s="87"/>
      <c r="AS1042" s="87"/>
      <c r="AT1042" s="87"/>
      <c r="AU1042" s="87">
        <v>26</v>
      </c>
      <c r="AV1042" s="87"/>
      <c r="AW1042" s="88" t="str">
        <f>HYPERLINK("http://www.openstreetmap.org/?mlat=36.7947&amp;mlon=42.9175&amp;zoom=12#map=12/36.7947/42.9175","Maplink1")</f>
        <v>Maplink1</v>
      </c>
      <c r="AX1042" s="88" t="str">
        <f>HYPERLINK("https://www.google.iq/maps/search/+36.7947,42.9175/@36.7947,42.9175,14z?hl=en","Maplink2")</f>
        <v>Maplink2</v>
      </c>
      <c r="AY1042" s="88" t="str">
        <f>HYPERLINK("http://www.bing.com/maps/?lvl=14&amp;sty=h&amp;cp=36.7947~42.9175&amp;sp=point.36.7947_42.9175","Maplink3")</f>
        <v>Maplink3</v>
      </c>
      <c r="AZ1042" s="76"/>
    </row>
    <row r="1043" spans="1:52" x14ac:dyDescent="0.25">
      <c r="A1043" s="86">
        <v>26122</v>
      </c>
      <c r="B1043" s="87" t="s">
        <v>16</v>
      </c>
      <c r="C1043" s="87" t="s">
        <v>2074</v>
      </c>
      <c r="D1043" s="87" t="s">
        <v>2093</v>
      </c>
      <c r="E1043" s="87" t="s">
        <v>2094</v>
      </c>
      <c r="F1043" s="87">
        <v>36.802871329600002</v>
      </c>
      <c r="G1043" s="87">
        <v>42.916349824400001</v>
      </c>
      <c r="H1043" s="86">
        <v>135</v>
      </c>
      <c r="I1043" s="86">
        <v>810</v>
      </c>
      <c r="J1043" s="87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>
        <v>134</v>
      </c>
      <c r="W1043" s="87"/>
      <c r="X1043" s="87">
        <v>1</v>
      </c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>
        <v>108</v>
      </c>
      <c r="AI1043" s="87"/>
      <c r="AJ1043" s="87"/>
      <c r="AK1043" s="87"/>
      <c r="AL1043" s="87">
        <v>27</v>
      </c>
      <c r="AM1043" s="87"/>
      <c r="AN1043" s="87"/>
      <c r="AO1043" s="87">
        <v>93</v>
      </c>
      <c r="AP1043" s="87">
        <v>35</v>
      </c>
      <c r="AQ1043" s="87"/>
      <c r="AR1043" s="87"/>
      <c r="AS1043" s="87"/>
      <c r="AT1043" s="87"/>
      <c r="AU1043" s="87">
        <v>7</v>
      </c>
      <c r="AV1043" s="87"/>
      <c r="AW1043" s="88" t="str">
        <f>HYPERLINK("http://www.openstreetmap.org/?mlat=36.8029&amp;mlon=42.9163&amp;zoom=12#map=12/36.8029/42.9163","Maplink1")</f>
        <v>Maplink1</v>
      </c>
      <c r="AX1043" s="88" t="str">
        <f>HYPERLINK("https://www.google.iq/maps/search/+36.8029,42.9163/@36.8029,42.9163,14z?hl=en","Maplink2")</f>
        <v>Maplink2</v>
      </c>
      <c r="AY1043" s="88" t="str">
        <f>HYPERLINK("http://www.bing.com/maps/?lvl=14&amp;sty=h&amp;cp=36.8029~42.9163&amp;sp=point.36.8029_42.9163","Maplink3")</f>
        <v>Maplink3</v>
      </c>
      <c r="AZ1043" s="76"/>
    </row>
    <row r="1044" spans="1:52" x14ac:dyDescent="0.25">
      <c r="A1044" s="86">
        <v>8239</v>
      </c>
      <c r="B1044" s="87" t="s">
        <v>16</v>
      </c>
      <c r="C1044" s="87" t="s">
        <v>2074</v>
      </c>
      <c r="D1044" s="87" t="s">
        <v>2095</v>
      </c>
      <c r="E1044" s="87" t="s">
        <v>2096</v>
      </c>
      <c r="F1044" s="87">
        <v>36.756827484299997</v>
      </c>
      <c r="G1044" s="87">
        <v>42.927086147499999</v>
      </c>
      <c r="H1044" s="86">
        <v>246</v>
      </c>
      <c r="I1044" s="86">
        <v>1476</v>
      </c>
      <c r="J1044" s="87">
        <v>1</v>
      </c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>
        <v>245</v>
      </c>
      <c r="W1044" s="87"/>
      <c r="X1044" s="87"/>
      <c r="Y1044" s="87"/>
      <c r="Z1044" s="87"/>
      <c r="AA1044" s="87"/>
      <c r="AB1044" s="87"/>
      <c r="AC1044" s="87">
        <v>4</v>
      </c>
      <c r="AD1044" s="87"/>
      <c r="AE1044" s="87"/>
      <c r="AF1044" s="87"/>
      <c r="AG1044" s="87"/>
      <c r="AH1044" s="87">
        <v>201</v>
      </c>
      <c r="AI1044" s="87"/>
      <c r="AJ1044" s="87"/>
      <c r="AK1044" s="87">
        <v>11</v>
      </c>
      <c r="AL1044" s="87">
        <v>30</v>
      </c>
      <c r="AM1044" s="87"/>
      <c r="AN1044" s="87">
        <v>1</v>
      </c>
      <c r="AO1044" s="87">
        <v>231</v>
      </c>
      <c r="AP1044" s="87">
        <v>4</v>
      </c>
      <c r="AQ1044" s="87"/>
      <c r="AR1044" s="87"/>
      <c r="AS1044" s="87"/>
      <c r="AT1044" s="87"/>
      <c r="AU1044" s="87">
        <v>10</v>
      </c>
      <c r="AV1044" s="87"/>
      <c r="AW1044" s="88" t="str">
        <f>HYPERLINK("http://www.openstreetmap.org/?mlat=36.7568&amp;mlon=42.9271&amp;zoom=12#map=12/36.7568/42.9271","Maplink1")</f>
        <v>Maplink1</v>
      </c>
      <c r="AX1044" s="88" t="str">
        <f>HYPERLINK("https://www.google.iq/maps/search/+36.7568,42.9271/@36.7568,42.9271,14z?hl=en","Maplink2")</f>
        <v>Maplink2</v>
      </c>
      <c r="AY1044" s="88" t="str">
        <f>HYPERLINK("http://www.bing.com/maps/?lvl=14&amp;sty=h&amp;cp=36.7568~42.9271&amp;sp=point.36.7568_42.9271","Maplink3")</f>
        <v>Maplink3</v>
      </c>
      <c r="AZ1044" s="76"/>
    </row>
    <row r="1045" spans="1:52" x14ac:dyDescent="0.25">
      <c r="A1045" s="86">
        <v>8246</v>
      </c>
      <c r="B1045" s="87" t="s">
        <v>16</v>
      </c>
      <c r="C1045" s="87" t="s">
        <v>2074</v>
      </c>
      <c r="D1045" s="87" t="s">
        <v>2097</v>
      </c>
      <c r="E1045" s="87" t="s">
        <v>2098</v>
      </c>
      <c r="F1045" s="87">
        <v>36.992454754400001</v>
      </c>
      <c r="G1045" s="87">
        <v>42.600640622500002</v>
      </c>
      <c r="H1045" s="86">
        <v>64</v>
      </c>
      <c r="I1045" s="86">
        <v>384</v>
      </c>
      <c r="J1045" s="87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>
        <v>64</v>
      </c>
      <c r="W1045" s="87"/>
      <c r="X1045" s="87"/>
      <c r="Y1045" s="87"/>
      <c r="Z1045" s="87"/>
      <c r="AA1045" s="87"/>
      <c r="AB1045" s="87"/>
      <c r="AC1045" s="87">
        <v>53</v>
      </c>
      <c r="AD1045" s="87"/>
      <c r="AE1045" s="87"/>
      <c r="AF1045" s="87"/>
      <c r="AG1045" s="87"/>
      <c r="AH1045" s="87"/>
      <c r="AI1045" s="87"/>
      <c r="AJ1045" s="87"/>
      <c r="AK1045" s="87">
        <v>11</v>
      </c>
      <c r="AL1045" s="87"/>
      <c r="AM1045" s="87"/>
      <c r="AN1045" s="87"/>
      <c r="AO1045" s="87">
        <v>7</v>
      </c>
      <c r="AP1045" s="87">
        <v>40</v>
      </c>
      <c r="AQ1045" s="87"/>
      <c r="AR1045" s="87"/>
      <c r="AS1045" s="87"/>
      <c r="AT1045" s="87"/>
      <c r="AU1045" s="87">
        <v>17</v>
      </c>
      <c r="AV1045" s="87"/>
      <c r="AW1045" s="88" t="str">
        <f>HYPERLINK("http://www.openstreetmap.org/?mlat=36.9925&amp;mlon=42.6006&amp;zoom=12#map=12/36.9925/42.6006","Maplink1")</f>
        <v>Maplink1</v>
      </c>
      <c r="AX1045" s="88" t="str">
        <f>HYPERLINK("https://www.google.iq/maps/search/+36.9925,42.6006/@36.9925,42.6006,14z?hl=en","Maplink2")</f>
        <v>Maplink2</v>
      </c>
      <c r="AY1045" s="88" t="str">
        <f>HYPERLINK("http://www.bing.com/maps/?lvl=14&amp;sty=h&amp;cp=36.9925~42.6006&amp;sp=point.36.9925_42.6006","Maplink3")</f>
        <v>Maplink3</v>
      </c>
      <c r="AZ1045" s="76"/>
    </row>
    <row r="1046" spans="1:52" x14ac:dyDescent="0.25">
      <c r="A1046" s="86">
        <v>27126</v>
      </c>
      <c r="B1046" s="87" t="s">
        <v>16</v>
      </c>
      <c r="C1046" s="87" t="s">
        <v>2074</v>
      </c>
      <c r="D1046" s="87" t="s">
        <v>2099</v>
      </c>
      <c r="E1046" s="87" t="s">
        <v>2100</v>
      </c>
      <c r="F1046" s="87">
        <v>36.773465887699999</v>
      </c>
      <c r="G1046" s="87">
        <v>42.786328153299998</v>
      </c>
      <c r="H1046" s="86">
        <v>197</v>
      </c>
      <c r="I1046" s="86">
        <v>1182</v>
      </c>
      <c r="J1046" s="87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>
        <v>197</v>
      </c>
      <c r="W1046" s="87"/>
      <c r="X1046" s="87"/>
      <c r="Y1046" s="87"/>
      <c r="Z1046" s="87"/>
      <c r="AA1046" s="87"/>
      <c r="AB1046" s="87"/>
      <c r="AC1046" s="87">
        <v>142</v>
      </c>
      <c r="AD1046" s="87"/>
      <c r="AE1046" s="87"/>
      <c r="AF1046" s="87"/>
      <c r="AG1046" s="87"/>
      <c r="AH1046" s="87">
        <v>9</v>
      </c>
      <c r="AI1046" s="87"/>
      <c r="AJ1046" s="87"/>
      <c r="AK1046" s="87">
        <v>46</v>
      </c>
      <c r="AL1046" s="87"/>
      <c r="AM1046" s="87"/>
      <c r="AN1046" s="87"/>
      <c r="AO1046" s="87"/>
      <c r="AP1046" s="87">
        <v>197</v>
      </c>
      <c r="AQ1046" s="87"/>
      <c r="AR1046" s="87"/>
      <c r="AS1046" s="87"/>
      <c r="AT1046" s="87"/>
      <c r="AU1046" s="87"/>
      <c r="AV1046" s="87"/>
      <c r="AW1046" s="88" t="str">
        <f>HYPERLINK("http://www.openstreetmap.org/?mlat=36.7735&amp;mlon=42.7863&amp;zoom=12#map=12/36.7735/42.7863","Maplink1")</f>
        <v>Maplink1</v>
      </c>
      <c r="AX1046" s="88" t="str">
        <f>HYPERLINK("https://www.google.iq/maps/search/+36.7735,42.7863/@36.7735,42.7863,14z?hl=en","Maplink2")</f>
        <v>Maplink2</v>
      </c>
      <c r="AY1046" s="88" t="str">
        <f>HYPERLINK("http://www.bing.com/maps/?lvl=14&amp;sty=h&amp;cp=36.7735~42.7863&amp;sp=point.36.7735_42.7863","Maplink3")</f>
        <v>Maplink3</v>
      </c>
      <c r="AZ1046" s="76"/>
    </row>
    <row r="1047" spans="1:52" x14ac:dyDescent="0.25">
      <c r="A1047" s="86">
        <v>25778</v>
      </c>
      <c r="B1047" s="87" t="s">
        <v>16</v>
      </c>
      <c r="C1047" s="87" t="s">
        <v>2074</v>
      </c>
      <c r="D1047" s="87" t="s">
        <v>2101</v>
      </c>
      <c r="E1047" s="87" t="s">
        <v>2102</v>
      </c>
      <c r="F1047" s="87">
        <v>36.873716487000003</v>
      </c>
      <c r="G1047" s="87">
        <v>42.887624795500003</v>
      </c>
      <c r="H1047" s="86">
        <v>21</v>
      </c>
      <c r="I1047" s="86">
        <v>126</v>
      </c>
      <c r="J1047" s="87"/>
      <c r="K1047" s="87"/>
      <c r="L1047" s="87"/>
      <c r="M1047" s="87"/>
      <c r="N1047" s="87"/>
      <c r="O1047" s="87"/>
      <c r="P1047" s="87"/>
      <c r="Q1047" s="87"/>
      <c r="R1047" s="87">
        <v>1</v>
      </c>
      <c r="S1047" s="87"/>
      <c r="T1047" s="87"/>
      <c r="U1047" s="87"/>
      <c r="V1047" s="87">
        <v>20</v>
      </c>
      <c r="W1047" s="87"/>
      <c r="X1047" s="87"/>
      <c r="Y1047" s="87"/>
      <c r="Z1047" s="87"/>
      <c r="AA1047" s="87"/>
      <c r="AB1047" s="87"/>
      <c r="AC1047" s="87">
        <v>2</v>
      </c>
      <c r="AD1047" s="87"/>
      <c r="AE1047" s="87"/>
      <c r="AF1047" s="87"/>
      <c r="AG1047" s="87"/>
      <c r="AH1047" s="87">
        <v>7</v>
      </c>
      <c r="AI1047" s="87"/>
      <c r="AJ1047" s="87"/>
      <c r="AK1047" s="87">
        <v>12</v>
      </c>
      <c r="AL1047" s="87"/>
      <c r="AM1047" s="87"/>
      <c r="AN1047" s="87"/>
      <c r="AO1047" s="87"/>
      <c r="AP1047" s="87">
        <v>14</v>
      </c>
      <c r="AQ1047" s="87"/>
      <c r="AR1047" s="87"/>
      <c r="AS1047" s="87"/>
      <c r="AT1047" s="87"/>
      <c r="AU1047" s="87">
        <v>7</v>
      </c>
      <c r="AV1047" s="87"/>
      <c r="AW1047" s="88" t="str">
        <f>HYPERLINK("http://www.openstreetmap.org/?mlat=36.8737&amp;mlon=42.8876&amp;zoom=12#map=12/36.8737/42.8876","Maplink1")</f>
        <v>Maplink1</v>
      </c>
      <c r="AX1047" s="88" t="str">
        <f>HYPERLINK("https://www.google.iq/maps/search/+36.8737,42.8876/@36.8737,42.8876,14z?hl=en","Maplink2")</f>
        <v>Maplink2</v>
      </c>
      <c r="AY1047" s="88" t="str">
        <f>HYPERLINK("http://www.bing.com/maps/?lvl=14&amp;sty=h&amp;cp=36.8737~42.8876&amp;sp=point.36.8737_42.8876","Maplink3")</f>
        <v>Maplink3</v>
      </c>
      <c r="AZ1047" s="76"/>
    </row>
    <row r="1048" spans="1:52" x14ac:dyDescent="0.25">
      <c r="A1048" s="86">
        <v>8015</v>
      </c>
      <c r="B1048" s="87" t="s">
        <v>16</v>
      </c>
      <c r="C1048" s="87" t="s">
        <v>2074</v>
      </c>
      <c r="D1048" s="87" t="s">
        <v>2103</v>
      </c>
      <c r="E1048" s="87" t="s">
        <v>2104</v>
      </c>
      <c r="F1048" s="87">
        <v>36.778960989799998</v>
      </c>
      <c r="G1048" s="87">
        <v>42.786559826800001</v>
      </c>
      <c r="H1048" s="86">
        <v>191</v>
      </c>
      <c r="I1048" s="86">
        <v>1146</v>
      </c>
      <c r="J1048" s="87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>
        <v>191</v>
      </c>
      <c r="W1048" s="87"/>
      <c r="X1048" s="87"/>
      <c r="Y1048" s="87"/>
      <c r="Z1048" s="87"/>
      <c r="AA1048" s="87"/>
      <c r="AB1048" s="87"/>
      <c r="AC1048" s="87">
        <v>102</v>
      </c>
      <c r="AD1048" s="87"/>
      <c r="AE1048" s="87"/>
      <c r="AF1048" s="87"/>
      <c r="AG1048" s="87"/>
      <c r="AH1048" s="87">
        <v>75</v>
      </c>
      <c r="AI1048" s="87"/>
      <c r="AJ1048" s="87"/>
      <c r="AK1048" s="87">
        <v>14</v>
      </c>
      <c r="AL1048" s="87"/>
      <c r="AM1048" s="87"/>
      <c r="AN1048" s="87"/>
      <c r="AO1048" s="87"/>
      <c r="AP1048" s="87">
        <v>191</v>
      </c>
      <c r="AQ1048" s="87"/>
      <c r="AR1048" s="87"/>
      <c r="AS1048" s="87"/>
      <c r="AT1048" s="87"/>
      <c r="AU1048" s="87"/>
      <c r="AV1048" s="87"/>
      <c r="AW1048" s="88" t="str">
        <f>HYPERLINK("http://www.openstreetmap.org/?mlat=36.779&amp;mlon=42.7866&amp;zoom=12#map=12/36.779/42.7866","Maplink1")</f>
        <v>Maplink1</v>
      </c>
      <c r="AX1048" s="88" t="str">
        <f>HYPERLINK("https://www.google.iq/maps/search/+36.779,42.7866/@36.779,42.7866,14z?hl=en","Maplink2")</f>
        <v>Maplink2</v>
      </c>
      <c r="AY1048" s="88" t="str">
        <f>HYPERLINK("http://www.bing.com/maps/?lvl=14&amp;sty=h&amp;cp=36.779~42.7866&amp;sp=point.36.779_42.7866","Maplink3")</f>
        <v>Maplink3</v>
      </c>
      <c r="AZ1048" s="76"/>
    </row>
    <row r="1049" spans="1:52" x14ac:dyDescent="0.25">
      <c r="A1049" s="86">
        <v>24794</v>
      </c>
      <c r="B1049" s="87" t="s">
        <v>16</v>
      </c>
      <c r="C1049" s="87" t="s">
        <v>2074</v>
      </c>
      <c r="D1049" s="87" t="s">
        <v>2105</v>
      </c>
      <c r="E1049" s="87" t="s">
        <v>2106</v>
      </c>
      <c r="F1049" s="87">
        <v>36.789299950999997</v>
      </c>
      <c r="G1049" s="87">
        <v>42.856610389300002</v>
      </c>
      <c r="H1049" s="86">
        <v>2590</v>
      </c>
      <c r="I1049" s="86">
        <v>15540</v>
      </c>
      <c r="J1049" s="87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>
        <v>2590</v>
      </c>
      <c r="W1049" s="87"/>
      <c r="X1049" s="87"/>
      <c r="Y1049" s="87"/>
      <c r="Z1049" s="87"/>
      <c r="AA1049" s="87"/>
      <c r="AB1049" s="87">
        <v>2590</v>
      </c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>
        <v>124</v>
      </c>
      <c r="AP1049" s="87">
        <v>2460</v>
      </c>
      <c r="AQ1049" s="87"/>
      <c r="AR1049" s="87"/>
      <c r="AS1049" s="87"/>
      <c r="AT1049" s="87"/>
      <c r="AU1049" s="87">
        <v>6</v>
      </c>
      <c r="AV1049" s="87"/>
      <c r="AW1049" s="88" t="str">
        <f>HYPERLINK("http://www.openstreetmap.org/?mlat=36.7893&amp;mlon=42.8566&amp;zoom=12#map=12/36.7893/42.8566","Maplink1")</f>
        <v>Maplink1</v>
      </c>
      <c r="AX1049" s="88" t="str">
        <f>HYPERLINK("https://www.google.iq/maps/search/+36.7893,42.8566/@36.7893,42.8566,14z?hl=en","Maplink2")</f>
        <v>Maplink2</v>
      </c>
      <c r="AY1049" s="88" t="str">
        <f>HYPERLINK("http://www.bing.com/maps/?lvl=14&amp;sty=h&amp;cp=36.7893~42.8566&amp;sp=point.36.7893_42.8566","Maplink3")</f>
        <v>Maplink3</v>
      </c>
      <c r="AZ1049" s="76"/>
    </row>
    <row r="1050" spans="1:52" x14ac:dyDescent="0.25">
      <c r="A1050" s="86">
        <v>24795</v>
      </c>
      <c r="B1050" s="87" t="s">
        <v>16</v>
      </c>
      <c r="C1050" s="87" t="s">
        <v>2074</v>
      </c>
      <c r="D1050" s="87" t="s">
        <v>2107</v>
      </c>
      <c r="E1050" s="87" t="s">
        <v>2108</v>
      </c>
      <c r="F1050" s="87">
        <v>36.787843520199999</v>
      </c>
      <c r="G1050" s="87">
        <v>42.856606522299998</v>
      </c>
      <c r="H1050" s="86">
        <v>2650</v>
      </c>
      <c r="I1050" s="86">
        <v>15900</v>
      </c>
      <c r="J1050" s="87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>
        <v>2650</v>
      </c>
      <c r="W1050" s="87"/>
      <c r="X1050" s="87"/>
      <c r="Y1050" s="87"/>
      <c r="Z1050" s="87"/>
      <c r="AA1050" s="87"/>
      <c r="AB1050" s="87">
        <v>2650</v>
      </c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>
        <v>2646</v>
      </c>
      <c r="AQ1050" s="87"/>
      <c r="AR1050" s="87"/>
      <c r="AS1050" s="87"/>
      <c r="AT1050" s="87"/>
      <c r="AU1050" s="87">
        <v>4</v>
      </c>
      <c r="AV1050" s="87"/>
      <c r="AW1050" s="88" t="str">
        <f>HYPERLINK("http://www.openstreetmap.org/?mlat=36.7878&amp;mlon=42.8566&amp;zoom=12#map=12/36.7878/42.8566","Maplink1")</f>
        <v>Maplink1</v>
      </c>
      <c r="AX1050" s="88" t="str">
        <f>HYPERLINK("https://www.google.iq/maps/search/+36.7878,42.8566/@36.7878,42.8566,14z?hl=en","Maplink2")</f>
        <v>Maplink2</v>
      </c>
      <c r="AY1050" s="88" t="str">
        <f>HYPERLINK("http://www.bing.com/maps/?lvl=14&amp;sty=h&amp;cp=36.7878~42.8566&amp;sp=point.36.7878_42.8566","Maplink3")</f>
        <v>Maplink3</v>
      </c>
      <c r="AZ1050" s="76"/>
    </row>
    <row r="1051" spans="1:52" x14ac:dyDescent="0.25">
      <c r="A1051" s="86">
        <v>27128</v>
      </c>
      <c r="B1051" s="87" t="s">
        <v>16</v>
      </c>
      <c r="C1051" s="87" t="s">
        <v>2074</v>
      </c>
      <c r="D1051" s="87" t="s">
        <v>2109</v>
      </c>
      <c r="E1051" s="87" t="s">
        <v>2110</v>
      </c>
      <c r="F1051" s="87">
        <v>36.765392144800003</v>
      </c>
      <c r="G1051" s="87">
        <v>42.763824431499998</v>
      </c>
      <c r="H1051" s="86">
        <v>29</v>
      </c>
      <c r="I1051" s="86">
        <v>174</v>
      </c>
      <c r="J1051" s="87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>
        <v>29</v>
      </c>
      <c r="W1051" s="87"/>
      <c r="X1051" s="87"/>
      <c r="Y1051" s="87"/>
      <c r="Z1051" s="87"/>
      <c r="AA1051" s="87"/>
      <c r="AB1051" s="87"/>
      <c r="AC1051" s="87">
        <v>7</v>
      </c>
      <c r="AD1051" s="87"/>
      <c r="AE1051" s="87"/>
      <c r="AF1051" s="87"/>
      <c r="AG1051" s="87"/>
      <c r="AH1051" s="87">
        <v>22</v>
      </c>
      <c r="AI1051" s="87"/>
      <c r="AJ1051" s="87"/>
      <c r="AK1051" s="87"/>
      <c r="AL1051" s="87"/>
      <c r="AM1051" s="87"/>
      <c r="AN1051" s="87"/>
      <c r="AO1051" s="87"/>
      <c r="AP1051" s="87">
        <v>29</v>
      </c>
      <c r="AQ1051" s="87"/>
      <c r="AR1051" s="87"/>
      <c r="AS1051" s="87"/>
      <c r="AT1051" s="87"/>
      <c r="AU1051" s="87"/>
      <c r="AV1051" s="87"/>
      <c r="AW1051" s="88" t="str">
        <f>HYPERLINK("http://www.openstreetmap.org/?mlat=36.7654&amp;mlon=42.7638&amp;zoom=12#map=12/36.7654/42.7638","Maplink1")</f>
        <v>Maplink1</v>
      </c>
      <c r="AX1051" s="88" t="str">
        <f>HYPERLINK("https://www.google.iq/maps/search/+36.7654,42.7638/@36.7654,42.7638,14z?hl=en","Maplink2")</f>
        <v>Maplink2</v>
      </c>
      <c r="AY1051" s="88" t="str">
        <f>HYPERLINK("http://www.bing.com/maps/?lvl=14&amp;sty=h&amp;cp=36.7654~42.7638&amp;sp=point.36.7654_42.7638","Maplink3")</f>
        <v>Maplink3</v>
      </c>
      <c r="AZ1051" s="76"/>
    </row>
    <row r="1052" spans="1:52" x14ac:dyDescent="0.25">
      <c r="A1052" s="86">
        <v>29614</v>
      </c>
      <c r="B1052" s="87" t="s">
        <v>16</v>
      </c>
      <c r="C1052" s="87" t="s">
        <v>2074</v>
      </c>
      <c r="D1052" s="87" t="s">
        <v>2111</v>
      </c>
      <c r="E1052" s="87" t="s">
        <v>2112</v>
      </c>
      <c r="F1052" s="87">
        <v>36.891445363099997</v>
      </c>
      <c r="G1052" s="87">
        <v>42.799012634100002</v>
      </c>
      <c r="H1052" s="86">
        <v>155</v>
      </c>
      <c r="I1052" s="86">
        <v>930</v>
      </c>
      <c r="J1052" s="87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>
        <v>155</v>
      </c>
      <c r="W1052" s="87"/>
      <c r="X1052" s="87"/>
      <c r="Y1052" s="87"/>
      <c r="Z1052" s="87"/>
      <c r="AA1052" s="87"/>
      <c r="AB1052" s="87"/>
      <c r="AC1052" s="87">
        <v>7</v>
      </c>
      <c r="AD1052" s="87"/>
      <c r="AE1052" s="87"/>
      <c r="AF1052" s="87"/>
      <c r="AG1052" s="87"/>
      <c r="AH1052" s="87">
        <v>148</v>
      </c>
      <c r="AI1052" s="87"/>
      <c r="AJ1052" s="87"/>
      <c r="AK1052" s="87"/>
      <c r="AL1052" s="87"/>
      <c r="AM1052" s="87"/>
      <c r="AN1052" s="87"/>
      <c r="AO1052" s="87">
        <v>25</v>
      </c>
      <c r="AP1052" s="87">
        <v>108</v>
      </c>
      <c r="AQ1052" s="87"/>
      <c r="AR1052" s="87"/>
      <c r="AS1052" s="87"/>
      <c r="AT1052" s="87"/>
      <c r="AU1052" s="87">
        <v>22</v>
      </c>
      <c r="AV1052" s="87"/>
      <c r="AW1052" s="88" t="str">
        <f>HYPERLINK("http://www.openstreetmap.org/?mlat=36.8914&amp;mlon=42.799&amp;zoom=12#map=12/36.8914/42.799","Maplink1")</f>
        <v>Maplink1</v>
      </c>
      <c r="AX1052" s="88" t="str">
        <f>HYPERLINK("https://www.google.iq/maps/search/+36.8914,42.799/@36.8914,42.799,14z?hl=en","Maplink2")</f>
        <v>Maplink2</v>
      </c>
      <c r="AY1052" s="88" t="str">
        <f>HYPERLINK("http://www.bing.com/maps/?lvl=14&amp;sty=h&amp;cp=36.8914~42.799&amp;sp=point.36.8914_42.799","Maplink3")</f>
        <v>Maplink3</v>
      </c>
      <c r="AZ1052" s="76"/>
    </row>
    <row r="1053" spans="1:52" x14ac:dyDescent="0.25">
      <c r="A1053" s="86">
        <v>8656</v>
      </c>
      <c r="B1053" s="87" t="s">
        <v>16</v>
      </c>
      <c r="C1053" s="87" t="s">
        <v>2074</v>
      </c>
      <c r="D1053" s="87" t="s">
        <v>2113</v>
      </c>
      <c r="E1053" s="87" t="s">
        <v>2114</v>
      </c>
      <c r="F1053" s="87">
        <v>36.778662151600003</v>
      </c>
      <c r="G1053" s="87">
        <v>42.774661869900001</v>
      </c>
      <c r="H1053" s="86">
        <v>2813</v>
      </c>
      <c r="I1053" s="86">
        <v>16878</v>
      </c>
      <c r="J1053" s="87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>
        <v>2813</v>
      </c>
      <c r="W1053" s="87"/>
      <c r="X1053" s="87"/>
      <c r="Y1053" s="87"/>
      <c r="Z1053" s="87"/>
      <c r="AA1053" s="87"/>
      <c r="AB1053" s="87">
        <v>2813</v>
      </c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>
        <v>2813</v>
      </c>
      <c r="AQ1053" s="87"/>
      <c r="AR1053" s="87"/>
      <c r="AS1053" s="87"/>
      <c r="AT1053" s="87"/>
      <c r="AU1053" s="87"/>
      <c r="AV1053" s="87"/>
      <c r="AW1053" s="88" t="str">
        <f>HYPERLINK("http://www.openstreetmap.org/?mlat=36.7787&amp;mlon=42.7747&amp;zoom=12#map=12/36.7787/42.7747","Maplink1")</f>
        <v>Maplink1</v>
      </c>
      <c r="AX1053" s="88" t="str">
        <f>HYPERLINK("https://www.google.iq/maps/search/+36.7787,42.7747/@36.7787,42.7747,14z?hl=en","Maplink2")</f>
        <v>Maplink2</v>
      </c>
      <c r="AY1053" s="88" t="str">
        <f>HYPERLINK("http://www.bing.com/maps/?lvl=14&amp;sty=h&amp;cp=36.7787~42.7747&amp;sp=point.36.7787_42.7747","Maplink3")</f>
        <v>Maplink3</v>
      </c>
      <c r="AZ1053" s="76"/>
    </row>
    <row r="1054" spans="1:52" x14ac:dyDescent="0.25">
      <c r="A1054" s="86">
        <v>27121</v>
      </c>
      <c r="B1054" s="87" t="s">
        <v>16</v>
      </c>
      <c r="C1054" s="87" t="s">
        <v>2074</v>
      </c>
      <c r="D1054" s="87" t="s">
        <v>2115</v>
      </c>
      <c r="E1054" s="87" t="s">
        <v>2116</v>
      </c>
      <c r="F1054" s="87">
        <v>36.770327889800001</v>
      </c>
      <c r="G1054" s="87">
        <v>42.775821164699998</v>
      </c>
      <c r="H1054" s="86">
        <v>351</v>
      </c>
      <c r="I1054" s="86">
        <v>2106</v>
      </c>
      <c r="J1054" s="87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>
        <v>351</v>
      </c>
      <c r="W1054" s="87"/>
      <c r="X1054" s="87"/>
      <c r="Y1054" s="87"/>
      <c r="Z1054" s="87"/>
      <c r="AA1054" s="87"/>
      <c r="AB1054" s="87"/>
      <c r="AC1054" s="87">
        <v>130</v>
      </c>
      <c r="AD1054" s="87"/>
      <c r="AE1054" s="87">
        <v>72</v>
      </c>
      <c r="AF1054" s="87"/>
      <c r="AG1054" s="87"/>
      <c r="AH1054" s="87">
        <v>7</v>
      </c>
      <c r="AI1054" s="87"/>
      <c r="AJ1054" s="87"/>
      <c r="AK1054" s="87">
        <v>142</v>
      </c>
      <c r="AL1054" s="87"/>
      <c r="AM1054" s="87"/>
      <c r="AN1054" s="87"/>
      <c r="AO1054" s="87"/>
      <c r="AP1054" s="87">
        <v>342</v>
      </c>
      <c r="AQ1054" s="87"/>
      <c r="AR1054" s="87"/>
      <c r="AS1054" s="87"/>
      <c r="AT1054" s="87"/>
      <c r="AU1054" s="87">
        <v>9</v>
      </c>
      <c r="AV1054" s="87"/>
      <c r="AW1054" s="88" t="str">
        <f>HYPERLINK("http://www.openstreetmap.org/?mlat=36.7703&amp;mlon=42.7758&amp;zoom=12#map=12/36.7703/42.7758","Maplink1")</f>
        <v>Maplink1</v>
      </c>
      <c r="AX1054" s="88" t="str">
        <f>HYPERLINK("https://www.google.iq/maps/search/+36.7703,42.7758/@36.7703,42.7758,14z?hl=en","Maplink2")</f>
        <v>Maplink2</v>
      </c>
      <c r="AY1054" s="88" t="str">
        <f>HYPERLINK("http://www.bing.com/maps/?lvl=14&amp;sty=h&amp;cp=36.7703~42.7758&amp;sp=point.36.7703_42.7758","Maplink3")</f>
        <v>Maplink3</v>
      </c>
      <c r="AZ1054" s="76"/>
    </row>
    <row r="1055" spans="1:52" x14ac:dyDescent="0.25">
      <c r="A1055" s="86">
        <v>8800</v>
      </c>
      <c r="B1055" s="87" t="s">
        <v>16</v>
      </c>
      <c r="C1055" s="87" t="s">
        <v>2074</v>
      </c>
      <c r="D1055" s="87" t="s">
        <v>2117</v>
      </c>
      <c r="E1055" s="87" t="s">
        <v>2118</v>
      </c>
      <c r="F1055" s="87">
        <v>36.775531989900003</v>
      </c>
      <c r="G1055" s="87">
        <v>42.783179920199998</v>
      </c>
      <c r="H1055" s="86">
        <v>281</v>
      </c>
      <c r="I1055" s="86">
        <v>1686</v>
      </c>
      <c r="J1055" s="87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>
        <v>281</v>
      </c>
      <c r="W1055" s="87"/>
      <c r="X1055" s="87"/>
      <c r="Y1055" s="87"/>
      <c r="Z1055" s="87"/>
      <c r="AA1055" s="87"/>
      <c r="AB1055" s="87"/>
      <c r="AC1055" s="87">
        <v>161</v>
      </c>
      <c r="AD1055" s="87"/>
      <c r="AE1055" s="87">
        <v>6</v>
      </c>
      <c r="AF1055" s="87"/>
      <c r="AG1055" s="87"/>
      <c r="AH1055" s="87">
        <v>24</v>
      </c>
      <c r="AI1055" s="87"/>
      <c r="AJ1055" s="87"/>
      <c r="AK1055" s="87">
        <v>90</v>
      </c>
      <c r="AL1055" s="87"/>
      <c r="AM1055" s="87"/>
      <c r="AN1055" s="87"/>
      <c r="AO1055" s="87"/>
      <c r="AP1055" s="87">
        <v>281</v>
      </c>
      <c r="AQ1055" s="87"/>
      <c r="AR1055" s="87"/>
      <c r="AS1055" s="87"/>
      <c r="AT1055" s="87"/>
      <c r="AU1055" s="87"/>
      <c r="AV1055" s="87"/>
      <c r="AW1055" s="88" t="str">
        <f>HYPERLINK("http://www.openstreetmap.org/?mlat=36.7755&amp;mlon=42.7832&amp;zoom=12#map=12/36.7755/42.7832","Maplink1")</f>
        <v>Maplink1</v>
      </c>
      <c r="AX1055" s="88" t="str">
        <f>HYPERLINK("https://www.google.iq/maps/search/+36.7755,42.7832/@36.7755,42.7832,14z?hl=en","Maplink2")</f>
        <v>Maplink2</v>
      </c>
      <c r="AY1055" s="88" t="str">
        <f>HYPERLINK("http://www.bing.com/maps/?lvl=14&amp;sty=h&amp;cp=36.7755~42.7832&amp;sp=point.36.7755_42.7832","Maplink3")</f>
        <v>Maplink3</v>
      </c>
      <c r="AZ1055" s="76"/>
    </row>
    <row r="1056" spans="1:52" x14ac:dyDescent="0.25">
      <c r="A1056" s="86">
        <v>8013</v>
      </c>
      <c r="B1056" s="87" t="s">
        <v>16</v>
      </c>
      <c r="C1056" s="87" t="s">
        <v>2074</v>
      </c>
      <c r="D1056" s="87" t="s">
        <v>2119</v>
      </c>
      <c r="E1056" s="87" t="s">
        <v>2120</v>
      </c>
      <c r="F1056" s="87">
        <v>36.910295444699997</v>
      </c>
      <c r="G1056" s="87">
        <v>42.7939173782</v>
      </c>
      <c r="H1056" s="86">
        <v>90</v>
      </c>
      <c r="I1056" s="86">
        <v>540</v>
      </c>
      <c r="J1056" s="87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>
        <v>90</v>
      </c>
      <c r="W1056" s="87"/>
      <c r="X1056" s="87"/>
      <c r="Y1056" s="87"/>
      <c r="Z1056" s="87"/>
      <c r="AA1056" s="87"/>
      <c r="AB1056" s="87"/>
      <c r="AC1056" s="87">
        <v>15</v>
      </c>
      <c r="AD1056" s="87"/>
      <c r="AE1056" s="87"/>
      <c r="AF1056" s="87"/>
      <c r="AG1056" s="87"/>
      <c r="AH1056" s="87">
        <v>45</v>
      </c>
      <c r="AI1056" s="87"/>
      <c r="AJ1056" s="87"/>
      <c r="AK1056" s="87"/>
      <c r="AL1056" s="87">
        <v>30</v>
      </c>
      <c r="AM1056" s="87"/>
      <c r="AN1056" s="87"/>
      <c r="AO1056" s="87">
        <v>10</v>
      </c>
      <c r="AP1056" s="87">
        <v>44</v>
      </c>
      <c r="AQ1056" s="87"/>
      <c r="AR1056" s="87"/>
      <c r="AS1056" s="87"/>
      <c r="AT1056" s="87"/>
      <c r="AU1056" s="87">
        <v>36</v>
      </c>
      <c r="AV1056" s="87"/>
      <c r="AW1056" s="88" t="str">
        <f>HYPERLINK("http://www.openstreetmap.org/?mlat=36.9103&amp;mlon=42.7939&amp;zoom=12#map=12/36.9103/42.7939","Maplink1")</f>
        <v>Maplink1</v>
      </c>
      <c r="AX1056" s="88" t="str">
        <f>HYPERLINK("https://www.google.iq/maps/search/+36.9103,42.7939/@36.9103,42.7939,14z?hl=en","Maplink2")</f>
        <v>Maplink2</v>
      </c>
      <c r="AY1056" s="88" t="str">
        <f>HYPERLINK("http://www.bing.com/maps/?lvl=14&amp;sty=h&amp;cp=36.9103~42.7939&amp;sp=point.36.9103_42.7939","Maplink3")</f>
        <v>Maplink3</v>
      </c>
      <c r="AZ1056" s="76"/>
    </row>
    <row r="1057" spans="1:52" x14ac:dyDescent="0.25">
      <c r="A1057" s="86">
        <v>8873</v>
      </c>
      <c r="B1057" s="87" t="s">
        <v>16</v>
      </c>
      <c r="C1057" s="87" t="s">
        <v>2074</v>
      </c>
      <c r="D1057" s="87" t="s">
        <v>2121</v>
      </c>
      <c r="E1057" s="87" t="s">
        <v>2122</v>
      </c>
      <c r="F1057" s="87">
        <v>36.8625503803</v>
      </c>
      <c r="G1057" s="87">
        <v>42.805201532600002</v>
      </c>
      <c r="H1057" s="86">
        <v>913</v>
      </c>
      <c r="I1057" s="86">
        <v>5478</v>
      </c>
      <c r="J1057" s="87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>
        <v>913</v>
      </c>
      <c r="W1057" s="87"/>
      <c r="X1057" s="87"/>
      <c r="Y1057" s="87"/>
      <c r="Z1057" s="87"/>
      <c r="AA1057" s="87"/>
      <c r="AB1057" s="87"/>
      <c r="AC1057" s="87">
        <v>207</v>
      </c>
      <c r="AD1057" s="87"/>
      <c r="AE1057" s="87"/>
      <c r="AF1057" s="87"/>
      <c r="AG1057" s="87"/>
      <c r="AH1057" s="87">
        <v>706</v>
      </c>
      <c r="AI1057" s="87"/>
      <c r="AJ1057" s="87"/>
      <c r="AK1057" s="87"/>
      <c r="AL1057" s="87"/>
      <c r="AM1057" s="87"/>
      <c r="AN1057" s="87"/>
      <c r="AO1057" s="87">
        <v>556</v>
      </c>
      <c r="AP1057" s="87">
        <v>212</v>
      </c>
      <c r="AQ1057" s="87"/>
      <c r="AR1057" s="87"/>
      <c r="AS1057" s="87"/>
      <c r="AT1057" s="87"/>
      <c r="AU1057" s="87">
        <v>145</v>
      </c>
      <c r="AV1057" s="87"/>
      <c r="AW1057" s="88" t="str">
        <f>HYPERLINK("http://www.openstreetmap.org/?mlat=36.8626&amp;mlon=42.8052&amp;zoom=12#map=12/36.8626/42.8052","Maplink1")</f>
        <v>Maplink1</v>
      </c>
      <c r="AX1057" s="88" t="str">
        <f>HYPERLINK("https://www.google.iq/maps/search/+36.8626,42.8052/@36.8626,42.8052,14z?hl=en","Maplink2")</f>
        <v>Maplink2</v>
      </c>
      <c r="AY1057" s="88" t="str">
        <f>HYPERLINK("http://www.bing.com/maps/?lvl=14&amp;sty=h&amp;cp=36.8626~42.8052&amp;sp=point.36.8626_42.8052","Maplink3")</f>
        <v>Maplink3</v>
      </c>
      <c r="AZ1057" s="76"/>
    </row>
    <row r="1058" spans="1:52" x14ac:dyDescent="0.25">
      <c r="A1058" s="86">
        <v>25622</v>
      </c>
      <c r="B1058" s="87" t="s">
        <v>16</v>
      </c>
      <c r="C1058" s="87" t="s">
        <v>2074</v>
      </c>
      <c r="D1058" s="87" t="s">
        <v>2123</v>
      </c>
      <c r="E1058" s="87" t="s">
        <v>2124</v>
      </c>
      <c r="F1058" s="87">
        <v>36.787637157699997</v>
      </c>
      <c r="G1058" s="87">
        <v>42.905020260599997</v>
      </c>
      <c r="H1058" s="86">
        <v>348</v>
      </c>
      <c r="I1058" s="86">
        <v>2088</v>
      </c>
      <c r="J1058" s="87"/>
      <c r="K1058" s="87"/>
      <c r="L1058" s="87">
        <v>1</v>
      </c>
      <c r="M1058" s="87"/>
      <c r="N1058" s="87"/>
      <c r="O1058" s="87"/>
      <c r="P1058" s="87"/>
      <c r="Q1058" s="87"/>
      <c r="R1058" s="87"/>
      <c r="S1058" s="87"/>
      <c r="T1058" s="87"/>
      <c r="U1058" s="87"/>
      <c r="V1058" s="87">
        <v>347</v>
      </c>
      <c r="W1058" s="87"/>
      <c r="X1058" s="87"/>
      <c r="Y1058" s="87"/>
      <c r="Z1058" s="87"/>
      <c r="AA1058" s="87"/>
      <c r="AB1058" s="87"/>
      <c r="AC1058" s="87">
        <v>3</v>
      </c>
      <c r="AD1058" s="87"/>
      <c r="AE1058" s="87"/>
      <c r="AF1058" s="87"/>
      <c r="AG1058" s="87"/>
      <c r="AH1058" s="87">
        <v>269</v>
      </c>
      <c r="AI1058" s="87"/>
      <c r="AJ1058" s="87"/>
      <c r="AK1058" s="87">
        <v>4</v>
      </c>
      <c r="AL1058" s="87">
        <v>72</v>
      </c>
      <c r="AM1058" s="87"/>
      <c r="AN1058" s="87"/>
      <c r="AO1058" s="87">
        <v>219</v>
      </c>
      <c r="AP1058" s="87">
        <v>123</v>
      </c>
      <c r="AQ1058" s="87"/>
      <c r="AR1058" s="87"/>
      <c r="AS1058" s="87"/>
      <c r="AT1058" s="87"/>
      <c r="AU1058" s="87">
        <v>6</v>
      </c>
      <c r="AV1058" s="87"/>
      <c r="AW1058" s="88" t="str">
        <f>HYPERLINK("http://www.openstreetmap.org/?mlat=36.7876&amp;mlon=42.905&amp;zoom=12#map=12/36.7876/42.905","Maplink1")</f>
        <v>Maplink1</v>
      </c>
      <c r="AX1058" s="88" t="str">
        <f>HYPERLINK("https://www.google.iq/maps/search/+36.7876,42.905/@36.7876,42.905,14z?hl=en","Maplink2")</f>
        <v>Maplink2</v>
      </c>
      <c r="AY1058" s="88" t="str">
        <f>HYPERLINK("http://www.bing.com/maps/?lvl=14&amp;sty=h&amp;cp=36.7876~42.905&amp;sp=point.36.7876_42.905","Maplink3")</f>
        <v>Maplink3</v>
      </c>
      <c r="AZ1058" s="76"/>
    </row>
    <row r="1059" spans="1:52" x14ac:dyDescent="0.25">
      <c r="A1059" s="86">
        <v>7990</v>
      </c>
      <c r="B1059" s="87" t="s">
        <v>16</v>
      </c>
      <c r="C1059" s="87" t="s">
        <v>2074</v>
      </c>
      <c r="D1059" s="87" t="s">
        <v>2125</v>
      </c>
      <c r="E1059" s="87" t="s">
        <v>2126</v>
      </c>
      <c r="F1059" s="87">
        <v>36.738826726600003</v>
      </c>
      <c r="G1059" s="87">
        <v>42.884281270099997</v>
      </c>
      <c r="H1059" s="86">
        <v>12</v>
      </c>
      <c r="I1059" s="86">
        <v>72</v>
      </c>
      <c r="J1059" s="87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>
        <v>12</v>
      </c>
      <c r="W1059" s="87"/>
      <c r="X1059" s="87"/>
      <c r="Y1059" s="87"/>
      <c r="Z1059" s="87"/>
      <c r="AA1059" s="87"/>
      <c r="AB1059" s="87"/>
      <c r="AC1059" s="87">
        <v>4</v>
      </c>
      <c r="AD1059" s="87"/>
      <c r="AE1059" s="87"/>
      <c r="AF1059" s="87"/>
      <c r="AG1059" s="87"/>
      <c r="AH1059" s="87">
        <v>5</v>
      </c>
      <c r="AI1059" s="87"/>
      <c r="AJ1059" s="87"/>
      <c r="AK1059" s="87">
        <v>3</v>
      </c>
      <c r="AL1059" s="87"/>
      <c r="AM1059" s="87"/>
      <c r="AN1059" s="87"/>
      <c r="AO1059" s="87">
        <v>9</v>
      </c>
      <c r="AP1059" s="87"/>
      <c r="AQ1059" s="87"/>
      <c r="AR1059" s="87"/>
      <c r="AS1059" s="87"/>
      <c r="AT1059" s="87"/>
      <c r="AU1059" s="87">
        <v>3</v>
      </c>
      <c r="AV1059" s="87"/>
      <c r="AW1059" s="88" t="str">
        <f>HYPERLINK("http://www.openstreetmap.org/?mlat=36.7388&amp;mlon=42.8843&amp;zoom=12#map=12/36.7388/42.8843","Maplink1")</f>
        <v>Maplink1</v>
      </c>
      <c r="AX1059" s="88" t="str">
        <f>HYPERLINK("https://www.google.iq/maps/search/+36.7388,42.8843/@36.7388,42.8843,14z?hl=en","Maplink2")</f>
        <v>Maplink2</v>
      </c>
      <c r="AY1059" s="88" t="str">
        <f>HYPERLINK("http://www.bing.com/maps/?lvl=14&amp;sty=h&amp;cp=36.7388~42.8843&amp;sp=point.36.7388_42.8843","Maplink3")</f>
        <v>Maplink3</v>
      </c>
      <c r="AZ1059" s="76"/>
    </row>
    <row r="1060" spans="1:52" x14ac:dyDescent="0.25">
      <c r="A1060" s="86">
        <v>29597</v>
      </c>
      <c r="B1060" s="87" t="s">
        <v>16</v>
      </c>
      <c r="C1060" s="87" t="s">
        <v>2074</v>
      </c>
      <c r="D1060" s="87" t="s">
        <v>2127</v>
      </c>
      <c r="E1060" s="87" t="s">
        <v>2128</v>
      </c>
      <c r="F1060" s="87">
        <v>36.870543205499999</v>
      </c>
      <c r="G1060" s="87">
        <v>42.891361300299998</v>
      </c>
      <c r="H1060" s="86">
        <v>12</v>
      </c>
      <c r="I1060" s="86">
        <v>72</v>
      </c>
      <c r="J1060" s="87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>
        <v>12</v>
      </c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>
        <v>12</v>
      </c>
      <c r="AI1060" s="87"/>
      <c r="AJ1060" s="87"/>
      <c r="AK1060" s="87"/>
      <c r="AL1060" s="87"/>
      <c r="AM1060" s="87"/>
      <c r="AN1060" s="87"/>
      <c r="AO1060" s="87">
        <v>8</v>
      </c>
      <c r="AP1060" s="87">
        <v>4</v>
      </c>
      <c r="AQ1060" s="87"/>
      <c r="AR1060" s="87"/>
      <c r="AS1060" s="87"/>
      <c r="AT1060" s="87"/>
      <c r="AU1060" s="87"/>
      <c r="AV1060" s="87"/>
      <c r="AW1060" s="88" t="str">
        <f>HYPERLINK("http://www.openstreetmap.org/?mlat=36.8705&amp;mlon=42.8914&amp;zoom=12#map=12/36.8705/42.8914","Maplink1")</f>
        <v>Maplink1</v>
      </c>
      <c r="AX1060" s="88" t="str">
        <f>HYPERLINK("https://www.google.iq/maps/search/+36.8705,42.8914/@36.8705,42.8914,14z?hl=en","Maplink2")</f>
        <v>Maplink2</v>
      </c>
      <c r="AY1060" s="88" t="str">
        <f>HYPERLINK("http://www.bing.com/maps/?lvl=14&amp;sty=h&amp;cp=36.8705~42.8914&amp;sp=point.36.8705_42.8914","Maplink3")</f>
        <v>Maplink3</v>
      </c>
      <c r="AZ1060" s="76"/>
    </row>
    <row r="1061" spans="1:52" x14ac:dyDescent="0.25">
      <c r="A1061" s="86">
        <v>27124</v>
      </c>
      <c r="B1061" s="87" t="s">
        <v>16</v>
      </c>
      <c r="C1061" s="87" t="s">
        <v>2074</v>
      </c>
      <c r="D1061" s="87" t="s">
        <v>2129</v>
      </c>
      <c r="E1061" s="87" t="s">
        <v>2130</v>
      </c>
      <c r="F1061" s="87">
        <v>36.785851521600001</v>
      </c>
      <c r="G1061" s="87">
        <v>42.780148310599998</v>
      </c>
      <c r="H1061" s="86">
        <v>420</v>
      </c>
      <c r="I1061" s="86">
        <v>2520</v>
      </c>
      <c r="J1061" s="87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>
        <v>420</v>
      </c>
      <c r="W1061" s="87"/>
      <c r="X1061" s="87"/>
      <c r="Y1061" s="87"/>
      <c r="Z1061" s="87"/>
      <c r="AA1061" s="87"/>
      <c r="AB1061" s="87"/>
      <c r="AC1061" s="87"/>
      <c r="AD1061" s="87"/>
      <c r="AE1061" s="87">
        <v>172</v>
      </c>
      <c r="AF1061" s="87"/>
      <c r="AG1061" s="87"/>
      <c r="AH1061" s="87">
        <v>23</v>
      </c>
      <c r="AI1061" s="87"/>
      <c r="AJ1061" s="87"/>
      <c r="AK1061" s="87">
        <v>225</v>
      </c>
      <c r="AL1061" s="87"/>
      <c r="AM1061" s="87"/>
      <c r="AN1061" s="87"/>
      <c r="AO1061" s="87"/>
      <c r="AP1061" s="87">
        <v>420</v>
      </c>
      <c r="AQ1061" s="87"/>
      <c r="AR1061" s="87"/>
      <c r="AS1061" s="87"/>
      <c r="AT1061" s="87"/>
      <c r="AU1061" s="87"/>
      <c r="AV1061" s="87"/>
      <c r="AW1061" s="88" t="str">
        <f>HYPERLINK("http://www.openstreetmap.org/?mlat=36.7859&amp;mlon=42.7801&amp;zoom=12#map=12/36.7859/42.7801","Maplink1")</f>
        <v>Maplink1</v>
      </c>
      <c r="AX1061" s="88" t="str">
        <f>HYPERLINK("https://www.google.iq/maps/search/+36.7859,42.7801/@36.7859,42.7801,14z?hl=en","Maplink2")</f>
        <v>Maplink2</v>
      </c>
      <c r="AY1061" s="88" t="str">
        <f>HYPERLINK("http://www.bing.com/maps/?lvl=14&amp;sty=h&amp;cp=36.7859~42.7801&amp;sp=point.36.7859_42.7801","Maplink3")</f>
        <v>Maplink3</v>
      </c>
      <c r="AZ1061" s="76"/>
    </row>
    <row r="1062" spans="1:52" x14ac:dyDescent="0.25">
      <c r="A1062" s="86">
        <v>27127</v>
      </c>
      <c r="B1062" s="87" t="s">
        <v>16</v>
      </c>
      <c r="C1062" s="87" t="s">
        <v>2074</v>
      </c>
      <c r="D1062" s="87" t="s">
        <v>2131</v>
      </c>
      <c r="E1062" s="87" t="s">
        <v>2132</v>
      </c>
      <c r="F1062" s="87">
        <v>36.803173896099999</v>
      </c>
      <c r="G1062" s="87">
        <v>42.773560556900001</v>
      </c>
      <c r="H1062" s="86">
        <v>62</v>
      </c>
      <c r="I1062" s="86">
        <v>372</v>
      </c>
      <c r="J1062" s="87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>
        <v>62</v>
      </c>
      <c r="W1062" s="87"/>
      <c r="X1062" s="87"/>
      <c r="Y1062" s="87"/>
      <c r="Z1062" s="87"/>
      <c r="AA1062" s="87"/>
      <c r="AB1062" s="87"/>
      <c r="AC1062" s="87"/>
      <c r="AD1062" s="87"/>
      <c r="AE1062" s="87">
        <v>58</v>
      </c>
      <c r="AF1062" s="87"/>
      <c r="AG1062" s="87"/>
      <c r="AH1062" s="87"/>
      <c r="AI1062" s="87"/>
      <c r="AJ1062" s="87"/>
      <c r="AK1062" s="87">
        <v>4</v>
      </c>
      <c r="AL1062" s="87"/>
      <c r="AM1062" s="87"/>
      <c r="AN1062" s="87"/>
      <c r="AO1062" s="87"/>
      <c r="AP1062" s="87">
        <v>62</v>
      </c>
      <c r="AQ1062" s="87"/>
      <c r="AR1062" s="87"/>
      <c r="AS1062" s="87"/>
      <c r="AT1062" s="87"/>
      <c r="AU1062" s="87"/>
      <c r="AV1062" s="87"/>
      <c r="AW1062" s="88" t="str">
        <f>HYPERLINK("http://www.openstreetmap.org/?mlat=36.8032&amp;mlon=42.7736&amp;zoom=12#map=12/36.8032/42.7736","Maplink1")</f>
        <v>Maplink1</v>
      </c>
      <c r="AX1062" s="88" t="str">
        <f>HYPERLINK("https://www.google.iq/maps/search/+36.8032,42.7736/@36.8032,42.7736,14z?hl=en","Maplink2")</f>
        <v>Maplink2</v>
      </c>
      <c r="AY1062" s="88" t="str">
        <f>HYPERLINK("http://www.bing.com/maps/?lvl=14&amp;sty=h&amp;cp=36.8032~42.7736&amp;sp=point.36.8032_42.7736","Maplink3")</f>
        <v>Maplink3</v>
      </c>
      <c r="AZ1062" s="76"/>
    </row>
    <row r="1063" spans="1:52" x14ac:dyDescent="0.25">
      <c r="A1063" s="86">
        <v>27125</v>
      </c>
      <c r="B1063" s="87" t="s">
        <v>16</v>
      </c>
      <c r="C1063" s="87" t="s">
        <v>2074</v>
      </c>
      <c r="D1063" s="87" t="s">
        <v>2133</v>
      </c>
      <c r="E1063" s="87" t="s">
        <v>2134</v>
      </c>
      <c r="F1063" s="87">
        <v>36.821020519100003</v>
      </c>
      <c r="G1063" s="87">
        <v>42.807319363300003</v>
      </c>
      <c r="H1063" s="86">
        <v>158</v>
      </c>
      <c r="I1063" s="86">
        <v>948</v>
      </c>
      <c r="J1063" s="87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>
        <v>158</v>
      </c>
      <c r="W1063" s="87"/>
      <c r="X1063" s="87"/>
      <c r="Y1063" s="87"/>
      <c r="Z1063" s="87"/>
      <c r="AA1063" s="87"/>
      <c r="AB1063" s="87"/>
      <c r="AC1063" s="87">
        <v>10</v>
      </c>
      <c r="AD1063" s="87"/>
      <c r="AE1063" s="87">
        <v>25</v>
      </c>
      <c r="AF1063" s="87"/>
      <c r="AG1063" s="87"/>
      <c r="AH1063" s="87">
        <v>4</v>
      </c>
      <c r="AI1063" s="87"/>
      <c r="AJ1063" s="87"/>
      <c r="AK1063" s="87">
        <v>119</v>
      </c>
      <c r="AL1063" s="87"/>
      <c r="AM1063" s="87"/>
      <c r="AN1063" s="87"/>
      <c r="AO1063" s="87"/>
      <c r="AP1063" s="87">
        <v>158</v>
      </c>
      <c r="AQ1063" s="87"/>
      <c r="AR1063" s="87"/>
      <c r="AS1063" s="87"/>
      <c r="AT1063" s="87"/>
      <c r="AU1063" s="87"/>
      <c r="AV1063" s="87"/>
      <c r="AW1063" s="88" t="str">
        <f>HYPERLINK("http://www.openstreetmap.org/?mlat=36.821&amp;mlon=42.8073&amp;zoom=12#map=12/36.821/42.8073","Maplink1")</f>
        <v>Maplink1</v>
      </c>
      <c r="AX1063" s="88" t="str">
        <f>HYPERLINK("https://www.google.iq/maps/search/+36.821,42.8073/@36.821,42.8073,14z?hl=en","Maplink2")</f>
        <v>Maplink2</v>
      </c>
      <c r="AY1063" s="88" t="str">
        <f>HYPERLINK("http://www.bing.com/maps/?lvl=14&amp;sty=h&amp;cp=36.821~42.8073&amp;sp=point.36.821_42.8073","Maplink3")</f>
        <v>Maplink3</v>
      </c>
      <c r="AZ1063" s="76"/>
    </row>
    <row r="1064" spans="1:52" x14ac:dyDescent="0.25">
      <c r="A1064" s="86">
        <v>27130</v>
      </c>
      <c r="B1064" s="87" t="s">
        <v>16</v>
      </c>
      <c r="C1064" s="87" t="s">
        <v>2074</v>
      </c>
      <c r="D1064" s="87" t="s">
        <v>2135</v>
      </c>
      <c r="E1064" s="87" t="s">
        <v>2136</v>
      </c>
      <c r="F1064" s="87">
        <v>36.808501343400003</v>
      </c>
      <c r="G1064" s="87">
        <v>42.823719408899997</v>
      </c>
      <c r="H1064" s="86">
        <v>65</v>
      </c>
      <c r="I1064" s="86">
        <v>390</v>
      </c>
      <c r="J1064" s="87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>
        <v>65</v>
      </c>
      <c r="W1064" s="87"/>
      <c r="X1064" s="87"/>
      <c r="Y1064" s="87"/>
      <c r="Z1064" s="87"/>
      <c r="AA1064" s="87"/>
      <c r="AB1064" s="87"/>
      <c r="AC1064" s="87">
        <v>24</v>
      </c>
      <c r="AD1064" s="87"/>
      <c r="AE1064" s="87"/>
      <c r="AF1064" s="87"/>
      <c r="AG1064" s="87"/>
      <c r="AH1064" s="87">
        <v>20</v>
      </c>
      <c r="AI1064" s="87"/>
      <c r="AJ1064" s="87"/>
      <c r="AK1064" s="87">
        <v>21</v>
      </c>
      <c r="AL1064" s="87"/>
      <c r="AM1064" s="87"/>
      <c r="AN1064" s="87"/>
      <c r="AO1064" s="87"/>
      <c r="AP1064" s="87">
        <v>65</v>
      </c>
      <c r="AQ1064" s="87"/>
      <c r="AR1064" s="87"/>
      <c r="AS1064" s="87"/>
      <c r="AT1064" s="87"/>
      <c r="AU1064" s="87"/>
      <c r="AV1064" s="87"/>
      <c r="AW1064" s="88" t="str">
        <f>HYPERLINK("http://www.openstreetmap.org/?mlat=36.8085&amp;mlon=42.8237&amp;zoom=12#map=12/36.8085/42.8237","Maplink1")</f>
        <v>Maplink1</v>
      </c>
      <c r="AX1064" s="88" t="str">
        <f>HYPERLINK("https://www.google.iq/maps/search/+36.8085,42.8237/@36.8085,42.8237,14z?hl=en","Maplink2")</f>
        <v>Maplink2</v>
      </c>
      <c r="AY1064" s="88" t="str">
        <f>HYPERLINK("http://www.bing.com/maps/?lvl=14&amp;sty=h&amp;cp=36.8085~42.8237&amp;sp=point.36.8085_42.8237","Maplink3")</f>
        <v>Maplink3</v>
      </c>
      <c r="AZ1064" s="76"/>
    </row>
    <row r="1065" spans="1:52" x14ac:dyDescent="0.25">
      <c r="A1065" s="86">
        <v>27123</v>
      </c>
      <c r="B1065" s="87" t="s">
        <v>16</v>
      </c>
      <c r="C1065" s="87" t="s">
        <v>2074</v>
      </c>
      <c r="D1065" s="87" t="s">
        <v>2137</v>
      </c>
      <c r="E1065" s="87" t="s">
        <v>2138</v>
      </c>
      <c r="F1065" s="87">
        <v>36.776170083899999</v>
      </c>
      <c r="G1065" s="87">
        <v>42.7937836232</v>
      </c>
      <c r="H1065" s="86">
        <v>211</v>
      </c>
      <c r="I1065" s="86">
        <v>1266</v>
      </c>
      <c r="J1065" s="87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>
        <v>211</v>
      </c>
      <c r="W1065" s="87"/>
      <c r="X1065" s="87"/>
      <c r="Y1065" s="87"/>
      <c r="Z1065" s="87"/>
      <c r="AA1065" s="87"/>
      <c r="AB1065" s="87"/>
      <c r="AC1065" s="87">
        <v>172</v>
      </c>
      <c r="AD1065" s="87"/>
      <c r="AE1065" s="87"/>
      <c r="AF1065" s="87"/>
      <c r="AG1065" s="87"/>
      <c r="AH1065" s="87">
        <v>12</v>
      </c>
      <c r="AI1065" s="87"/>
      <c r="AJ1065" s="87"/>
      <c r="AK1065" s="87">
        <v>27</v>
      </c>
      <c r="AL1065" s="87"/>
      <c r="AM1065" s="87"/>
      <c r="AN1065" s="87"/>
      <c r="AO1065" s="87"/>
      <c r="AP1065" s="87">
        <v>211</v>
      </c>
      <c r="AQ1065" s="87"/>
      <c r="AR1065" s="87"/>
      <c r="AS1065" s="87"/>
      <c r="AT1065" s="87"/>
      <c r="AU1065" s="87"/>
      <c r="AV1065" s="87"/>
      <c r="AW1065" s="88" t="str">
        <f>HYPERLINK("http://www.openstreetmap.org/?mlat=36.7762&amp;mlon=42.7938&amp;zoom=12#map=12/36.7762/42.7938","Maplink1")</f>
        <v>Maplink1</v>
      </c>
      <c r="AX1065" s="88" t="str">
        <f>HYPERLINK("https://www.google.iq/maps/search/+36.7762,42.7938/@36.7762,42.7938,14z?hl=en","Maplink2")</f>
        <v>Maplink2</v>
      </c>
      <c r="AY1065" s="88" t="str">
        <f>HYPERLINK("http://www.bing.com/maps/?lvl=14&amp;sty=h&amp;cp=36.7762~42.7938&amp;sp=point.36.7762_42.7938","Maplink3")</f>
        <v>Maplink3</v>
      </c>
      <c r="AZ1065" s="76"/>
    </row>
    <row r="1066" spans="1:52" x14ac:dyDescent="0.25">
      <c r="A1066" s="86">
        <v>8582</v>
      </c>
      <c r="B1066" s="87" t="s">
        <v>16</v>
      </c>
      <c r="C1066" s="87" t="s">
        <v>2074</v>
      </c>
      <c r="D1066" s="87" t="s">
        <v>2139</v>
      </c>
      <c r="E1066" s="87" t="s">
        <v>2140</v>
      </c>
      <c r="F1066" s="87">
        <v>36.788165241199998</v>
      </c>
      <c r="G1066" s="87">
        <v>42.788784571800001</v>
      </c>
      <c r="H1066" s="86">
        <v>553</v>
      </c>
      <c r="I1066" s="86">
        <v>3318</v>
      </c>
      <c r="J1066" s="87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>
        <v>553</v>
      </c>
      <c r="W1066" s="87"/>
      <c r="X1066" s="87"/>
      <c r="Y1066" s="87"/>
      <c r="Z1066" s="87"/>
      <c r="AA1066" s="87"/>
      <c r="AB1066" s="87"/>
      <c r="AC1066" s="87">
        <v>136</v>
      </c>
      <c r="AD1066" s="87"/>
      <c r="AE1066" s="87">
        <v>345</v>
      </c>
      <c r="AF1066" s="87"/>
      <c r="AG1066" s="87"/>
      <c r="AH1066" s="87">
        <v>20</v>
      </c>
      <c r="AI1066" s="87"/>
      <c r="AJ1066" s="87"/>
      <c r="AK1066" s="87">
        <v>52</v>
      </c>
      <c r="AL1066" s="87"/>
      <c r="AM1066" s="87"/>
      <c r="AN1066" s="87"/>
      <c r="AO1066" s="87"/>
      <c r="AP1066" s="87">
        <v>553</v>
      </c>
      <c r="AQ1066" s="87"/>
      <c r="AR1066" s="87"/>
      <c r="AS1066" s="87"/>
      <c r="AT1066" s="87"/>
      <c r="AU1066" s="87"/>
      <c r="AV1066" s="87"/>
      <c r="AW1066" s="88" t="str">
        <f>HYPERLINK("http://www.openstreetmap.org/?mlat=36.7882&amp;mlon=42.7888&amp;zoom=12#map=12/36.7882/42.7888","Maplink1")</f>
        <v>Maplink1</v>
      </c>
      <c r="AX1066" s="88" t="str">
        <f>HYPERLINK("https://www.google.iq/maps/search/+36.7882,42.7888/@36.7882,42.7888,14z?hl=en","Maplink2")</f>
        <v>Maplink2</v>
      </c>
      <c r="AY1066" s="88" t="str">
        <f>HYPERLINK("http://www.bing.com/maps/?lvl=14&amp;sty=h&amp;cp=36.7882~42.7888&amp;sp=point.36.7882_42.7888","Maplink3")</f>
        <v>Maplink3</v>
      </c>
      <c r="AZ1066" s="76"/>
    </row>
    <row r="1067" spans="1:52" x14ac:dyDescent="0.25">
      <c r="A1067" s="86">
        <v>25776</v>
      </c>
      <c r="B1067" s="87" t="s">
        <v>16</v>
      </c>
      <c r="C1067" s="87" t="s">
        <v>2074</v>
      </c>
      <c r="D1067" s="87" t="s">
        <v>2141</v>
      </c>
      <c r="E1067" s="87" t="s">
        <v>2142</v>
      </c>
      <c r="F1067" s="87">
        <v>36.8632978833</v>
      </c>
      <c r="G1067" s="87">
        <v>42.897597697499997</v>
      </c>
      <c r="H1067" s="86">
        <v>116</v>
      </c>
      <c r="I1067" s="86">
        <v>696</v>
      </c>
      <c r="J1067" s="87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>
        <v>116</v>
      </c>
      <c r="W1067" s="87"/>
      <c r="X1067" s="87"/>
      <c r="Y1067" s="87"/>
      <c r="Z1067" s="87"/>
      <c r="AA1067" s="87"/>
      <c r="AB1067" s="87"/>
      <c r="AC1067" s="87">
        <v>20</v>
      </c>
      <c r="AD1067" s="87"/>
      <c r="AE1067" s="87"/>
      <c r="AF1067" s="87"/>
      <c r="AG1067" s="87"/>
      <c r="AH1067" s="87">
        <v>96</v>
      </c>
      <c r="AI1067" s="87"/>
      <c r="AJ1067" s="87"/>
      <c r="AK1067" s="87"/>
      <c r="AL1067" s="87"/>
      <c r="AM1067" s="87"/>
      <c r="AN1067" s="87"/>
      <c r="AO1067" s="87">
        <v>55</v>
      </c>
      <c r="AP1067" s="87">
        <v>61</v>
      </c>
      <c r="AQ1067" s="87"/>
      <c r="AR1067" s="87"/>
      <c r="AS1067" s="87"/>
      <c r="AT1067" s="87"/>
      <c r="AU1067" s="87"/>
      <c r="AV1067" s="87"/>
      <c r="AW1067" s="88" t="str">
        <f>HYPERLINK("http://www.openstreetmap.org/?mlat=36.8633&amp;mlon=42.8976&amp;zoom=12#map=12/36.8633/42.8976","Maplink1")</f>
        <v>Maplink1</v>
      </c>
      <c r="AX1067" s="88" t="str">
        <f>HYPERLINK("https://www.google.iq/maps/search/+36.8633,42.8976/@36.8633,42.8976,14z?hl=en","Maplink2")</f>
        <v>Maplink2</v>
      </c>
      <c r="AY1067" s="88" t="str">
        <f>HYPERLINK("http://www.bing.com/maps/?lvl=14&amp;sty=h&amp;cp=36.8633~42.8976&amp;sp=point.36.8633_42.8976","Maplink3")</f>
        <v>Maplink3</v>
      </c>
      <c r="AZ1067" s="76"/>
    </row>
    <row r="1068" spans="1:52" x14ac:dyDescent="0.25">
      <c r="A1068" s="86">
        <v>8366</v>
      </c>
      <c r="B1068" s="87" t="s">
        <v>16</v>
      </c>
      <c r="C1068" s="87" t="s">
        <v>2074</v>
      </c>
      <c r="D1068" s="87" t="s">
        <v>2143</v>
      </c>
      <c r="E1068" s="87" t="s">
        <v>2144</v>
      </c>
      <c r="F1068" s="87">
        <v>36.781258844699998</v>
      </c>
      <c r="G1068" s="87">
        <v>42.788149492499997</v>
      </c>
      <c r="H1068" s="86">
        <v>251</v>
      </c>
      <c r="I1068" s="86">
        <v>1506</v>
      </c>
      <c r="J1068" s="87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>
        <v>251</v>
      </c>
      <c r="W1068" s="87"/>
      <c r="X1068" s="87"/>
      <c r="Y1068" s="87"/>
      <c r="Z1068" s="87"/>
      <c r="AA1068" s="87"/>
      <c r="AB1068" s="87"/>
      <c r="AC1068" s="87">
        <v>140</v>
      </c>
      <c r="AD1068" s="87"/>
      <c r="AE1068" s="87"/>
      <c r="AF1068" s="87"/>
      <c r="AG1068" s="87"/>
      <c r="AH1068" s="87">
        <v>57</v>
      </c>
      <c r="AI1068" s="87"/>
      <c r="AJ1068" s="87"/>
      <c r="AK1068" s="87">
        <v>54</v>
      </c>
      <c r="AL1068" s="87"/>
      <c r="AM1068" s="87"/>
      <c r="AN1068" s="87"/>
      <c r="AO1068" s="87"/>
      <c r="AP1068" s="87">
        <v>251</v>
      </c>
      <c r="AQ1068" s="87"/>
      <c r="AR1068" s="87"/>
      <c r="AS1068" s="87"/>
      <c r="AT1068" s="87"/>
      <c r="AU1068" s="87"/>
      <c r="AV1068" s="87"/>
      <c r="AW1068" s="88" t="str">
        <f>HYPERLINK("http://www.openstreetmap.org/?mlat=36.7813&amp;mlon=42.7881&amp;zoom=12#map=12/36.7813/42.7881","Maplink1")</f>
        <v>Maplink1</v>
      </c>
      <c r="AX1068" s="88" t="str">
        <f>HYPERLINK("https://www.google.iq/maps/search/+36.7813,42.7881/@36.7813,42.7881,14z?hl=en","Maplink2")</f>
        <v>Maplink2</v>
      </c>
      <c r="AY1068" s="88" t="str">
        <f>HYPERLINK("http://www.bing.com/maps/?lvl=14&amp;sty=h&amp;cp=36.7813~42.7881&amp;sp=point.36.7813_42.7881","Maplink3")</f>
        <v>Maplink3</v>
      </c>
      <c r="AZ1068" s="76"/>
    </row>
    <row r="1069" spans="1:52" x14ac:dyDescent="0.25">
      <c r="A1069" s="86">
        <v>24791</v>
      </c>
      <c r="B1069" s="87" t="s">
        <v>16</v>
      </c>
      <c r="C1069" s="87" t="s">
        <v>2074</v>
      </c>
      <c r="D1069" s="87" t="s">
        <v>2145</v>
      </c>
      <c r="E1069" s="87" t="s">
        <v>2146</v>
      </c>
      <c r="F1069" s="87">
        <v>37.058335498300004</v>
      </c>
      <c r="G1069" s="87">
        <v>42.619139734999997</v>
      </c>
      <c r="H1069" s="86">
        <v>2612</v>
      </c>
      <c r="I1069" s="86">
        <v>15672</v>
      </c>
      <c r="J1069" s="87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>
        <v>2612</v>
      </c>
      <c r="W1069" s="87"/>
      <c r="X1069" s="87"/>
      <c r="Y1069" s="87"/>
      <c r="Z1069" s="87"/>
      <c r="AA1069" s="87"/>
      <c r="AB1069" s="87">
        <v>2612</v>
      </c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>
        <v>2612</v>
      </c>
      <c r="AQ1069" s="87"/>
      <c r="AR1069" s="87"/>
      <c r="AS1069" s="87"/>
      <c r="AT1069" s="87"/>
      <c r="AU1069" s="87"/>
      <c r="AV1069" s="87"/>
      <c r="AW1069" s="88" t="str">
        <f>HYPERLINK("http://www.openstreetmap.org/?mlat=37.0583&amp;mlon=42.6191&amp;zoom=12#map=12/37.0583/42.6191","Maplink1")</f>
        <v>Maplink1</v>
      </c>
      <c r="AX1069" s="88" t="str">
        <f>HYPERLINK("https://www.google.iq/maps/search/+37.0583,42.6191/@37.0583,42.6191,14z?hl=en","Maplink2")</f>
        <v>Maplink2</v>
      </c>
      <c r="AY1069" s="88" t="str">
        <f>HYPERLINK("http://www.bing.com/maps/?lvl=14&amp;sty=h&amp;cp=37.0583~42.6191&amp;sp=point.37.0583_42.6191","Maplink3")</f>
        <v>Maplink3</v>
      </c>
      <c r="AZ1069" s="76"/>
    </row>
    <row r="1070" spans="1:52" x14ac:dyDescent="0.25">
      <c r="A1070" s="86">
        <v>7989</v>
      </c>
      <c r="B1070" s="87" t="s">
        <v>16</v>
      </c>
      <c r="C1070" s="87" t="s">
        <v>2074</v>
      </c>
      <c r="D1070" s="87" t="s">
        <v>2147</v>
      </c>
      <c r="E1070" s="87" t="s">
        <v>2148</v>
      </c>
      <c r="F1070" s="87">
        <v>36.913263880700001</v>
      </c>
      <c r="G1070" s="87">
        <v>42.885338192500001</v>
      </c>
      <c r="H1070" s="86">
        <v>505</v>
      </c>
      <c r="I1070" s="86">
        <v>3030</v>
      </c>
      <c r="J1070" s="87"/>
      <c r="K1070" s="87"/>
      <c r="L1070" s="87"/>
      <c r="M1070" s="87"/>
      <c r="N1070" s="87"/>
      <c r="O1070" s="87"/>
      <c r="P1070" s="87"/>
      <c r="Q1070" s="87"/>
      <c r="R1070" s="87">
        <v>1</v>
      </c>
      <c r="S1070" s="87"/>
      <c r="T1070" s="87"/>
      <c r="U1070" s="87"/>
      <c r="V1070" s="87">
        <v>504</v>
      </c>
      <c r="W1070" s="87"/>
      <c r="X1070" s="87"/>
      <c r="Y1070" s="87"/>
      <c r="Z1070" s="87"/>
      <c r="AA1070" s="87"/>
      <c r="AB1070" s="87"/>
      <c r="AC1070" s="87">
        <v>20</v>
      </c>
      <c r="AD1070" s="87"/>
      <c r="AE1070" s="87"/>
      <c r="AF1070" s="87"/>
      <c r="AG1070" s="87"/>
      <c r="AH1070" s="87">
        <v>108</v>
      </c>
      <c r="AI1070" s="87"/>
      <c r="AJ1070" s="87"/>
      <c r="AK1070" s="87">
        <v>369</v>
      </c>
      <c r="AL1070" s="87">
        <v>8</v>
      </c>
      <c r="AM1070" s="87"/>
      <c r="AN1070" s="87"/>
      <c r="AO1070" s="87">
        <v>42</v>
      </c>
      <c r="AP1070" s="87">
        <v>461</v>
      </c>
      <c r="AQ1070" s="87"/>
      <c r="AR1070" s="87"/>
      <c r="AS1070" s="87"/>
      <c r="AT1070" s="87"/>
      <c r="AU1070" s="87">
        <v>2</v>
      </c>
      <c r="AV1070" s="87"/>
      <c r="AW1070" s="88" t="str">
        <f>HYPERLINK("http://www.openstreetmap.org/?mlat=36.9133&amp;mlon=42.8853&amp;zoom=12#map=12/36.9133/42.8853","Maplink1")</f>
        <v>Maplink1</v>
      </c>
      <c r="AX1070" s="88" t="str">
        <f>HYPERLINK("https://www.google.iq/maps/search/+36.9133,42.8853/@36.9133,42.8853,14z?hl=en","Maplink2")</f>
        <v>Maplink2</v>
      </c>
      <c r="AY1070" s="88" t="str">
        <f>HYPERLINK("http://www.bing.com/maps/?lvl=14&amp;sty=h&amp;cp=36.9133~42.8853&amp;sp=point.36.9133_42.8853","Maplink3")</f>
        <v>Maplink3</v>
      </c>
      <c r="AZ1070" s="76"/>
    </row>
    <row r="1071" spans="1:52" x14ac:dyDescent="0.25">
      <c r="A1071" s="86">
        <v>8336</v>
      </c>
      <c r="B1071" s="87" t="s">
        <v>16</v>
      </c>
      <c r="C1071" s="87" t="s">
        <v>2074</v>
      </c>
      <c r="D1071" s="87" t="s">
        <v>2149</v>
      </c>
      <c r="E1071" s="87" t="s">
        <v>2150</v>
      </c>
      <c r="F1071" s="87">
        <v>36.857191169300002</v>
      </c>
      <c r="G1071" s="87">
        <v>42.907552820900001</v>
      </c>
      <c r="H1071" s="86">
        <v>1142</v>
      </c>
      <c r="I1071" s="86">
        <v>6852</v>
      </c>
      <c r="J1071" s="87"/>
      <c r="K1071" s="87"/>
      <c r="L1071" s="87">
        <v>2</v>
      </c>
      <c r="M1071" s="87"/>
      <c r="N1071" s="87"/>
      <c r="O1071" s="87"/>
      <c r="P1071" s="87"/>
      <c r="Q1071" s="87"/>
      <c r="R1071" s="87"/>
      <c r="S1071" s="87"/>
      <c r="T1071" s="87"/>
      <c r="U1071" s="87"/>
      <c r="V1071" s="87">
        <v>1139</v>
      </c>
      <c r="W1071" s="87"/>
      <c r="X1071" s="87">
        <v>1</v>
      </c>
      <c r="Y1071" s="87"/>
      <c r="Z1071" s="87"/>
      <c r="AA1071" s="87"/>
      <c r="AB1071" s="87"/>
      <c r="AC1071" s="87">
        <v>214</v>
      </c>
      <c r="AD1071" s="87"/>
      <c r="AE1071" s="87">
        <v>10</v>
      </c>
      <c r="AF1071" s="87"/>
      <c r="AG1071" s="87"/>
      <c r="AH1071" s="87">
        <v>918</v>
      </c>
      <c r="AI1071" s="87"/>
      <c r="AJ1071" s="87"/>
      <c r="AK1071" s="87"/>
      <c r="AL1071" s="87"/>
      <c r="AM1071" s="87"/>
      <c r="AN1071" s="87"/>
      <c r="AO1071" s="87">
        <v>753</v>
      </c>
      <c r="AP1071" s="87">
        <v>336</v>
      </c>
      <c r="AQ1071" s="87"/>
      <c r="AR1071" s="87"/>
      <c r="AS1071" s="87"/>
      <c r="AT1071" s="87"/>
      <c r="AU1071" s="87">
        <v>53</v>
      </c>
      <c r="AV1071" s="87"/>
      <c r="AW1071" s="88" t="str">
        <f>HYPERLINK("http://www.openstreetmap.org/?mlat=36.8572&amp;mlon=42.9076&amp;zoom=12#map=12/36.8572/42.9076","Maplink1")</f>
        <v>Maplink1</v>
      </c>
      <c r="AX1071" s="88" t="str">
        <f>HYPERLINK("https://www.google.iq/maps/search/+36.8572,42.9076/@36.8572,42.9076,14z?hl=en","Maplink2")</f>
        <v>Maplink2</v>
      </c>
      <c r="AY1071" s="88" t="str">
        <f>HYPERLINK("http://www.bing.com/maps/?lvl=14&amp;sty=h&amp;cp=36.8572~42.9076&amp;sp=point.36.8572_42.9076","Maplink3")</f>
        <v>Maplink3</v>
      </c>
      <c r="AZ1071" s="76"/>
    </row>
    <row r="1072" spans="1:52" x14ac:dyDescent="0.25">
      <c r="A1072" s="86">
        <v>8369</v>
      </c>
      <c r="B1072" s="87" t="s">
        <v>16</v>
      </c>
      <c r="C1072" s="87" t="s">
        <v>2074</v>
      </c>
      <c r="D1072" s="87" t="s">
        <v>2151</v>
      </c>
      <c r="E1072" s="87" t="s">
        <v>2152</v>
      </c>
      <c r="F1072" s="87">
        <v>36.786130156600002</v>
      </c>
      <c r="G1072" s="87">
        <v>42.973787157499999</v>
      </c>
      <c r="H1072" s="86">
        <v>4110</v>
      </c>
      <c r="I1072" s="86">
        <v>24660</v>
      </c>
      <c r="J1072" s="87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>
        <v>4110</v>
      </c>
      <c r="W1072" s="87"/>
      <c r="X1072" s="87"/>
      <c r="Y1072" s="87"/>
      <c r="Z1072" s="87"/>
      <c r="AA1072" s="87"/>
      <c r="AB1072" s="87"/>
      <c r="AC1072" s="87">
        <v>85</v>
      </c>
      <c r="AD1072" s="87"/>
      <c r="AE1072" s="87">
        <v>1251</v>
      </c>
      <c r="AF1072" s="87"/>
      <c r="AG1072" s="87"/>
      <c r="AH1072" s="87">
        <v>1139</v>
      </c>
      <c r="AI1072" s="87"/>
      <c r="AJ1072" s="87"/>
      <c r="AK1072" s="87">
        <v>1500</v>
      </c>
      <c r="AL1072" s="87">
        <v>135</v>
      </c>
      <c r="AM1072" s="87"/>
      <c r="AN1072" s="87"/>
      <c r="AO1072" s="87"/>
      <c r="AP1072" s="87">
        <v>4020</v>
      </c>
      <c r="AQ1072" s="87"/>
      <c r="AR1072" s="87"/>
      <c r="AS1072" s="87"/>
      <c r="AT1072" s="87"/>
      <c r="AU1072" s="87">
        <v>90</v>
      </c>
      <c r="AV1072" s="87"/>
      <c r="AW1072" s="88" t="str">
        <f>HYPERLINK("http://www.openstreetmap.org/?mlat=36.7861&amp;mlon=42.9738&amp;zoom=12#map=12/36.7861/42.9738","Maplink1")</f>
        <v>Maplink1</v>
      </c>
      <c r="AX1072" s="88" t="str">
        <f>HYPERLINK("https://www.google.iq/maps/search/+36.7861,42.9738/@36.7861,42.9738,14z?hl=en","Maplink2")</f>
        <v>Maplink2</v>
      </c>
      <c r="AY1072" s="88" t="str">
        <f>HYPERLINK("http://www.bing.com/maps/?lvl=14&amp;sty=h&amp;cp=36.7861~42.9738&amp;sp=point.36.7861_42.9738","Maplink3")</f>
        <v>Maplink3</v>
      </c>
      <c r="AZ1072" s="76"/>
    </row>
    <row r="1073" spans="1:52" x14ac:dyDescent="0.25">
      <c r="A1073" s="86">
        <v>24827</v>
      </c>
      <c r="B1073" s="87" t="s">
        <v>16</v>
      </c>
      <c r="C1073" s="87" t="s">
        <v>2074</v>
      </c>
      <c r="D1073" s="87" t="s">
        <v>2153</v>
      </c>
      <c r="E1073" s="87" t="s">
        <v>2154</v>
      </c>
      <c r="F1073" s="87">
        <v>36.794750033900002</v>
      </c>
      <c r="G1073" s="87">
        <v>42.9633869006</v>
      </c>
      <c r="H1073" s="86">
        <v>3098</v>
      </c>
      <c r="I1073" s="86">
        <v>18588</v>
      </c>
      <c r="J1073" s="87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>
        <v>3098</v>
      </c>
      <c r="W1073" s="87"/>
      <c r="X1073" s="87"/>
      <c r="Y1073" s="87"/>
      <c r="Z1073" s="87"/>
      <c r="AA1073" s="87"/>
      <c r="AB1073" s="87">
        <v>3098</v>
      </c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>
        <v>3093</v>
      </c>
      <c r="AQ1073" s="87"/>
      <c r="AR1073" s="87"/>
      <c r="AS1073" s="87"/>
      <c r="AT1073" s="87"/>
      <c r="AU1073" s="87">
        <v>5</v>
      </c>
      <c r="AV1073" s="87"/>
      <c r="AW1073" s="88" t="str">
        <f>HYPERLINK("http://www.openstreetmap.org/?mlat=36.7948&amp;mlon=42.9634&amp;zoom=12#map=12/36.7948/42.9634","Maplink1")</f>
        <v>Maplink1</v>
      </c>
      <c r="AX1073" s="88" t="str">
        <f>HYPERLINK("https://www.google.iq/maps/search/+36.7948,42.9634/@36.7948,42.9634,14z?hl=en","Maplink2")</f>
        <v>Maplink2</v>
      </c>
      <c r="AY1073" s="88" t="str">
        <f>HYPERLINK("http://www.bing.com/maps/?lvl=14&amp;sty=h&amp;cp=36.7948~42.9634&amp;sp=point.36.7948_42.9634","Maplink3")</f>
        <v>Maplink3</v>
      </c>
      <c r="AZ1073" s="76"/>
    </row>
    <row r="1074" spans="1:52" x14ac:dyDescent="0.25">
      <c r="A1074" s="86">
        <v>27122</v>
      </c>
      <c r="B1074" s="87" t="s">
        <v>16</v>
      </c>
      <c r="C1074" s="87" t="s">
        <v>2074</v>
      </c>
      <c r="D1074" s="87" t="s">
        <v>2155</v>
      </c>
      <c r="E1074" s="87" t="s">
        <v>2156</v>
      </c>
      <c r="F1074" s="87">
        <v>36.786565092700002</v>
      </c>
      <c r="G1074" s="87">
        <v>42.790367982900001</v>
      </c>
      <c r="H1074" s="86">
        <v>137</v>
      </c>
      <c r="I1074" s="86">
        <v>822</v>
      </c>
      <c r="J1074" s="87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>
        <v>137</v>
      </c>
      <c r="W1074" s="87"/>
      <c r="X1074" s="87"/>
      <c r="Y1074" s="87"/>
      <c r="Z1074" s="87"/>
      <c r="AA1074" s="87"/>
      <c r="AB1074" s="87"/>
      <c r="AC1074" s="87">
        <v>22</v>
      </c>
      <c r="AD1074" s="87"/>
      <c r="AE1074" s="87"/>
      <c r="AF1074" s="87"/>
      <c r="AG1074" s="87"/>
      <c r="AH1074" s="87">
        <v>98</v>
      </c>
      <c r="AI1074" s="87"/>
      <c r="AJ1074" s="87"/>
      <c r="AK1074" s="87">
        <v>17</v>
      </c>
      <c r="AL1074" s="87"/>
      <c r="AM1074" s="87"/>
      <c r="AN1074" s="87"/>
      <c r="AO1074" s="87"/>
      <c r="AP1074" s="87">
        <v>137</v>
      </c>
      <c r="AQ1074" s="87"/>
      <c r="AR1074" s="87"/>
      <c r="AS1074" s="87"/>
      <c r="AT1074" s="87"/>
      <c r="AU1074" s="87"/>
      <c r="AV1074" s="87"/>
      <c r="AW1074" s="88" t="str">
        <f>HYPERLINK("http://www.openstreetmap.org/?mlat=36.7866&amp;mlon=42.7904&amp;zoom=12#map=12/36.7866/42.7904","Maplink1")</f>
        <v>Maplink1</v>
      </c>
      <c r="AX1074" s="88" t="str">
        <f>HYPERLINK("https://www.google.iq/maps/search/+36.7866,42.7904/@36.7866,42.7904,14z?hl=en","Maplink2")</f>
        <v>Maplink2</v>
      </c>
      <c r="AY1074" s="88" t="str">
        <f>HYPERLINK("http://www.bing.com/maps/?lvl=14&amp;sty=h&amp;cp=36.7866~42.7904&amp;sp=point.36.7866_42.7904","Maplink3")</f>
        <v>Maplink3</v>
      </c>
      <c r="AZ1074" s="76"/>
    </row>
    <row r="1075" spans="1:52" x14ac:dyDescent="0.25">
      <c r="A1075" s="86">
        <v>27129</v>
      </c>
      <c r="B1075" s="87" t="s">
        <v>16</v>
      </c>
      <c r="C1075" s="87" t="s">
        <v>2074</v>
      </c>
      <c r="D1075" s="87" t="s">
        <v>2157</v>
      </c>
      <c r="E1075" s="87" t="s">
        <v>2158</v>
      </c>
      <c r="F1075" s="87">
        <v>36.791162100500003</v>
      </c>
      <c r="G1075" s="87">
        <v>42.786280722800001</v>
      </c>
      <c r="H1075" s="86">
        <v>74</v>
      </c>
      <c r="I1075" s="86">
        <v>444</v>
      </c>
      <c r="J1075" s="87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>
        <v>74</v>
      </c>
      <c r="W1075" s="87"/>
      <c r="X1075" s="87"/>
      <c r="Y1075" s="87"/>
      <c r="Z1075" s="87"/>
      <c r="AA1075" s="87"/>
      <c r="AB1075" s="87"/>
      <c r="AC1075" s="87">
        <v>17</v>
      </c>
      <c r="AD1075" s="87"/>
      <c r="AE1075" s="87">
        <v>17</v>
      </c>
      <c r="AF1075" s="87"/>
      <c r="AG1075" s="87"/>
      <c r="AH1075" s="87">
        <v>5</v>
      </c>
      <c r="AI1075" s="87"/>
      <c r="AJ1075" s="87"/>
      <c r="AK1075" s="87">
        <v>35</v>
      </c>
      <c r="AL1075" s="87"/>
      <c r="AM1075" s="87"/>
      <c r="AN1075" s="87"/>
      <c r="AO1075" s="87"/>
      <c r="AP1075" s="87">
        <v>74</v>
      </c>
      <c r="AQ1075" s="87"/>
      <c r="AR1075" s="87"/>
      <c r="AS1075" s="87"/>
      <c r="AT1075" s="87"/>
      <c r="AU1075" s="87"/>
      <c r="AV1075" s="87"/>
      <c r="AW1075" s="88" t="str">
        <f>HYPERLINK("http://www.openstreetmap.org/?mlat=36.7912&amp;mlon=42.7863&amp;zoom=12#map=12/36.7912/42.7863","Maplink1")</f>
        <v>Maplink1</v>
      </c>
      <c r="AX1075" s="88" t="str">
        <f>HYPERLINK("https://www.google.iq/maps/search/+36.7912,42.7863/@36.7912,42.7863,14z?hl=en","Maplink2")</f>
        <v>Maplink2</v>
      </c>
      <c r="AY1075" s="88" t="str">
        <f>HYPERLINK("http://www.bing.com/maps/?lvl=14&amp;sty=h&amp;cp=36.7912~42.7863&amp;sp=point.36.7912_42.7863","Maplink3")</f>
        <v>Maplink3</v>
      </c>
      <c r="AZ1075" s="76"/>
    </row>
    <row r="1076" spans="1:52" x14ac:dyDescent="0.25">
      <c r="A1076" s="86">
        <v>8476</v>
      </c>
      <c r="B1076" s="87" t="s">
        <v>16</v>
      </c>
      <c r="C1076" s="87" t="s">
        <v>2074</v>
      </c>
      <c r="D1076" s="87" t="s">
        <v>2159</v>
      </c>
      <c r="E1076" s="87" t="s">
        <v>2160</v>
      </c>
      <c r="F1076" s="87">
        <v>37.002905485699998</v>
      </c>
      <c r="G1076" s="87">
        <v>42.485216851399997</v>
      </c>
      <c r="H1076" s="86">
        <v>88</v>
      </c>
      <c r="I1076" s="86">
        <v>528</v>
      </c>
      <c r="J1076" s="87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>
        <v>88</v>
      </c>
      <c r="W1076" s="87"/>
      <c r="X1076" s="87"/>
      <c r="Y1076" s="87"/>
      <c r="Z1076" s="87"/>
      <c r="AA1076" s="87"/>
      <c r="AB1076" s="87"/>
      <c r="AC1076" s="87">
        <v>75</v>
      </c>
      <c r="AD1076" s="87"/>
      <c r="AE1076" s="87">
        <v>13</v>
      </c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>
        <v>88</v>
      </c>
      <c r="AQ1076" s="87"/>
      <c r="AR1076" s="87"/>
      <c r="AS1076" s="87"/>
      <c r="AT1076" s="87"/>
      <c r="AU1076" s="87"/>
      <c r="AV1076" s="87"/>
      <c r="AW1076" s="88" t="str">
        <f>HYPERLINK("http://www.openstreetmap.org/?mlat=37.0029&amp;mlon=42.4852&amp;zoom=12#map=12/37.0029/42.4852","Maplink1")</f>
        <v>Maplink1</v>
      </c>
      <c r="AX1076" s="88" t="str">
        <f>HYPERLINK("https://www.google.iq/maps/search/+37.0029,42.4852/@37.0029,42.4852,14z?hl=en","Maplink2")</f>
        <v>Maplink2</v>
      </c>
      <c r="AY1076" s="88" t="str">
        <f>HYPERLINK("http://www.bing.com/maps/?lvl=14&amp;sty=h&amp;cp=37.0029~42.4852&amp;sp=point.37.0029_42.4852","Maplink3")</f>
        <v>Maplink3</v>
      </c>
      <c r="AZ1076" s="76"/>
    </row>
    <row r="1077" spans="1:52" x14ac:dyDescent="0.25">
      <c r="A1077" s="86">
        <v>24596</v>
      </c>
      <c r="B1077" s="87" t="s">
        <v>16</v>
      </c>
      <c r="C1077" s="87" t="s">
        <v>2074</v>
      </c>
      <c r="D1077" s="87" t="s">
        <v>2161</v>
      </c>
      <c r="E1077" s="87" t="s">
        <v>2162</v>
      </c>
      <c r="F1077" s="87">
        <v>36.862405809999998</v>
      </c>
      <c r="G1077" s="87">
        <v>42.903199959699997</v>
      </c>
      <c r="H1077" s="86">
        <v>210</v>
      </c>
      <c r="I1077" s="86">
        <v>1260</v>
      </c>
      <c r="J1077" s="87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>
        <v>210</v>
      </c>
      <c r="W1077" s="87"/>
      <c r="X1077" s="87"/>
      <c r="Y1077" s="87"/>
      <c r="Z1077" s="87"/>
      <c r="AA1077" s="87"/>
      <c r="AB1077" s="87"/>
      <c r="AC1077" s="87">
        <v>2</v>
      </c>
      <c r="AD1077" s="87"/>
      <c r="AE1077" s="87"/>
      <c r="AF1077" s="87"/>
      <c r="AG1077" s="87"/>
      <c r="AH1077" s="87">
        <v>168</v>
      </c>
      <c r="AI1077" s="87"/>
      <c r="AJ1077" s="87"/>
      <c r="AK1077" s="87">
        <v>40</v>
      </c>
      <c r="AL1077" s="87"/>
      <c r="AM1077" s="87"/>
      <c r="AN1077" s="87"/>
      <c r="AO1077" s="87">
        <v>123</v>
      </c>
      <c r="AP1077" s="87">
        <v>83</v>
      </c>
      <c r="AQ1077" s="87"/>
      <c r="AR1077" s="87"/>
      <c r="AS1077" s="87"/>
      <c r="AT1077" s="87"/>
      <c r="AU1077" s="87">
        <v>4</v>
      </c>
      <c r="AV1077" s="87"/>
      <c r="AW1077" s="88" t="str">
        <f>HYPERLINK("http://www.openstreetmap.org/?mlat=36.8624&amp;mlon=42.9032&amp;zoom=12#map=12/36.8624/42.9032","Maplink1")</f>
        <v>Maplink1</v>
      </c>
      <c r="AX1077" s="88" t="str">
        <f>HYPERLINK("https://www.google.iq/maps/search/+36.8624,42.9032/@36.8624,42.9032,14z?hl=en","Maplink2")</f>
        <v>Maplink2</v>
      </c>
      <c r="AY1077" s="88" t="str">
        <f>HYPERLINK("http://www.bing.com/maps/?lvl=14&amp;sty=h&amp;cp=36.8624~42.9032&amp;sp=point.36.8624_42.9032","Maplink3")</f>
        <v>Maplink3</v>
      </c>
      <c r="AZ1077" s="76"/>
    </row>
    <row r="1078" spans="1:52" x14ac:dyDescent="0.25">
      <c r="A1078" s="86">
        <v>25623</v>
      </c>
      <c r="B1078" s="87" t="s">
        <v>16</v>
      </c>
      <c r="C1078" s="87" t="s">
        <v>2074</v>
      </c>
      <c r="D1078" s="87" t="s">
        <v>2163</v>
      </c>
      <c r="E1078" s="87" t="s">
        <v>2164</v>
      </c>
      <c r="F1078" s="87">
        <v>36.800601923400002</v>
      </c>
      <c r="G1078" s="87">
        <v>42.912494948899997</v>
      </c>
      <c r="H1078" s="86">
        <v>251</v>
      </c>
      <c r="I1078" s="86">
        <v>1506</v>
      </c>
      <c r="J1078" s="87"/>
      <c r="K1078" s="87"/>
      <c r="L1078" s="87">
        <v>2</v>
      </c>
      <c r="M1078" s="87"/>
      <c r="N1078" s="87"/>
      <c r="O1078" s="87"/>
      <c r="P1078" s="87"/>
      <c r="Q1078" s="87"/>
      <c r="R1078" s="87"/>
      <c r="S1078" s="87"/>
      <c r="T1078" s="87"/>
      <c r="U1078" s="87"/>
      <c r="V1078" s="87">
        <v>249</v>
      </c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>
        <v>193</v>
      </c>
      <c r="AI1078" s="87"/>
      <c r="AJ1078" s="87"/>
      <c r="AK1078" s="87">
        <v>2</v>
      </c>
      <c r="AL1078" s="87">
        <v>56</v>
      </c>
      <c r="AM1078" s="87"/>
      <c r="AN1078" s="87"/>
      <c r="AO1078" s="87">
        <v>184</v>
      </c>
      <c r="AP1078" s="87">
        <v>43</v>
      </c>
      <c r="AQ1078" s="87"/>
      <c r="AR1078" s="87"/>
      <c r="AS1078" s="87"/>
      <c r="AT1078" s="87"/>
      <c r="AU1078" s="87">
        <v>24</v>
      </c>
      <c r="AV1078" s="87"/>
      <c r="AW1078" s="88" t="str">
        <f>HYPERLINK("http://www.openstreetmap.org/?mlat=36.8006&amp;mlon=42.9125&amp;zoom=12#map=12/36.8006/42.9125","Maplink1")</f>
        <v>Maplink1</v>
      </c>
      <c r="AX1078" s="88" t="str">
        <f>HYPERLINK("https://www.google.iq/maps/search/+36.8006,42.9125/@36.8006,42.9125,14z?hl=en","Maplink2")</f>
        <v>Maplink2</v>
      </c>
      <c r="AY1078" s="88" t="str">
        <f>HYPERLINK("http://www.bing.com/maps/?lvl=14&amp;sty=h&amp;cp=36.8006~42.9125&amp;sp=point.36.8006_42.9125","Maplink3")</f>
        <v>Maplink3</v>
      </c>
      <c r="AZ1078" s="76"/>
    </row>
    <row r="1079" spans="1:52" x14ac:dyDescent="0.25">
      <c r="A1079" s="86">
        <v>23645</v>
      </c>
      <c r="B1079" s="87" t="s">
        <v>16</v>
      </c>
      <c r="C1079" s="87" t="s">
        <v>2074</v>
      </c>
      <c r="D1079" s="87" t="s">
        <v>2165</v>
      </c>
      <c r="E1079" s="87" t="s">
        <v>2166</v>
      </c>
      <c r="F1079" s="87">
        <v>36.772321160899999</v>
      </c>
      <c r="G1079" s="87">
        <v>42.919518390699999</v>
      </c>
      <c r="H1079" s="86">
        <v>251</v>
      </c>
      <c r="I1079" s="86">
        <v>1506</v>
      </c>
      <c r="J1079" s="87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>
        <v>251</v>
      </c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>
        <v>217</v>
      </c>
      <c r="AI1079" s="87"/>
      <c r="AJ1079" s="87"/>
      <c r="AK1079" s="87"/>
      <c r="AL1079" s="87">
        <v>34</v>
      </c>
      <c r="AM1079" s="87"/>
      <c r="AN1079" s="87"/>
      <c r="AO1079" s="87">
        <v>129</v>
      </c>
      <c r="AP1079" s="87">
        <v>106</v>
      </c>
      <c r="AQ1079" s="87"/>
      <c r="AR1079" s="87"/>
      <c r="AS1079" s="87"/>
      <c r="AT1079" s="87"/>
      <c r="AU1079" s="87">
        <v>16</v>
      </c>
      <c r="AV1079" s="87"/>
      <c r="AW1079" s="88" t="str">
        <f>HYPERLINK("http://www.openstreetmap.org/?mlat=36.7723&amp;mlon=42.9195&amp;zoom=12#map=12/36.7723/42.9195","Maplink1")</f>
        <v>Maplink1</v>
      </c>
      <c r="AX1079" s="88" t="str">
        <f>HYPERLINK("https://www.google.iq/maps/search/+36.7723,42.9195/@36.7723,42.9195,14z?hl=en","Maplink2")</f>
        <v>Maplink2</v>
      </c>
      <c r="AY1079" s="88" t="str">
        <f>HYPERLINK("http://www.bing.com/maps/?lvl=14&amp;sty=h&amp;cp=36.7723~42.9195&amp;sp=point.36.7723_42.9195","Maplink3")</f>
        <v>Maplink3</v>
      </c>
      <c r="AZ1079" s="76"/>
    </row>
    <row r="1080" spans="1:52" x14ac:dyDescent="0.25">
      <c r="A1080" s="86">
        <v>32031</v>
      </c>
      <c r="B1080" s="87" t="s">
        <v>16</v>
      </c>
      <c r="C1080" s="87" t="s">
        <v>2167</v>
      </c>
      <c r="D1080" s="87" t="s">
        <v>2168</v>
      </c>
      <c r="E1080" s="87" t="s">
        <v>2169</v>
      </c>
      <c r="F1080" s="87">
        <v>37.145318612099999</v>
      </c>
      <c r="G1080" s="87">
        <v>42.7077838043</v>
      </c>
      <c r="H1080" s="86">
        <v>970</v>
      </c>
      <c r="I1080" s="86">
        <v>5820</v>
      </c>
      <c r="J1080" s="87">
        <v>2</v>
      </c>
      <c r="K1080" s="87"/>
      <c r="L1080" s="87"/>
      <c r="M1080" s="87"/>
      <c r="N1080" s="87"/>
      <c r="O1080" s="87"/>
      <c r="P1080" s="87"/>
      <c r="Q1080" s="87"/>
      <c r="R1080" s="87">
        <v>1</v>
      </c>
      <c r="S1080" s="87"/>
      <c r="T1080" s="87"/>
      <c r="U1080" s="87"/>
      <c r="V1080" s="87">
        <v>967</v>
      </c>
      <c r="W1080" s="87"/>
      <c r="X1080" s="87"/>
      <c r="Y1080" s="87"/>
      <c r="Z1080" s="87"/>
      <c r="AA1080" s="87"/>
      <c r="AB1080" s="87"/>
      <c r="AC1080" s="87">
        <v>3</v>
      </c>
      <c r="AD1080" s="87"/>
      <c r="AE1080" s="87"/>
      <c r="AF1080" s="87"/>
      <c r="AG1080" s="87"/>
      <c r="AH1080" s="87">
        <v>943</v>
      </c>
      <c r="AI1080" s="87"/>
      <c r="AJ1080" s="87"/>
      <c r="AK1080" s="87">
        <v>24</v>
      </c>
      <c r="AL1080" s="87"/>
      <c r="AM1080" s="87"/>
      <c r="AN1080" s="87">
        <v>2</v>
      </c>
      <c r="AO1080" s="87">
        <v>304</v>
      </c>
      <c r="AP1080" s="87">
        <v>531</v>
      </c>
      <c r="AQ1080" s="87"/>
      <c r="AR1080" s="87">
        <v>11</v>
      </c>
      <c r="AS1080" s="87"/>
      <c r="AT1080" s="87"/>
      <c r="AU1080" s="87">
        <v>122</v>
      </c>
      <c r="AV1080" s="87"/>
      <c r="AW1080" s="88" t="str">
        <f>HYPERLINK("http://www.openstreetmap.org/?mlat=37.1453&amp;mlon=42.7078&amp;zoom=12#map=12/37.1453/42.7078","Maplink1")</f>
        <v>Maplink1</v>
      </c>
      <c r="AX1080" s="88" t="str">
        <f>HYPERLINK("https://www.google.iq/maps/search/+37.1453,42.7078/@37.1453,42.7078,14z?hl=en","Maplink2")</f>
        <v>Maplink2</v>
      </c>
      <c r="AY1080" s="88" t="str">
        <f>HYPERLINK("http://www.bing.com/maps/?lvl=14&amp;sty=h&amp;cp=37.1453~42.7078&amp;sp=point.37.1453_42.7078","Maplink3")</f>
        <v>Maplink3</v>
      </c>
      <c r="AZ1080" s="76"/>
    </row>
    <row r="1081" spans="1:52" x14ac:dyDescent="0.25">
      <c r="A1081" s="86">
        <v>8119</v>
      </c>
      <c r="B1081" s="87" t="s">
        <v>16</v>
      </c>
      <c r="C1081" s="87" t="s">
        <v>2167</v>
      </c>
      <c r="D1081" s="87" t="s">
        <v>2170</v>
      </c>
      <c r="E1081" s="87" t="s">
        <v>2171</v>
      </c>
      <c r="F1081" s="87">
        <v>37.135978924500002</v>
      </c>
      <c r="G1081" s="87">
        <v>42.659093959800003</v>
      </c>
      <c r="H1081" s="86">
        <v>25</v>
      </c>
      <c r="I1081" s="86">
        <v>150</v>
      </c>
      <c r="J1081" s="87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>
        <v>25</v>
      </c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>
        <v>25</v>
      </c>
      <c r="AI1081" s="87"/>
      <c r="AJ1081" s="87"/>
      <c r="AK1081" s="87"/>
      <c r="AL1081" s="87"/>
      <c r="AM1081" s="87"/>
      <c r="AN1081" s="87"/>
      <c r="AO1081" s="87"/>
      <c r="AP1081" s="87">
        <v>23</v>
      </c>
      <c r="AQ1081" s="87"/>
      <c r="AR1081" s="87"/>
      <c r="AS1081" s="87"/>
      <c r="AT1081" s="87"/>
      <c r="AU1081" s="87">
        <v>2</v>
      </c>
      <c r="AV1081" s="87"/>
      <c r="AW1081" s="88" t="str">
        <f>HYPERLINK("http://www.openstreetmap.org/?mlat=37.136&amp;mlon=42.6591&amp;zoom=12#map=12/37.136/42.6591","Maplink1")</f>
        <v>Maplink1</v>
      </c>
      <c r="AX1081" s="88" t="str">
        <f>HYPERLINK("https://www.google.iq/maps/search/+37.136,42.6591/@37.136,42.6591,14z?hl=en","Maplink2")</f>
        <v>Maplink2</v>
      </c>
      <c r="AY1081" s="88" t="str">
        <f>HYPERLINK("http://www.bing.com/maps/?lvl=14&amp;sty=h&amp;cp=37.136~42.6591&amp;sp=point.37.136_42.6591","Maplink3")</f>
        <v>Maplink3</v>
      </c>
      <c r="AZ1081" s="76"/>
    </row>
    <row r="1082" spans="1:52" x14ac:dyDescent="0.25">
      <c r="A1082" s="86">
        <v>32024</v>
      </c>
      <c r="B1082" s="87" t="s">
        <v>16</v>
      </c>
      <c r="C1082" s="87" t="s">
        <v>2167</v>
      </c>
      <c r="D1082" s="87" t="s">
        <v>2172</v>
      </c>
      <c r="E1082" s="87" t="s">
        <v>2173</v>
      </c>
      <c r="F1082" s="87">
        <v>37.149050583099999</v>
      </c>
      <c r="G1082" s="87">
        <v>42.675071053800004</v>
      </c>
      <c r="H1082" s="86">
        <v>372</v>
      </c>
      <c r="I1082" s="86">
        <v>2232</v>
      </c>
      <c r="J1082" s="87"/>
      <c r="K1082" s="87"/>
      <c r="L1082" s="87"/>
      <c r="M1082" s="87"/>
      <c r="N1082" s="87"/>
      <c r="O1082" s="87"/>
      <c r="P1082" s="87"/>
      <c r="Q1082" s="87"/>
      <c r="R1082" s="87">
        <v>1</v>
      </c>
      <c r="S1082" s="87"/>
      <c r="T1082" s="87"/>
      <c r="U1082" s="87"/>
      <c r="V1082" s="87">
        <v>364</v>
      </c>
      <c r="W1082" s="87"/>
      <c r="X1082" s="87">
        <v>7</v>
      </c>
      <c r="Y1082" s="87"/>
      <c r="Z1082" s="87"/>
      <c r="AA1082" s="87"/>
      <c r="AB1082" s="87"/>
      <c r="AC1082" s="87">
        <v>14</v>
      </c>
      <c r="AD1082" s="87"/>
      <c r="AE1082" s="87"/>
      <c r="AF1082" s="87"/>
      <c r="AG1082" s="87"/>
      <c r="AH1082" s="87">
        <v>352</v>
      </c>
      <c r="AI1082" s="87"/>
      <c r="AJ1082" s="87"/>
      <c r="AK1082" s="87">
        <v>6</v>
      </c>
      <c r="AL1082" s="87"/>
      <c r="AM1082" s="87"/>
      <c r="AN1082" s="87"/>
      <c r="AO1082" s="87">
        <v>219</v>
      </c>
      <c r="AP1082" s="87">
        <v>103</v>
      </c>
      <c r="AQ1082" s="87"/>
      <c r="AR1082" s="87"/>
      <c r="AS1082" s="87"/>
      <c r="AT1082" s="87"/>
      <c r="AU1082" s="87">
        <v>50</v>
      </c>
      <c r="AV1082" s="87"/>
      <c r="AW1082" s="88" t="str">
        <f>HYPERLINK("http://www.openstreetmap.org/?mlat=37.1491&amp;mlon=42.6751&amp;zoom=12#map=12/37.1491/42.6751","Maplink1")</f>
        <v>Maplink1</v>
      </c>
      <c r="AX1082" s="88" t="str">
        <f>HYPERLINK("https://www.google.iq/maps/search/+37.1491,42.6751/@37.1491,42.6751,14z?hl=en","Maplink2")</f>
        <v>Maplink2</v>
      </c>
      <c r="AY1082" s="88" t="str">
        <f>HYPERLINK("http://www.bing.com/maps/?lvl=14&amp;sty=h&amp;cp=37.1491~42.6751&amp;sp=point.37.1491_42.6751","Maplink3")</f>
        <v>Maplink3</v>
      </c>
      <c r="AZ1082" s="76"/>
    </row>
    <row r="1083" spans="1:52" x14ac:dyDescent="0.25">
      <c r="A1083" s="86">
        <v>33579</v>
      </c>
      <c r="B1083" s="87" t="s">
        <v>16</v>
      </c>
      <c r="C1083" s="87" t="s">
        <v>2167</v>
      </c>
      <c r="D1083" s="87" t="s">
        <v>2174</v>
      </c>
      <c r="E1083" s="87" t="s">
        <v>2175</v>
      </c>
      <c r="F1083" s="87">
        <v>37.1371955181</v>
      </c>
      <c r="G1083" s="87">
        <v>42.544736503800003</v>
      </c>
      <c r="H1083" s="86">
        <v>285</v>
      </c>
      <c r="I1083" s="86">
        <v>1710</v>
      </c>
      <c r="J1083" s="87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>
        <v>285</v>
      </c>
      <c r="W1083" s="87"/>
      <c r="X1083" s="87"/>
      <c r="Y1083" s="87"/>
      <c r="Z1083" s="87"/>
      <c r="AA1083" s="87"/>
      <c r="AB1083" s="87"/>
      <c r="AC1083" s="87">
        <v>37</v>
      </c>
      <c r="AD1083" s="87"/>
      <c r="AE1083" s="87"/>
      <c r="AF1083" s="87"/>
      <c r="AG1083" s="87"/>
      <c r="AH1083" s="87">
        <v>117</v>
      </c>
      <c r="AI1083" s="87"/>
      <c r="AJ1083" s="87"/>
      <c r="AK1083" s="87">
        <v>131</v>
      </c>
      <c r="AL1083" s="87"/>
      <c r="AM1083" s="87"/>
      <c r="AN1083" s="87"/>
      <c r="AO1083" s="87"/>
      <c r="AP1083" s="87">
        <v>153</v>
      </c>
      <c r="AQ1083" s="87"/>
      <c r="AR1083" s="87"/>
      <c r="AS1083" s="87"/>
      <c r="AT1083" s="87"/>
      <c r="AU1083" s="87">
        <v>132</v>
      </c>
      <c r="AV1083" s="87"/>
      <c r="AW1083" s="88" t="str">
        <f>HYPERLINK("http://www.openstreetmap.org/?mlat=37.1372&amp;mlon=42.5447&amp;zoom=12#map=12/37.1372/42.5447","Maplink1")</f>
        <v>Maplink1</v>
      </c>
      <c r="AX1083" s="88" t="str">
        <f>HYPERLINK("https://www.google.iq/maps/search/+37.1372,42.5447/@37.1372,42.5447,14z?hl=en","Maplink2")</f>
        <v>Maplink2</v>
      </c>
      <c r="AY1083" s="88" t="str">
        <f>HYPERLINK("http://www.bing.com/maps/?lvl=14&amp;sty=h&amp;cp=37.1372~42.5447&amp;sp=point.37.1372_42.5447","Maplink3")</f>
        <v>Maplink3</v>
      </c>
      <c r="AZ1083" s="76"/>
    </row>
    <row r="1084" spans="1:52" x14ac:dyDescent="0.25">
      <c r="A1084" s="86">
        <v>33581</v>
      </c>
      <c r="B1084" s="87" t="s">
        <v>16</v>
      </c>
      <c r="C1084" s="87" t="s">
        <v>2167</v>
      </c>
      <c r="D1084" s="87" t="s">
        <v>2176</v>
      </c>
      <c r="E1084" s="87" t="s">
        <v>2177</v>
      </c>
      <c r="F1084" s="87">
        <v>37.1384117088</v>
      </c>
      <c r="G1084" s="87">
        <v>42.597355643500002</v>
      </c>
      <c r="H1084" s="86">
        <v>20</v>
      </c>
      <c r="I1084" s="86">
        <v>120</v>
      </c>
      <c r="J1084" s="87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>
        <v>20</v>
      </c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>
        <v>15</v>
      </c>
      <c r="AI1084" s="87"/>
      <c r="AJ1084" s="87"/>
      <c r="AK1084" s="87"/>
      <c r="AL1084" s="87">
        <v>5</v>
      </c>
      <c r="AM1084" s="87"/>
      <c r="AN1084" s="87"/>
      <c r="AO1084" s="87"/>
      <c r="AP1084" s="87"/>
      <c r="AQ1084" s="87"/>
      <c r="AR1084" s="87"/>
      <c r="AS1084" s="87"/>
      <c r="AT1084" s="87"/>
      <c r="AU1084" s="87">
        <v>20</v>
      </c>
      <c r="AV1084" s="87"/>
      <c r="AW1084" s="88" t="str">
        <f>HYPERLINK("http://www.openstreetmap.org/?mlat=37.1384&amp;mlon=42.5974&amp;zoom=12#map=12/37.1384/42.5974","Maplink1")</f>
        <v>Maplink1</v>
      </c>
      <c r="AX1084" s="88" t="str">
        <f>HYPERLINK("https://www.google.iq/maps/search/+37.1384,42.5974/@37.1384,42.5974,14z?hl=en","Maplink2")</f>
        <v>Maplink2</v>
      </c>
      <c r="AY1084" s="88" t="str">
        <f>HYPERLINK("http://www.bing.com/maps/?lvl=14&amp;sty=h&amp;cp=37.1384~42.5974&amp;sp=point.37.1384_42.5974","Maplink3")</f>
        <v>Maplink3</v>
      </c>
      <c r="AZ1084" s="76"/>
    </row>
    <row r="1085" spans="1:52" x14ac:dyDescent="0.25">
      <c r="A1085" s="86">
        <v>8849</v>
      </c>
      <c r="B1085" s="87" t="s">
        <v>16</v>
      </c>
      <c r="C1085" s="87" t="s">
        <v>2167</v>
      </c>
      <c r="D1085" s="87" t="s">
        <v>2178</v>
      </c>
      <c r="E1085" s="87" t="s">
        <v>2179</v>
      </c>
      <c r="F1085" s="87">
        <v>37.176020260100003</v>
      </c>
      <c r="G1085" s="87">
        <v>43.011055521499998</v>
      </c>
      <c r="H1085" s="86">
        <v>171</v>
      </c>
      <c r="I1085" s="86">
        <v>1026</v>
      </c>
      <c r="J1085" s="87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>
        <v>171</v>
      </c>
      <c r="W1085" s="87"/>
      <c r="X1085" s="87"/>
      <c r="Y1085" s="87"/>
      <c r="Z1085" s="87"/>
      <c r="AA1085" s="87"/>
      <c r="AB1085" s="87"/>
      <c r="AC1085" s="87">
        <v>20</v>
      </c>
      <c r="AD1085" s="87"/>
      <c r="AE1085" s="87"/>
      <c r="AF1085" s="87"/>
      <c r="AG1085" s="87"/>
      <c r="AH1085" s="87">
        <v>144</v>
      </c>
      <c r="AI1085" s="87"/>
      <c r="AJ1085" s="87"/>
      <c r="AK1085" s="87">
        <v>7</v>
      </c>
      <c r="AL1085" s="87"/>
      <c r="AM1085" s="87"/>
      <c r="AN1085" s="87"/>
      <c r="AO1085" s="87">
        <v>19</v>
      </c>
      <c r="AP1085" s="87">
        <v>150</v>
      </c>
      <c r="AQ1085" s="87"/>
      <c r="AR1085" s="87"/>
      <c r="AS1085" s="87"/>
      <c r="AT1085" s="87"/>
      <c r="AU1085" s="87">
        <v>2</v>
      </c>
      <c r="AV1085" s="87"/>
      <c r="AW1085" s="88" t="str">
        <f>HYPERLINK("http://www.openstreetmap.org/?mlat=37.176&amp;mlon=43.0111&amp;zoom=12#map=12/37.176/43.0111","Maplink1")</f>
        <v>Maplink1</v>
      </c>
      <c r="AX1085" s="88" t="str">
        <f>HYPERLINK("https://www.google.iq/maps/search/+37.176,43.0111/@37.176,43.0111,14z?hl=en","Maplink2")</f>
        <v>Maplink2</v>
      </c>
      <c r="AY1085" s="88" t="str">
        <f>HYPERLINK("http://www.bing.com/maps/?lvl=14&amp;sty=h&amp;cp=37.176~43.0111&amp;sp=point.37.176_43.0111","Maplink3")</f>
        <v>Maplink3</v>
      </c>
      <c r="AZ1085" s="76"/>
    </row>
    <row r="1086" spans="1:52" x14ac:dyDescent="0.25">
      <c r="A1086" s="86">
        <v>32025</v>
      </c>
      <c r="B1086" s="87" t="s">
        <v>16</v>
      </c>
      <c r="C1086" s="87" t="s">
        <v>2167</v>
      </c>
      <c r="D1086" s="87" t="s">
        <v>2180</v>
      </c>
      <c r="E1086" s="87" t="s">
        <v>2181</v>
      </c>
      <c r="F1086" s="87">
        <v>37.143665477100001</v>
      </c>
      <c r="G1086" s="87">
        <v>42.688566312799999</v>
      </c>
      <c r="H1086" s="86">
        <v>265</v>
      </c>
      <c r="I1086" s="86">
        <v>1590</v>
      </c>
      <c r="J1086" s="87"/>
      <c r="K1086" s="87"/>
      <c r="L1086" s="87"/>
      <c r="M1086" s="87"/>
      <c r="N1086" s="87"/>
      <c r="O1086" s="87"/>
      <c r="P1086" s="87"/>
      <c r="Q1086" s="87"/>
      <c r="R1086" s="87">
        <v>1</v>
      </c>
      <c r="S1086" s="87"/>
      <c r="T1086" s="87"/>
      <c r="U1086" s="87"/>
      <c r="V1086" s="87">
        <v>263</v>
      </c>
      <c r="W1086" s="87"/>
      <c r="X1086" s="87">
        <v>1</v>
      </c>
      <c r="Y1086" s="87"/>
      <c r="Z1086" s="87"/>
      <c r="AA1086" s="87"/>
      <c r="AB1086" s="87"/>
      <c r="AC1086" s="87">
        <v>11</v>
      </c>
      <c r="AD1086" s="87"/>
      <c r="AE1086" s="87"/>
      <c r="AF1086" s="87"/>
      <c r="AG1086" s="87"/>
      <c r="AH1086" s="87">
        <v>254</v>
      </c>
      <c r="AI1086" s="87"/>
      <c r="AJ1086" s="87"/>
      <c r="AK1086" s="87"/>
      <c r="AL1086" s="87"/>
      <c r="AM1086" s="87"/>
      <c r="AN1086" s="87"/>
      <c r="AO1086" s="87">
        <v>145</v>
      </c>
      <c r="AP1086" s="87">
        <v>92</v>
      </c>
      <c r="AQ1086" s="87"/>
      <c r="AR1086" s="87"/>
      <c r="AS1086" s="87"/>
      <c r="AT1086" s="87"/>
      <c r="AU1086" s="87">
        <v>28</v>
      </c>
      <c r="AV1086" s="87"/>
      <c r="AW1086" s="88" t="str">
        <f>HYPERLINK("http://www.openstreetmap.org/?mlat=37.1437&amp;mlon=42.6886&amp;zoom=12#map=12/37.1437/42.6886","Maplink1")</f>
        <v>Maplink1</v>
      </c>
      <c r="AX1086" s="88" t="str">
        <f>HYPERLINK("https://www.google.iq/maps/search/+37.1437,42.6886/@37.1437,42.6886,14z?hl=en","Maplink2")</f>
        <v>Maplink2</v>
      </c>
      <c r="AY1086" s="88" t="str">
        <f>HYPERLINK("http://www.bing.com/maps/?lvl=14&amp;sty=h&amp;cp=37.1437~42.6886&amp;sp=point.37.1437_42.6886","Maplink3")</f>
        <v>Maplink3</v>
      </c>
      <c r="AZ1086" s="76"/>
    </row>
    <row r="1087" spans="1:52" x14ac:dyDescent="0.25">
      <c r="A1087" s="86">
        <v>32027</v>
      </c>
      <c r="B1087" s="87" t="s">
        <v>16</v>
      </c>
      <c r="C1087" s="87" t="s">
        <v>2167</v>
      </c>
      <c r="D1087" s="87" t="s">
        <v>2182</v>
      </c>
      <c r="E1087" s="87" t="s">
        <v>2183</v>
      </c>
      <c r="F1087" s="87">
        <v>37.146676652799997</v>
      </c>
      <c r="G1087" s="87">
        <v>42.645522597099998</v>
      </c>
      <c r="H1087" s="86">
        <v>1180</v>
      </c>
      <c r="I1087" s="86">
        <v>7080</v>
      </c>
      <c r="J1087" s="87">
        <v>6</v>
      </c>
      <c r="K1087" s="87"/>
      <c r="L1087" s="87"/>
      <c r="M1087" s="87"/>
      <c r="N1087" s="87"/>
      <c r="O1087" s="87"/>
      <c r="P1087" s="87"/>
      <c r="Q1087" s="87"/>
      <c r="R1087" s="87">
        <v>5</v>
      </c>
      <c r="S1087" s="87"/>
      <c r="T1087" s="87"/>
      <c r="U1087" s="87"/>
      <c r="V1087" s="87">
        <v>1169</v>
      </c>
      <c r="W1087" s="87"/>
      <c r="X1087" s="87"/>
      <c r="Y1087" s="87"/>
      <c r="Z1087" s="87"/>
      <c r="AA1087" s="87"/>
      <c r="AB1087" s="87"/>
      <c r="AC1087" s="87">
        <v>38</v>
      </c>
      <c r="AD1087" s="87"/>
      <c r="AE1087" s="87"/>
      <c r="AF1087" s="87"/>
      <c r="AG1087" s="87"/>
      <c r="AH1087" s="87">
        <v>1090</v>
      </c>
      <c r="AI1087" s="87"/>
      <c r="AJ1087" s="87"/>
      <c r="AK1087" s="87">
        <v>52</v>
      </c>
      <c r="AL1087" s="87"/>
      <c r="AM1087" s="87"/>
      <c r="AN1087" s="87">
        <v>6</v>
      </c>
      <c r="AO1087" s="87">
        <v>243</v>
      </c>
      <c r="AP1087" s="87">
        <v>271</v>
      </c>
      <c r="AQ1087" s="87"/>
      <c r="AR1087" s="87"/>
      <c r="AS1087" s="87"/>
      <c r="AT1087" s="87"/>
      <c r="AU1087" s="87">
        <v>660</v>
      </c>
      <c r="AV1087" s="87"/>
      <c r="AW1087" s="88" t="str">
        <f>HYPERLINK("http://www.openstreetmap.org/?mlat=37.1467&amp;mlon=42.6455&amp;zoom=12#map=12/37.1467/42.6455","Maplink1")</f>
        <v>Maplink1</v>
      </c>
      <c r="AX1087" s="88" t="str">
        <f>HYPERLINK("https://www.google.iq/maps/search/+37.1467,42.6455/@37.1467,42.6455,14z?hl=en","Maplink2")</f>
        <v>Maplink2</v>
      </c>
      <c r="AY1087" s="88" t="str">
        <f>HYPERLINK("http://www.bing.com/maps/?lvl=14&amp;sty=h&amp;cp=37.1467~42.6455&amp;sp=point.37.1467_42.6455","Maplink3")</f>
        <v>Maplink3</v>
      </c>
      <c r="AZ1087" s="76"/>
    </row>
    <row r="1088" spans="1:52" x14ac:dyDescent="0.25">
      <c r="A1088" s="86">
        <v>24789</v>
      </c>
      <c r="B1088" s="87" t="s">
        <v>16</v>
      </c>
      <c r="C1088" s="87" t="s">
        <v>2167</v>
      </c>
      <c r="D1088" s="87" t="s">
        <v>2184</v>
      </c>
      <c r="E1088" s="87" t="s">
        <v>2185</v>
      </c>
      <c r="F1088" s="87">
        <v>37.180614888900003</v>
      </c>
      <c r="G1088" s="87">
        <v>42.857337064299998</v>
      </c>
      <c r="H1088" s="86">
        <v>1403</v>
      </c>
      <c r="I1088" s="86">
        <v>8418</v>
      </c>
      <c r="J1088" s="87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>
        <v>1403</v>
      </c>
      <c r="W1088" s="87"/>
      <c r="X1088" s="87"/>
      <c r="Y1088" s="87"/>
      <c r="Z1088" s="87"/>
      <c r="AA1088" s="87"/>
      <c r="AB1088" s="87">
        <v>1403</v>
      </c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>
        <v>21</v>
      </c>
      <c r="AP1088" s="87">
        <v>1372</v>
      </c>
      <c r="AQ1088" s="87"/>
      <c r="AR1088" s="87">
        <v>10</v>
      </c>
      <c r="AS1088" s="87"/>
      <c r="AT1088" s="87"/>
      <c r="AU1088" s="87"/>
      <c r="AV1088" s="87"/>
      <c r="AW1088" s="88" t="str">
        <f>HYPERLINK("http://www.openstreetmap.org/?mlat=37.1806&amp;mlon=42.8573&amp;zoom=12#map=12/37.1806/42.8573","Maplink1")</f>
        <v>Maplink1</v>
      </c>
      <c r="AX1088" s="88" t="str">
        <f>HYPERLINK("https://www.google.iq/maps/search/+37.1806,42.8573/@37.1806,42.8573,14z?hl=en","Maplink2")</f>
        <v>Maplink2</v>
      </c>
      <c r="AY1088" s="88" t="str">
        <f>HYPERLINK("http://www.bing.com/maps/?lvl=14&amp;sty=h&amp;cp=37.1806~42.8573&amp;sp=point.37.1806_42.8573","Maplink3")</f>
        <v>Maplink3</v>
      </c>
      <c r="AZ1088" s="76"/>
    </row>
    <row r="1089" spans="1:52" x14ac:dyDescent="0.25">
      <c r="A1089" s="86">
        <v>24792</v>
      </c>
      <c r="B1089" s="87" t="s">
        <v>16</v>
      </c>
      <c r="C1089" s="87" t="s">
        <v>2167</v>
      </c>
      <c r="D1089" s="87" t="s">
        <v>2186</v>
      </c>
      <c r="E1089" s="87" t="s">
        <v>2187</v>
      </c>
      <c r="F1089" s="87">
        <v>37.180823942499998</v>
      </c>
      <c r="G1089" s="87">
        <v>42.862288689000003</v>
      </c>
      <c r="H1089" s="86">
        <v>1720</v>
      </c>
      <c r="I1089" s="86">
        <v>10320</v>
      </c>
      <c r="J1089" s="87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>
        <v>1720</v>
      </c>
      <c r="W1089" s="87"/>
      <c r="X1089" s="87"/>
      <c r="Y1089" s="87"/>
      <c r="Z1089" s="87"/>
      <c r="AA1089" s="87"/>
      <c r="AB1089" s="87">
        <v>1720</v>
      </c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>
        <v>1720</v>
      </c>
      <c r="AQ1089" s="87"/>
      <c r="AR1089" s="87"/>
      <c r="AS1089" s="87"/>
      <c r="AT1089" s="87"/>
      <c r="AU1089" s="87"/>
      <c r="AV1089" s="87"/>
      <c r="AW1089" s="88" t="str">
        <f>HYPERLINK("http://www.openstreetmap.org/?mlat=37.1808&amp;mlon=42.8623&amp;zoom=12#map=12/37.1808/42.8623","Maplink1")</f>
        <v>Maplink1</v>
      </c>
      <c r="AX1089" s="88" t="str">
        <f>HYPERLINK("https://www.google.iq/maps/search/+37.1808,42.8623/@37.1808,42.8623,14z?hl=en","Maplink2")</f>
        <v>Maplink2</v>
      </c>
      <c r="AY1089" s="88" t="str">
        <f>HYPERLINK("http://www.bing.com/maps/?lvl=14&amp;sty=h&amp;cp=37.1808~42.8623&amp;sp=point.37.1808_42.8623","Maplink3")</f>
        <v>Maplink3</v>
      </c>
      <c r="AZ1089" s="76"/>
    </row>
    <row r="1090" spans="1:52" x14ac:dyDescent="0.25">
      <c r="A1090" s="86">
        <v>8212</v>
      </c>
      <c r="B1090" s="87" t="s">
        <v>16</v>
      </c>
      <c r="C1090" s="87" t="s">
        <v>2167</v>
      </c>
      <c r="D1090" s="87" t="s">
        <v>2188</v>
      </c>
      <c r="E1090" s="87" t="s">
        <v>2189</v>
      </c>
      <c r="F1090" s="87">
        <v>37.1900080837</v>
      </c>
      <c r="G1090" s="87">
        <v>42.856323498099997</v>
      </c>
      <c r="H1090" s="86">
        <v>73</v>
      </c>
      <c r="I1090" s="86">
        <v>438</v>
      </c>
      <c r="J1090" s="87"/>
      <c r="K1090" s="87"/>
      <c r="L1090" s="87">
        <v>1</v>
      </c>
      <c r="M1090" s="87"/>
      <c r="N1090" s="87"/>
      <c r="O1090" s="87"/>
      <c r="P1090" s="87"/>
      <c r="Q1090" s="87"/>
      <c r="R1090" s="87"/>
      <c r="S1090" s="87"/>
      <c r="T1090" s="87"/>
      <c r="U1090" s="87"/>
      <c r="V1090" s="87">
        <v>72</v>
      </c>
      <c r="W1090" s="87"/>
      <c r="X1090" s="87"/>
      <c r="Y1090" s="87"/>
      <c r="Z1090" s="87"/>
      <c r="AA1090" s="87"/>
      <c r="AB1090" s="87"/>
      <c r="AC1090" s="87">
        <v>11</v>
      </c>
      <c r="AD1090" s="87"/>
      <c r="AE1090" s="87"/>
      <c r="AF1090" s="87"/>
      <c r="AG1090" s="87"/>
      <c r="AH1090" s="87">
        <v>59</v>
      </c>
      <c r="AI1090" s="87"/>
      <c r="AJ1090" s="87"/>
      <c r="AK1090" s="87">
        <v>3</v>
      </c>
      <c r="AL1090" s="87"/>
      <c r="AM1090" s="87"/>
      <c r="AN1090" s="87"/>
      <c r="AO1090" s="87">
        <v>34</v>
      </c>
      <c r="AP1090" s="87">
        <v>39</v>
      </c>
      <c r="AQ1090" s="87"/>
      <c r="AR1090" s="87"/>
      <c r="AS1090" s="87"/>
      <c r="AT1090" s="87"/>
      <c r="AU1090" s="87"/>
      <c r="AV1090" s="87"/>
      <c r="AW1090" s="88" t="str">
        <f>HYPERLINK("http://www.openstreetmap.org/?mlat=37.19&amp;mlon=42.8563&amp;zoom=12#map=12/37.19/42.8563","Maplink1")</f>
        <v>Maplink1</v>
      </c>
      <c r="AX1090" s="88" t="str">
        <f>HYPERLINK("https://www.google.iq/maps/search/+37.19,42.8563/@37.19,42.8563,14z?hl=en","Maplink2")</f>
        <v>Maplink2</v>
      </c>
      <c r="AY1090" s="88" t="str">
        <f>HYPERLINK("http://www.bing.com/maps/?lvl=14&amp;sty=h&amp;cp=37.19~42.8563&amp;sp=point.37.19_42.8563","Maplink3")</f>
        <v>Maplink3</v>
      </c>
      <c r="AZ1090" s="76"/>
    </row>
    <row r="1091" spans="1:52" x14ac:dyDescent="0.25">
      <c r="A1091" s="86">
        <v>32026</v>
      </c>
      <c r="B1091" s="87" t="s">
        <v>16</v>
      </c>
      <c r="C1091" s="87" t="s">
        <v>2167</v>
      </c>
      <c r="D1091" s="87" t="s">
        <v>2190</v>
      </c>
      <c r="E1091" s="87" t="s">
        <v>2191</v>
      </c>
      <c r="F1091" s="87">
        <v>37.059891636899998</v>
      </c>
      <c r="G1091" s="87">
        <v>42.733302756199997</v>
      </c>
      <c r="H1091" s="86">
        <v>160</v>
      </c>
      <c r="I1091" s="86">
        <v>960</v>
      </c>
      <c r="J1091" s="87">
        <v>1</v>
      </c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>
        <v>159</v>
      </c>
      <c r="W1091" s="87"/>
      <c r="X1091" s="87"/>
      <c r="Y1091" s="87"/>
      <c r="Z1091" s="87"/>
      <c r="AA1091" s="87"/>
      <c r="AB1091" s="87"/>
      <c r="AC1091" s="87">
        <v>13</v>
      </c>
      <c r="AD1091" s="87"/>
      <c r="AE1091" s="87"/>
      <c r="AF1091" s="87"/>
      <c r="AG1091" s="87"/>
      <c r="AH1091" s="87">
        <v>139</v>
      </c>
      <c r="AI1091" s="87"/>
      <c r="AJ1091" s="87"/>
      <c r="AK1091" s="87">
        <v>8</v>
      </c>
      <c r="AL1091" s="87"/>
      <c r="AM1091" s="87"/>
      <c r="AN1091" s="87">
        <v>1</v>
      </c>
      <c r="AO1091" s="87">
        <v>70</v>
      </c>
      <c r="AP1091" s="87">
        <v>57</v>
      </c>
      <c r="AQ1091" s="87"/>
      <c r="AR1091" s="87"/>
      <c r="AS1091" s="87"/>
      <c r="AT1091" s="87"/>
      <c r="AU1091" s="87">
        <v>32</v>
      </c>
      <c r="AV1091" s="87"/>
      <c r="AW1091" s="88" t="str">
        <f>HYPERLINK("http://www.openstreetmap.org/?mlat=37.0599&amp;mlon=42.7333&amp;zoom=12#map=12/37.0599/42.7333","Maplink1")</f>
        <v>Maplink1</v>
      </c>
      <c r="AX1091" s="88" t="str">
        <f>HYPERLINK("https://www.google.iq/maps/search/+37.0599,42.7333/@37.0599,42.7333,14z?hl=en","Maplink2")</f>
        <v>Maplink2</v>
      </c>
      <c r="AY1091" s="88" t="str">
        <f>HYPERLINK("http://www.bing.com/maps/?lvl=14&amp;sty=h&amp;cp=37.0599~42.7333&amp;sp=point.37.0599_42.7333","Maplink3")</f>
        <v>Maplink3</v>
      </c>
      <c r="AZ1091" s="76"/>
    </row>
    <row r="1092" spans="1:52" x14ac:dyDescent="0.25">
      <c r="A1092" s="86">
        <v>24793</v>
      </c>
      <c r="B1092" s="87" t="s">
        <v>16</v>
      </c>
      <c r="C1092" s="87" t="s">
        <v>2167</v>
      </c>
      <c r="D1092" s="87" t="s">
        <v>2192</v>
      </c>
      <c r="E1092" s="87" t="s">
        <v>2193</v>
      </c>
      <c r="F1092" s="87">
        <v>37.177850312300002</v>
      </c>
      <c r="G1092" s="87">
        <v>42.667421181800002</v>
      </c>
      <c r="H1092" s="86">
        <v>5002</v>
      </c>
      <c r="I1092" s="86">
        <v>30012</v>
      </c>
      <c r="J1092" s="87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>
        <v>5002</v>
      </c>
      <c r="W1092" s="87"/>
      <c r="X1092" s="87"/>
      <c r="Y1092" s="87"/>
      <c r="Z1092" s="87"/>
      <c r="AA1092" s="87"/>
      <c r="AB1092" s="87">
        <v>5002</v>
      </c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>
        <v>15</v>
      </c>
      <c r="AP1092" s="87">
        <v>4987</v>
      </c>
      <c r="AQ1092" s="87"/>
      <c r="AR1092" s="87"/>
      <c r="AS1092" s="87"/>
      <c r="AT1092" s="87"/>
      <c r="AU1092" s="87"/>
      <c r="AV1092" s="87"/>
      <c r="AW1092" s="88" t="str">
        <f>HYPERLINK("http://www.openstreetmap.org/?mlat=37.1779&amp;mlon=42.6674&amp;zoom=12#map=12/37.1779/42.6674","Maplink1")</f>
        <v>Maplink1</v>
      </c>
      <c r="AX1092" s="88" t="str">
        <f>HYPERLINK("https://www.google.iq/maps/search/+37.1779,42.6674/@37.1779,42.6674,14z?hl=en","Maplink2")</f>
        <v>Maplink2</v>
      </c>
      <c r="AY1092" s="88" t="str">
        <f>HYPERLINK("http://www.bing.com/maps/?lvl=14&amp;sty=h&amp;cp=37.1779~42.6674&amp;sp=point.37.1779_42.6674","Maplink3")</f>
        <v>Maplink3</v>
      </c>
      <c r="AZ1092" s="76"/>
    </row>
    <row r="1093" spans="1:52" x14ac:dyDescent="0.25">
      <c r="A1093" s="86">
        <v>8766</v>
      </c>
      <c r="B1093" s="87" t="s">
        <v>16</v>
      </c>
      <c r="C1093" s="87" t="s">
        <v>2167</v>
      </c>
      <c r="D1093" s="87" t="s">
        <v>2194</v>
      </c>
      <c r="E1093" s="87" t="s">
        <v>2195</v>
      </c>
      <c r="F1093" s="87">
        <v>37.138846008999998</v>
      </c>
      <c r="G1093" s="87">
        <v>42.617190277399999</v>
      </c>
      <c r="H1093" s="86">
        <v>69</v>
      </c>
      <c r="I1093" s="86">
        <v>414</v>
      </c>
      <c r="J1093" s="87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>
        <v>69</v>
      </c>
      <c r="W1093" s="87"/>
      <c r="X1093" s="87"/>
      <c r="Y1093" s="87"/>
      <c r="Z1093" s="87"/>
      <c r="AA1093" s="87"/>
      <c r="AB1093" s="87"/>
      <c r="AC1093" s="87">
        <v>3</v>
      </c>
      <c r="AD1093" s="87"/>
      <c r="AE1093" s="87"/>
      <c r="AF1093" s="87"/>
      <c r="AG1093" s="87"/>
      <c r="AH1093" s="87">
        <v>66</v>
      </c>
      <c r="AI1093" s="87"/>
      <c r="AJ1093" s="87"/>
      <c r="AK1093" s="87"/>
      <c r="AL1093" s="87"/>
      <c r="AM1093" s="87"/>
      <c r="AN1093" s="87"/>
      <c r="AO1093" s="87"/>
      <c r="AP1093" s="87">
        <v>48</v>
      </c>
      <c r="AQ1093" s="87"/>
      <c r="AR1093" s="87"/>
      <c r="AS1093" s="87"/>
      <c r="AT1093" s="87"/>
      <c r="AU1093" s="87">
        <v>21</v>
      </c>
      <c r="AV1093" s="87"/>
      <c r="AW1093" s="88" t="str">
        <f>HYPERLINK("http://www.openstreetmap.org/?mlat=37.1388&amp;mlon=42.6172&amp;zoom=12#map=12/37.1388/42.6172","Maplink1")</f>
        <v>Maplink1</v>
      </c>
      <c r="AX1093" s="88" t="str">
        <f>HYPERLINK("https://www.google.iq/maps/search/+37.1388,42.6172/@37.1388,42.6172,14z?hl=en","Maplink2")</f>
        <v>Maplink2</v>
      </c>
      <c r="AY1093" s="88" t="str">
        <f>HYPERLINK("http://www.bing.com/maps/?lvl=14&amp;sty=h&amp;cp=37.1388~42.6172&amp;sp=point.37.1388_42.6172","Maplink3")</f>
        <v>Maplink3</v>
      </c>
      <c r="AZ1093" s="76"/>
    </row>
    <row r="1094" spans="1:52" x14ac:dyDescent="0.25">
      <c r="A1094" s="86">
        <v>8220</v>
      </c>
      <c r="B1094" s="87" t="s">
        <v>16</v>
      </c>
      <c r="C1094" s="87" t="s">
        <v>2167</v>
      </c>
      <c r="D1094" s="87" t="s">
        <v>2196</v>
      </c>
      <c r="E1094" s="87" t="s">
        <v>2197</v>
      </c>
      <c r="F1094" s="87">
        <v>37.171342137899998</v>
      </c>
      <c r="G1094" s="87">
        <v>42.7510071118</v>
      </c>
      <c r="H1094" s="86">
        <v>10</v>
      </c>
      <c r="I1094" s="86">
        <v>60</v>
      </c>
      <c r="J1094" s="87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>
        <v>10</v>
      </c>
      <c r="W1094" s="87"/>
      <c r="X1094" s="87"/>
      <c r="Y1094" s="87"/>
      <c r="Z1094" s="87"/>
      <c r="AA1094" s="87"/>
      <c r="AB1094" s="87"/>
      <c r="AC1094" s="87">
        <v>10</v>
      </c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>
        <v>10</v>
      </c>
      <c r="AQ1094" s="87"/>
      <c r="AR1094" s="87"/>
      <c r="AS1094" s="87"/>
      <c r="AT1094" s="87"/>
      <c r="AU1094" s="87"/>
      <c r="AV1094" s="87"/>
      <c r="AW1094" s="88" t="str">
        <f>HYPERLINK("http://www.openstreetmap.org/?mlat=37.1713&amp;mlon=42.751&amp;zoom=12#map=12/37.1713/42.751","Maplink1")</f>
        <v>Maplink1</v>
      </c>
      <c r="AX1094" s="88" t="str">
        <f>HYPERLINK("https://www.google.iq/maps/search/+37.1713,42.751/@37.1713,42.751,14z?hl=en","Maplink2")</f>
        <v>Maplink2</v>
      </c>
      <c r="AY1094" s="88" t="str">
        <f>HYPERLINK("http://www.bing.com/maps/?lvl=14&amp;sty=h&amp;cp=37.1713~42.751&amp;sp=point.37.1713_42.751","Maplink3")</f>
        <v>Maplink3</v>
      </c>
      <c r="AZ1094" s="76"/>
    </row>
    <row r="1095" spans="1:52" x14ac:dyDescent="0.25">
      <c r="A1095" s="86">
        <v>8084</v>
      </c>
      <c r="B1095" s="87" t="s">
        <v>16</v>
      </c>
      <c r="C1095" s="87" t="s">
        <v>2167</v>
      </c>
      <c r="D1095" s="87" t="s">
        <v>2198</v>
      </c>
      <c r="E1095" s="87" t="s">
        <v>2199</v>
      </c>
      <c r="F1095" s="87">
        <v>37.1977073109</v>
      </c>
      <c r="G1095" s="87">
        <v>42.821097299500003</v>
      </c>
      <c r="H1095" s="86">
        <v>308</v>
      </c>
      <c r="I1095" s="86">
        <v>1848</v>
      </c>
      <c r="J1095" s="87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>
        <v>308</v>
      </c>
      <c r="W1095" s="87"/>
      <c r="X1095" s="87"/>
      <c r="Y1095" s="87"/>
      <c r="Z1095" s="87"/>
      <c r="AA1095" s="87"/>
      <c r="AB1095" s="87"/>
      <c r="AC1095" s="87">
        <v>43</v>
      </c>
      <c r="AD1095" s="87"/>
      <c r="AE1095" s="87"/>
      <c r="AF1095" s="87"/>
      <c r="AG1095" s="87"/>
      <c r="AH1095" s="87">
        <v>234</v>
      </c>
      <c r="AI1095" s="87"/>
      <c r="AJ1095" s="87"/>
      <c r="AK1095" s="87">
        <v>31</v>
      </c>
      <c r="AL1095" s="87"/>
      <c r="AM1095" s="87"/>
      <c r="AN1095" s="87"/>
      <c r="AO1095" s="87">
        <v>27</v>
      </c>
      <c r="AP1095" s="87">
        <v>247</v>
      </c>
      <c r="AQ1095" s="87"/>
      <c r="AR1095" s="87"/>
      <c r="AS1095" s="87"/>
      <c r="AT1095" s="87"/>
      <c r="AU1095" s="87">
        <v>34</v>
      </c>
      <c r="AV1095" s="87"/>
      <c r="AW1095" s="88" t="str">
        <f>HYPERLINK("http://www.openstreetmap.org/?mlat=37.1977&amp;mlon=42.8211&amp;zoom=12#map=12/37.1977/42.8211","Maplink1")</f>
        <v>Maplink1</v>
      </c>
      <c r="AX1095" s="88" t="str">
        <f>HYPERLINK("https://www.google.iq/maps/search/+37.1977,42.8211/@37.1977,42.8211,14z?hl=en","Maplink2")</f>
        <v>Maplink2</v>
      </c>
      <c r="AY1095" s="88" t="str">
        <f>HYPERLINK("http://www.bing.com/maps/?lvl=14&amp;sty=h&amp;cp=37.1977~42.8211&amp;sp=point.37.1977_42.8211","Maplink3")</f>
        <v>Maplink3</v>
      </c>
      <c r="AZ1095" s="76"/>
    </row>
    <row r="1096" spans="1:52" x14ac:dyDescent="0.25">
      <c r="A1096" s="86">
        <v>29568</v>
      </c>
      <c r="B1096" s="87" t="s">
        <v>16</v>
      </c>
      <c r="C1096" s="87" t="s">
        <v>2167</v>
      </c>
      <c r="D1096" s="87" t="s">
        <v>2200</v>
      </c>
      <c r="E1096" s="87" t="s">
        <v>2201</v>
      </c>
      <c r="F1096" s="87">
        <v>37.199016558399997</v>
      </c>
      <c r="G1096" s="87">
        <v>42.833261707799998</v>
      </c>
      <c r="H1096" s="86">
        <v>726</v>
      </c>
      <c r="I1096" s="86">
        <v>4356</v>
      </c>
      <c r="J1096" s="87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>
        <v>726</v>
      </c>
      <c r="W1096" s="87"/>
      <c r="X1096" s="87"/>
      <c r="Y1096" s="87"/>
      <c r="Z1096" s="87"/>
      <c r="AA1096" s="87"/>
      <c r="AB1096" s="87">
        <v>726</v>
      </c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>
        <v>726</v>
      </c>
      <c r="AQ1096" s="87"/>
      <c r="AR1096" s="87"/>
      <c r="AS1096" s="87"/>
      <c r="AT1096" s="87"/>
      <c r="AU1096" s="87"/>
      <c r="AV1096" s="87"/>
      <c r="AW1096" s="88" t="str">
        <f>HYPERLINK("http://www.openstreetmap.org/?mlat=37.199&amp;mlon=42.8333&amp;zoom=12#map=12/37.199/42.8333","Maplink1")</f>
        <v>Maplink1</v>
      </c>
      <c r="AX1096" s="88" t="str">
        <f>HYPERLINK("https://www.google.iq/maps/search/+37.199,42.8333/@37.199,42.8333,14z?hl=en","Maplink2")</f>
        <v>Maplink2</v>
      </c>
      <c r="AY1096" s="88" t="str">
        <f>HYPERLINK("http://www.bing.com/maps/?lvl=14&amp;sty=h&amp;cp=37.199~42.8333&amp;sp=point.37.199_42.8333","Maplink3")</f>
        <v>Maplink3</v>
      </c>
      <c r="AZ1096" s="76"/>
    </row>
    <row r="1097" spans="1:52" x14ac:dyDescent="0.25">
      <c r="A1097" s="86">
        <v>25992</v>
      </c>
      <c r="B1097" s="87" t="s">
        <v>16</v>
      </c>
      <c r="C1097" s="87" t="s">
        <v>2167</v>
      </c>
      <c r="D1097" s="87" t="s">
        <v>2202</v>
      </c>
      <c r="E1097" s="87" t="s">
        <v>2203</v>
      </c>
      <c r="F1097" s="87">
        <v>37.085551531699998</v>
      </c>
      <c r="G1097" s="87">
        <v>42.427248973799998</v>
      </c>
      <c r="H1097" s="86">
        <v>591</v>
      </c>
      <c r="I1097" s="86">
        <v>3546</v>
      </c>
      <c r="J1097" s="87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>
        <v>591</v>
      </c>
      <c r="W1097" s="87"/>
      <c r="X1097" s="87"/>
      <c r="Y1097" s="87"/>
      <c r="Z1097" s="87"/>
      <c r="AA1097" s="87"/>
      <c r="AB1097" s="87"/>
      <c r="AC1097" s="87">
        <v>80</v>
      </c>
      <c r="AD1097" s="87"/>
      <c r="AE1097" s="87">
        <v>296</v>
      </c>
      <c r="AF1097" s="87"/>
      <c r="AG1097" s="87"/>
      <c r="AH1097" s="87">
        <v>185</v>
      </c>
      <c r="AI1097" s="87"/>
      <c r="AJ1097" s="87"/>
      <c r="AK1097" s="87">
        <v>30</v>
      </c>
      <c r="AL1097" s="87"/>
      <c r="AM1097" s="87"/>
      <c r="AN1097" s="87"/>
      <c r="AO1097" s="87">
        <v>1</v>
      </c>
      <c r="AP1097" s="87">
        <v>590</v>
      </c>
      <c r="AQ1097" s="87"/>
      <c r="AR1097" s="87"/>
      <c r="AS1097" s="87"/>
      <c r="AT1097" s="87"/>
      <c r="AU1097" s="87"/>
      <c r="AV1097" s="87"/>
      <c r="AW1097" s="88" t="str">
        <f>HYPERLINK("http://www.openstreetmap.org/?mlat=37.0856&amp;mlon=42.4272&amp;zoom=12#map=12/37.0856/42.4272","Maplink1")</f>
        <v>Maplink1</v>
      </c>
      <c r="AX1097" s="88" t="str">
        <f>HYPERLINK("https://www.google.iq/maps/search/+37.0856,42.4272/@37.0856,42.4272,14z?hl=en","Maplink2")</f>
        <v>Maplink2</v>
      </c>
      <c r="AY1097" s="88" t="str">
        <f>HYPERLINK("http://www.bing.com/maps/?lvl=14&amp;sty=h&amp;cp=37.0856~42.4272&amp;sp=point.37.0856_42.4272","Maplink3")</f>
        <v>Maplink3</v>
      </c>
      <c r="AZ1097" s="76"/>
    </row>
    <row r="1098" spans="1:52" x14ac:dyDescent="0.25">
      <c r="A1098" s="86">
        <v>32032</v>
      </c>
      <c r="B1098" s="87" t="s">
        <v>16</v>
      </c>
      <c r="C1098" s="87" t="s">
        <v>2167</v>
      </c>
      <c r="D1098" s="87" t="s">
        <v>2204</v>
      </c>
      <c r="E1098" s="87" t="s">
        <v>2205</v>
      </c>
      <c r="F1098" s="87">
        <v>37.157997122300003</v>
      </c>
      <c r="G1098" s="87">
        <v>42.708881148000003</v>
      </c>
      <c r="H1098" s="86">
        <v>860</v>
      </c>
      <c r="I1098" s="86">
        <v>5160</v>
      </c>
      <c r="J1098" s="87">
        <v>2</v>
      </c>
      <c r="K1098" s="87"/>
      <c r="L1098" s="87"/>
      <c r="M1098" s="87"/>
      <c r="N1098" s="87"/>
      <c r="O1098" s="87"/>
      <c r="P1098" s="87"/>
      <c r="Q1098" s="87"/>
      <c r="R1098" s="87">
        <v>1</v>
      </c>
      <c r="S1098" s="87"/>
      <c r="T1098" s="87"/>
      <c r="U1098" s="87"/>
      <c r="V1098" s="87">
        <v>857</v>
      </c>
      <c r="W1098" s="87"/>
      <c r="X1098" s="87"/>
      <c r="Y1098" s="87"/>
      <c r="Z1098" s="87"/>
      <c r="AA1098" s="87"/>
      <c r="AB1098" s="87"/>
      <c r="AC1098" s="87">
        <v>40</v>
      </c>
      <c r="AD1098" s="87"/>
      <c r="AE1098" s="87"/>
      <c r="AF1098" s="87"/>
      <c r="AG1098" s="87"/>
      <c r="AH1098" s="87">
        <v>723</v>
      </c>
      <c r="AI1098" s="87"/>
      <c r="AJ1098" s="87"/>
      <c r="AK1098" s="87">
        <v>97</v>
      </c>
      <c r="AL1098" s="87"/>
      <c r="AM1098" s="87"/>
      <c r="AN1098" s="87">
        <v>2</v>
      </c>
      <c r="AO1098" s="87">
        <v>199</v>
      </c>
      <c r="AP1098" s="87">
        <v>464</v>
      </c>
      <c r="AQ1098" s="87"/>
      <c r="AR1098" s="87">
        <v>5</v>
      </c>
      <c r="AS1098" s="87"/>
      <c r="AT1098" s="87"/>
      <c r="AU1098" s="87">
        <v>190</v>
      </c>
      <c r="AV1098" s="87"/>
      <c r="AW1098" s="88" t="str">
        <f>HYPERLINK("http://www.openstreetmap.org/?mlat=37.158&amp;mlon=42.7089&amp;zoom=12#map=12/37.158/42.7089","Maplink1")</f>
        <v>Maplink1</v>
      </c>
      <c r="AX1098" s="88" t="str">
        <f>HYPERLINK("https://www.google.iq/maps/search/+37.158,42.7089/@37.158,42.7089,14z?hl=en","Maplink2")</f>
        <v>Maplink2</v>
      </c>
      <c r="AY1098" s="88" t="str">
        <f>HYPERLINK("http://www.bing.com/maps/?lvl=14&amp;sty=h&amp;cp=37.158~42.7089&amp;sp=point.37.158_42.7089","Maplink3")</f>
        <v>Maplink3</v>
      </c>
      <c r="AZ1098" s="76"/>
    </row>
    <row r="1099" spans="1:52" x14ac:dyDescent="0.25">
      <c r="A1099" s="86">
        <v>23620</v>
      </c>
      <c r="B1099" s="87" t="s">
        <v>16</v>
      </c>
      <c r="C1099" s="87" t="s">
        <v>2167</v>
      </c>
      <c r="D1099" s="87" t="s">
        <v>2206</v>
      </c>
      <c r="E1099" s="87" t="s">
        <v>2207</v>
      </c>
      <c r="F1099" s="87">
        <v>37.067288131700003</v>
      </c>
      <c r="G1099" s="87">
        <v>42.376862309800003</v>
      </c>
      <c r="H1099" s="86">
        <v>57</v>
      </c>
      <c r="I1099" s="86">
        <v>342</v>
      </c>
      <c r="J1099" s="87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>
        <v>57</v>
      </c>
      <c r="W1099" s="87"/>
      <c r="X1099" s="87"/>
      <c r="Y1099" s="87"/>
      <c r="Z1099" s="87"/>
      <c r="AA1099" s="87"/>
      <c r="AB1099" s="87"/>
      <c r="AC1099" s="87">
        <v>11</v>
      </c>
      <c r="AD1099" s="87"/>
      <c r="AE1099" s="87">
        <v>10</v>
      </c>
      <c r="AF1099" s="87"/>
      <c r="AG1099" s="87"/>
      <c r="AH1099" s="87">
        <v>3</v>
      </c>
      <c r="AI1099" s="87"/>
      <c r="AJ1099" s="87"/>
      <c r="AK1099" s="87">
        <v>33</v>
      </c>
      <c r="AL1099" s="87"/>
      <c r="AM1099" s="87"/>
      <c r="AN1099" s="87"/>
      <c r="AO1099" s="87">
        <v>3</v>
      </c>
      <c r="AP1099" s="87">
        <v>54</v>
      </c>
      <c r="AQ1099" s="87"/>
      <c r="AR1099" s="87"/>
      <c r="AS1099" s="87"/>
      <c r="AT1099" s="87"/>
      <c r="AU1099" s="87"/>
      <c r="AV1099" s="87"/>
      <c r="AW1099" s="88" t="str">
        <f>HYPERLINK("http://www.openstreetmap.org/?mlat=37.0673&amp;mlon=42.3769&amp;zoom=12#map=12/37.0673/42.3769","Maplink1")</f>
        <v>Maplink1</v>
      </c>
      <c r="AX1099" s="88" t="str">
        <f>HYPERLINK("https://www.google.iq/maps/search/+37.0673,42.3769/@37.0673,42.3769,14z?hl=en","Maplink2")</f>
        <v>Maplink2</v>
      </c>
      <c r="AY1099" s="88" t="str">
        <f>HYPERLINK("http://www.bing.com/maps/?lvl=14&amp;sty=h&amp;cp=37.0673~42.3769&amp;sp=point.37.0673_42.3769","Maplink3")</f>
        <v>Maplink3</v>
      </c>
      <c r="AZ1099" s="76"/>
    </row>
    <row r="1100" spans="1:52" x14ac:dyDescent="0.25">
      <c r="A1100" s="86">
        <v>8718</v>
      </c>
      <c r="B1100" s="87" t="s">
        <v>16</v>
      </c>
      <c r="C1100" s="87" t="s">
        <v>2167</v>
      </c>
      <c r="D1100" s="87" t="s">
        <v>2208</v>
      </c>
      <c r="E1100" s="87" t="s">
        <v>2209</v>
      </c>
      <c r="F1100" s="87">
        <v>37.109666493200002</v>
      </c>
      <c r="G1100" s="87">
        <v>43.0578921663</v>
      </c>
      <c r="H1100" s="86">
        <v>19</v>
      </c>
      <c r="I1100" s="86">
        <v>114</v>
      </c>
      <c r="J1100" s="87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>
        <v>19</v>
      </c>
      <c r="W1100" s="87"/>
      <c r="X1100" s="87"/>
      <c r="Y1100" s="87"/>
      <c r="Z1100" s="87"/>
      <c r="AA1100" s="87"/>
      <c r="AB1100" s="87"/>
      <c r="AC1100" s="87">
        <v>11</v>
      </c>
      <c r="AD1100" s="87"/>
      <c r="AE1100" s="87"/>
      <c r="AF1100" s="87"/>
      <c r="AG1100" s="87"/>
      <c r="AH1100" s="87">
        <v>3</v>
      </c>
      <c r="AI1100" s="87"/>
      <c r="AJ1100" s="87"/>
      <c r="AK1100" s="87">
        <v>5</v>
      </c>
      <c r="AL1100" s="87"/>
      <c r="AM1100" s="87"/>
      <c r="AN1100" s="87"/>
      <c r="AO1100" s="87">
        <v>6</v>
      </c>
      <c r="AP1100" s="87">
        <v>13</v>
      </c>
      <c r="AQ1100" s="87"/>
      <c r="AR1100" s="87"/>
      <c r="AS1100" s="87"/>
      <c r="AT1100" s="87"/>
      <c r="AU1100" s="87"/>
      <c r="AV1100" s="87"/>
      <c r="AW1100" s="88" t="str">
        <f>HYPERLINK("http://www.openstreetmap.org/?mlat=37.1097&amp;mlon=43.0579&amp;zoom=12#map=12/37.1097/43.0579","Maplink1")</f>
        <v>Maplink1</v>
      </c>
      <c r="AX1100" s="88" t="str">
        <f>HYPERLINK("https://www.google.iq/maps/search/+37.1097,43.0579/@37.1097,43.0579,14z?hl=en","Maplink2")</f>
        <v>Maplink2</v>
      </c>
      <c r="AY1100" s="88" t="str">
        <f>HYPERLINK("http://www.bing.com/maps/?lvl=14&amp;sty=h&amp;cp=37.1097~43.0579&amp;sp=point.37.1097_43.0579","Maplink3")</f>
        <v>Maplink3</v>
      </c>
      <c r="AZ1100" s="76"/>
    </row>
    <row r="1101" spans="1:52" x14ac:dyDescent="0.25">
      <c r="A1101" s="86">
        <v>33580</v>
      </c>
      <c r="B1101" s="87" t="s">
        <v>16</v>
      </c>
      <c r="C1101" s="87" t="s">
        <v>2167</v>
      </c>
      <c r="D1101" s="87" t="s">
        <v>2210</v>
      </c>
      <c r="E1101" s="87" t="s">
        <v>2211</v>
      </c>
      <c r="F1101" s="87">
        <v>37.180950084800003</v>
      </c>
      <c r="G1101" s="87">
        <v>42.785288930500002</v>
      </c>
      <c r="H1101" s="86">
        <v>31</v>
      </c>
      <c r="I1101" s="86">
        <v>186</v>
      </c>
      <c r="J1101" s="87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>
        <v>31</v>
      </c>
      <c r="W1101" s="87"/>
      <c r="X1101" s="87"/>
      <c r="Y1101" s="87"/>
      <c r="Z1101" s="87"/>
      <c r="AA1101" s="87"/>
      <c r="AB1101" s="87"/>
      <c r="AC1101" s="87">
        <v>2</v>
      </c>
      <c r="AD1101" s="87"/>
      <c r="AE1101" s="87"/>
      <c r="AF1101" s="87"/>
      <c r="AG1101" s="87"/>
      <c r="AH1101" s="87">
        <v>29</v>
      </c>
      <c r="AI1101" s="87"/>
      <c r="AJ1101" s="87"/>
      <c r="AK1101" s="87"/>
      <c r="AL1101" s="87"/>
      <c r="AM1101" s="87"/>
      <c r="AN1101" s="87"/>
      <c r="AO1101" s="87">
        <v>14</v>
      </c>
      <c r="AP1101" s="87">
        <v>17</v>
      </c>
      <c r="AQ1101" s="87"/>
      <c r="AR1101" s="87"/>
      <c r="AS1101" s="87"/>
      <c r="AT1101" s="87"/>
      <c r="AU1101" s="87"/>
      <c r="AV1101" s="87"/>
      <c r="AW1101" s="88" t="str">
        <f>HYPERLINK("http://www.openstreetmap.org/?mlat=37.181&amp;mlon=42.7853&amp;zoom=12#map=12/37.181/42.7853","Maplink1")</f>
        <v>Maplink1</v>
      </c>
      <c r="AX1101" s="88" t="str">
        <f>HYPERLINK("https://www.google.iq/maps/search/+37.181,42.7853/@37.181,42.7853,14z?hl=en","Maplink2")</f>
        <v>Maplink2</v>
      </c>
      <c r="AY1101" s="88" t="str">
        <f>HYPERLINK("http://www.bing.com/maps/?lvl=14&amp;sty=h&amp;cp=37.181~42.7853&amp;sp=point.37.181_42.7853","Maplink3")</f>
        <v>Maplink3</v>
      </c>
      <c r="AZ1101" s="76"/>
    </row>
    <row r="1102" spans="1:52" x14ac:dyDescent="0.25">
      <c r="A1102" s="86">
        <v>8156</v>
      </c>
      <c r="B1102" s="87" t="s">
        <v>16</v>
      </c>
      <c r="C1102" s="87" t="s">
        <v>2167</v>
      </c>
      <c r="D1102" s="87" t="s">
        <v>2212</v>
      </c>
      <c r="E1102" s="87" t="s">
        <v>2213</v>
      </c>
      <c r="F1102" s="87">
        <v>37.180446202799999</v>
      </c>
      <c r="G1102" s="87">
        <v>42.809346829100001</v>
      </c>
      <c r="H1102" s="86">
        <v>208</v>
      </c>
      <c r="I1102" s="86">
        <v>1248</v>
      </c>
      <c r="J1102" s="87"/>
      <c r="K1102" s="87"/>
      <c r="L1102" s="87">
        <v>1</v>
      </c>
      <c r="M1102" s="87"/>
      <c r="N1102" s="87"/>
      <c r="O1102" s="87"/>
      <c r="P1102" s="87"/>
      <c r="Q1102" s="87"/>
      <c r="R1102" s="87"/>
      <c r="S1102" s="87"/>
      <c r="T1102" s="87"/>
      <c r="U1102" s="87"/>
      <c r="V1102" s="87">
        <v>207</v>
      </c>
      <c r="W1102" s="87"/>
      <c r="X1102" s="87"/>
      <c r="Y1102" s="87"/>
      <c r="Z1102" s="87"/>
      <c r="AA1102" s="87"/>
      <c r="AB1102" s="87"/>
      <c r="AC1102" s="87">
        <v>41</v>
      </c>
      <c r="AD1102" s="87"/>
      <c r="AE1102" s="87"/>
      <c r="AF1102" s="87"/>
      <c r="AG1102" s="87">
        <v>6</v>
      </c>
      <c r="AH1102" s="87">
        <v>161</v>
      </c>
      <c r="AI1102" s="87"/>
      <c r="AJ1102" s="87"/>
      <c r="AK1102" s="87"/>
      <c r="AL1102" s="87"/>
      <c r="AM1102" s="87"/>
      <c r="AN1102" s="87"/>
      <c r="AO1102" s="87">
        <v>22</v>
      </c>
      <c r="AP1102" s="87">
        <v>186</v>
      </c>
      <c r="AQ1102" s="87"/>
      <c r="AR1102" s="87"/>
      <c r="AS1102" s="87"/>
      <c r="AT1102" s="87"/>
      <c r="AU1102" s="87"/>
      <c r="AV1102" s="87"/>
      <c r="AW1102" s="88" t="str">
        <f>HYPERLINK("http://www.openstreetmap.org/?mlat=37.1804&amp;mlon=42.8093&amp;zoom=12#map=12/37.1804/42.8093","Maplink1")</f>
        <v>Maplink1</v>
      </c>
      <c r="AX1102" s="88" t="str">
        <f>HYPERLINK("https://www.google.iq/maps/search/+37.1804,42.8093/@37.1804,42.8093,14z?hl=en","Maplink2")</f>
        <v>Maplink2</v>
      </c>
      <c r="AY1102" s="88" t="str">
        <f>HYPERLINK("http://www.bing.com/maps/?lvl=14&amp;sty=h&amp;cp=37.1804~42.8093&amp;sp=point.37.1804_42.8093","Maplink3")</f>
        <v>Maplink3</v>
      </c>
      <c r="AZ1102" s="76"/>
    </row>
    <row r="1103" spans="1:52" x14ac:dyDescent="0.25">
      <c r="A1103" s="86">
        <v>32028</v>
      </c>
      <c r="B1103" s="87" t="s">
        <v>16</v>
      </c>
      <c r="C1103" s="87" t="s">
        <v>2167</v>
      </c>
      <c r="D1103" s="87" t="s">
        <v>2214</v>
      </c>
      <c r="E1103" s="87" t="s">
        <v>2215</v>
      </c>
      <c r="F1103" s="87">
        <v>37.148175876300002</v>
      </c>
      <c r="G1103" s="87">
        <v>42.747128957299999</v>
      </c>
      <c r="H1103" s="86">
        <v>818</v>
      </c>
      <c r="I1103" s="86">
        <v>4908</v>
      </c>
      <c r="J1103" s="87">
        <v>1</v>
      </c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>
        <v>815</v>
      </c>
      <c r="W1103" s="87"/>
      <c r="X1103" s="87">
        <v>2</v>
      </c>
      <c r="Y1103" s="87"/>
      <c r="Z1103" s="87"/>
      <c r="AA1103" s="87"/>
      <c r="AB1103" s="87"/>
      <c r="AC1103" s="87">
        <v>25</v>
      </c>
      <c r="AD1103" s="87"/>
      <c r="AE1103" s="87">
        <v>4</v>
      </c>
      <c r="AF1103" s="87"/>
      <c r="AG1103" s="87"/>
      <c r="AH1103" s="87">
        <v>552</v>
      </c>
      <c r="AI1103" s="87"/>
      <c r="AJ1103" s="87"/>
      <c r="AK1103" s="87">
        <v>237</v>
      </c>
      <c r="AL1103" s="87"/>
      <c r="AM1103" s="87"/>
      <c r="AN1103" s="87">
        <v>1</v>
      </c>
      <c r="AO1103" s="87">
        <v>65</v>
      </c>
      <c r="AP1103" s="87">
        <v>482</v>
      </c>
      <c r="AQ1103" s="87"/>
      <c r="AR1103" s="87">
        <v>10</v>
      </c>
      <c r="AS1103" s="87"/>
      <c r="AT1103" s="87"/>
      <c r="AU1103" s="87">
        <v>260</v>
      </c>
      <c r="AV1103" s="87"/>
      <c r="AW1103" s="88" t="str">
        <f>HYPERLINK("http://www.openstreetmap.org/?mlat=37.1482&amp;mlon=42.7471&amp;zoom=12#map=12/37.1482/42.7471","Maplink1")</f>
        <v>Maplink1</v>
      </c>
      <c r="AX1103" s="88" t="str">
        <f>HYPERLINK("https://www.google.iq/maps/search/+37.1482,42.7471/@37.1482,42.7471,14z?hl=en","Maplink2")</f>
        <v>Maplink2</v>
      </c>
      <c r="AY1103" s="88" t="str">
        <f>HYPERLINK("http://www.bing.com/maps/?lvl=14&amp;sty=h&amp;cp=37.1482~42.7471&amp;sp=point.37.1482_42.7471","Maplink3")</f>
        <v>Maplink3</v>
      </c>
      <c r="AZ1103" s="76"/>
    </row>
    <row r="1104" spans="1:52" x14ac:dyDescent="0.25">
      <c r="A1104" s="86">
        <v>32033</v>
      </c>
      <c r="B1104" s="87" t="s">
        <v>16</v>
      </c>
      <c r="C1104" s="87" t="s">
        <v>2167</v>
      </c>
      <c r="D1104" s="87" t="s">
        <v>2216</v>
      </c>
      <c r="E1104" s="87" t="s">
        <v>2217</v>
      </c>
      <c r="F1104" s="87">
        <v>37.167043053999997</v>
      </c>
      <c r="G1104" s="87">
        <v>42.687572453000001</v>
      </c>
      <c r="H1104" s="86">
        <v>865</v>
      </c>
      <c r="I1104" s="86">
        <v>5190</v>
      </c>
      <c r="J1104" s="87">
        <v>1</v>
      </c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>
        <v>860</v>
      </c>
      <c r="W1104" s="87"/>
      <c r="X1104" s="87">
        <v>4</v>
      </c>
      <c r="Y1104" s="87"/>
      <c r="Z1104" s="87"/>
      <c r="AA1104" s="87"/>
      <c r="AB1104" s="87"/>
      <c r="AC1104" s="87">
        <v>30</v>
      </c>
      <c r="AD1104" s="87"/>
      <c r="AE1104" s="87"/>
      <c r="AF1104" s="87"/>
      <c r="AG1104" s="87"/>
      <c r="AH1104" s="87">
        <v>825</v>
      </c>
      <c r="AI1104" s="87"/>
      <c r="AJ1104" s="87"/>
      <c r="AK1104" s="87">
        <v>10</v>
      </c>
      <c r="AL1104" s="87"/>
      <c r="AM1104" s="87"/>
      <c r="AN1104" s="87">
        <v>1</v>
      </c>
      <c r="AO1104" s="87">
        <v>238</v>
      </c>
      <c r="AP1104" s="87">
        <v>416</v>
      </c>
      <c r="AQ1104" s="87"/>
      <c r="AR1104" s="87"/>
      <c r="AS1104" s="87"/>
      <c r="AT1104" s="87"/>
      <c r="AU1104" s="87">
        <v>210</v>
      </c>
      <c r="AV1104" s="87"/>
      <c r="AW1104" s="88" t="str">
        <f>HYPERLINK("http://www.openstreetmap.org/?mlat=37.167&amp;mlon=42.6876&amp;zoom=12#map=12/37.167/42.6876","Maplink1")</f>
        <v>Maplink1</v>
      </c>
      <c r="AX1104" s="88" t="str">
        <f>HYPERLINK("https://www.google.iq/maps/search/+37.167,42.6876/@37.167,42.6876,14z?hl=en","Maplink2")</f>
        <v>Maplink2</v>
      </c>
      <c r="AY1104" s="88" t="str">
        <f>HYPERLINK("http://www.bing.com/maps/?lvl=14&amp;sty=h&amp;cp=37.167~42.6876&amp;sp=point.37.167_42.6876","Maplink3")</f>
        <v>Maplink3</v>
      </c>
      <c r="AZ1104" s="76"/>
    </row>
    <row r="1105" spans="1:52" x14ac:dyDescent="0.25">
      <c r="A1105" s="86">
        <v>8152</v>
      </c>
      <c r="B1105" s="87" t="s">
        <v>16</v>
      </c>
      <c r="C1105" s="87" t="s">
        <v>2167</v>
      </c>
      <c r="D1105" s="87" t="s">
        <v>2218</v>
      </c>
      <c r="E1105" s="87" t="s">
        <v>2219</v>
      </c>
      <c r="F1105" s="87">
        <v>37.148490711199997</v>
      </c>
      <c r="G1105" s="87">
        <v>42.926409707200001</v>
      </c>
      <c r="H1105" s="86">
        <v>27</v>
      </c>
      <c r="I1105" s="86">
        <v>162</v>
      </c>
      <c r="J1105" s="87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>
        <v>27</v>
      </c>
      <c r="W1105" s="87"/>
      <c r="X1105" s="87"/>
      <c r="Y1105" s="87"/>
      <c r="Z1105" s="87"/>
      <c r="AA1105" s="87"/>
      <c r="AB1105" s="87"/>
      <c r="AC1105" s="87">
        <v>2</v>
      </c>
      <c r="AD1105" s="87"/>
      <c r="AE1105" s="87"/>
      <c r="AF1105" s="87"/>
      <c r="AG1105" s="87"/>
      <c r="AH1105" s="87">
        <v>24</v>
      </c>
      <c r="AI1105" s="87"/>
      <c r="AJ1105" s="87"/>
      <c r="AK1105" s="87">
        <v>1</v>
      </c>
      <c r="AL1105" s="87"/>
      <c r="AM1105" s="87"/>
      <c r="AN1105" s="87"/>
      <c r="AO1105" s="87">
        <v>17</v>
      </c>
      <c r="AP1105" s="87">
        <v>10</v>
      </c>
      <c r="AQ1105" s="87"/>
      <c r="AR1105" s="87"/>
      <c r="AS1105" s="87"/>
      <c r="AT1105" s="87"/>
      <c r="AU1105" s="87"/>
      <c r="AV1105" s="87"/>
      <c r="AW1105" s="88" t="str">
        <f>HYPERLINK("http://www.openstreetmap.org/?mlat=37.1485&amp;mlon=42.9264&amp;zoom=12#map=12/37.1485/42.9264","Maplink1")</f>
        <v>Maplink1</v>
      </c>
      <c r="AX1105" s="88" t="str">
        <f>HYPERLINK("https://www.google.iq/maps/search/+37.1485,42.9264/@37.1485,42.9264,14z?hl=en","Maplink2")</f>
        <v>Maplink2</v>
      </c>
      <c r="AY1105" s="88" t="str">
        <f>HYPERLINK("http://www.bing.com/maps/?lvl=14&amp;sty=h&amp;cp=37.1485~42.9264&amp;sp=point.37.1485_42.9264","Maplink3")</f>
        <v>Maplink3</v>
      </c>
      <c r="AZ1105" s="76"/>
    </row>
    <row r="1106" spans="1:52" x14ac:dyDescent="0.25">
      <c r="A1106" s="86">
        <v>8153</v>
      </c>
      <c r="B1106" s="87" t="s">
        <v>16</v>
      </c>
      <c r="C1106" s="87" t="s">
        <v>2167</v>
      </c>
      <c r="D1106" s="87" t="s">
        <v>2220</v>
      </c>
      <c r="E1106" s="87" t="s">
        <v>2221</v>
      </c>
      <c r="F1106" s="87">
        <v>37.131748847799997</v>
      </c>
      <c r="G1106" s="87">
        <v>42.895389182300001</v>
      </c>
      <c r="H1106" s="86">
        <v>9</v>
      </c>
      <c r="I1106" s="86">
        <v>54</v>
      </c>
      <c r="J1106" s="87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>
        <v>9</v>
      </c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>
        <v>8</v>
      </c>
      <c r="AI1106" s="87"/>
      <c r="AJ1106" s="87"/>
      <c r="AK1106" s="87">
        <v>1</v>
      </c>
      <c r="AL1106" s="87"/>
      <c r="AM1106" s="87"/>
      <c r="AN1106" s="87"/>
      <c r="AO1106" s="87">
        <v>1</v>
      </c>
      <c r="AP1106" s="87">
        <v>8</v>
      </c>
      <c r="AQ1106" s="87"/>
      <c r="AR1106" s="87"/>
      <c r="AS1106" s="87"/>
      <c r="AT1106" s="87"/>
      <c r="AU1106" s="87"/>
      <c r="AV1106" s="87"/>
      <c r="AW1106" s="88" t="str">
        <f>HYPERLINK("http://www.openstreetmap.org/?mlat=37.1317&amp;mlon=42.8954&amp;zoom=12#map=12/37.1317/42.8954","Maplink1")</f>
        <v>Maplink1</v>
      </c>
      <c r="AX1106" s="88" t="str">
        <f>HYPERLINK("https://www.google.iq/maps/search/+37.1317,42.8954/@37.1317,42.8954,14z?hl=en","Maplink2")</f>
        <v>Maplink2</v>
      </c>
      <c r="AY1106" s="88" t="str">
        <f>HYPERLINK("http://www.bing.com/maps/?lvl=14&amp;sty=h&amp;cp=37.1317~42.8954&amp;sp=point.37.1317_42.8954","Maplink3")</f>
        <v>Maplink3</v>
      </c>
      <c r="AZ1106" s="76"/>
    </row>
    <row r="1107" spans="1:52" x14ac:dyDescent="0.25">
      <c r="A1107" s="86">
        <v>8161</v>
      </c>
      <c r="B1107" s="87" t="s">
        <v>16</v>
      </c>
      <c r="C1107" s="87" t="s">
        <v>2167</v>
      </c>
      <c r="D1107" s="87" t="s">
        <v>2222</v>
      </c>
      <c r="E1107" s="87" t="s">
        <v>2223</v>
      </c>
      <c r="F1107" s="87">
        <v>37.168385903699999</v>
      </c>
      <c r="G1107" s="87">
        <v>42.896502544000001</v>
      </c>
      <c r="H1107" s="86">
        <v>23</v>
      </c>
      <c r="I1107" s="86">
        <v>138</v>
      </c>
      <c r="J1107" s="87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>
        <v>23</v>
      </c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>
        <v>21</v>
      </c>
      <c r="AI1107" s="87"/>
      <c r="AJ1107" s="87"/>
      <c r="AK1107" s="87">
        <v>2</v>
      </c>
      <c r="AL1107" s="87"/>
      <c r="AM1107" s="87"/>
      <c r="AN1107" s="87"/>
      <c r="AO1107" s="87">
        <v>15</v>
      </c>
      <c r="AP1107" s="87">
        <v>8</v>
      </c>
      <c r="AQ1107" s="87"/>
      <c r="AR1107" s="87"/>
      <c r="AS1107" s="87"/>
      <c r="AT1107" s="87"/>
      <c r="AU1107" s="87"/>
      <c r="AV1107" s="87"/>
      <c r="AW1107" s="88" t="str">
        <f>HYPERLINK("http://www.openstreetmap.org/?mlat=37.1684&amp;mlon=42.8965&amp;zoom=12#map=12/37.1684/42.8965","Maplink1")</f>
        <v>Maplink1</v>
      </c>
      <c r="AX1107" s="88" t="str">
        <f>HYPERLINK("https://www.google.iq/maps/search/+37.1684,42.8965/@37.1684,42.8965,14z?hl=en","Maplink2")</f>
        <v>Maplink2</v>
      </c>
      <c r="AY1107" s="88" t="str">
        <f>HYPERLINK("http://www.bing.com/maps/?lvl=14&amp;sty=h&amp;cp=37.1684~42.8965&amp;sp=point.37.1684_42.8965","Maplink3")</f>
        <v>Maplink3</v>
      </c>
      <c r="AZ1107" s="76"/>
    </row>
    <row r="1108" spans="1:52" x14ac:dyDescent="0.25">
      <c r="A1108" s="86">
        <v>8620</v>
      </c>
      <c r="B1108" s="87" t="s">
        <v>16</v>
      </c>
      <c r="C1108" s="87" t="s">
        <v>2167</v>
      </c>
      <c r="D1108" s="87" t="s">
        <v>2224</v>
      </c>
      <c r="E1108" s="87" t="s">
        <v>2225</v>
      </c>
      <c r="F1108" s="87">
        <v>37.123564173600002</v>
      </c>
      <c r="G1108" s="87">
        <v>42.436835360400003</v>
      </c>
      <c r="H1108" s="86">
        <v>27</v>
      </c>
      <c r="I1108" s="86">
        <v>162</v>
      </c>
      <c r="J1108" s="87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>
        <v>27</v>
      </c>
      <c r="W1108" s="87"/>
      <c r="X1108" s="87"/>
      <c r="Y1108" s="87"/>
      <c r="Z1108" s="87"/>
      <c r="AA1108" s="87"/>
      <c r="AB1108" s="87"/>
      <c r="AC1108" s="87">
        <v>22</v>
      </c>
      <c r="AD1108" s="87"/>
      <c r="AE1108" s="87"/>
      <c r="AF1108" s="87"/>
      <c r="AG1108" s="87"/>
      <c r="AH1108" s="87"/>
      <c r="AI1108" s="87"/>
      <c r="AJ1108" s="87"/>
      <c r="AK1108" s="87">
        <v>5</v>
      </c>
      <c r="AL1108" s="87"/>
      <c r="AM1108" s="87"/>
      <c r="AN1108" s="87"/>
      <c r="AO1108" s="87"/>
      <c r="AP1108" s="87">
        <v>27</v>
      </c>
      <c r="AQ1108" s="87"/>
      <c r="AR1108" s="87"/>
      <c r="AS1108" s="87"/>
      <c r="AT1108" s="87"/>
      <c r="AU1108" s="87"/>
      <c r="AV1108" s="87"/>
      <c r="AW1108" s="88" t="str">
        <f>HYPERLINK("http://www.openstreetmap.org/?mlat=37.1236&amp;mlon=42.4368&amp;zoom=12#map=12/37.1236/42.4368","Maplink1")</f>
        <v>Maplink1</v>
      </c>
      <c r="AX1108" s="88" t="str">
        <f>HYPERLINK("https://www.google.iq/maps/search/+37.1236,42.4368/@37.1236,42.4368,14z?hl=en","Maplink2")</f>
        <v>Maplink2</v>
      </c>
      <c r="AY1108" s="88" t="str">
        <f>HYPERLINK("http://www.bing.com/maps/?lvl=14&amp;sty=h&amp;cp=37.1236~42.4368&amp;sp=point.37.1236_42.4368","Maplink3")</f>
        <v>Maplink3</v>
      </c>
      <c r="AZ1108" s="76"/>
    </row>
    <row r="1109" spans="1:52" x14ac:dyDescent="0.25">
      <c r="A1109" s="86">
        <v>8711</v>
      </c>
      <c r="B1109" s="87" t="s">
        <v>16</v>
      </c>
      <c r="C1109" s="87" t="s">
        <v>2167</v>
      </c>
      <c r="D1109" s="87" t="s">
        <v>2048</v>
      </c>
      <c r="E1109" s="87" t="s">
        <v>2049</v>
      </c>
      <c r="F1109" s="87">
        <v>37.137812988100002</v>
      </c>
      <c r="G1109" s="87">
        <v>42.570256952400001</v>
      </c>
      <c r="H1109" s="86">
        <v>120</v>
      </c>
      <c r="I1109" s="86">
        <v>720</v>
      </c>
      <c r="J1109" s="87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>
        <v>120</v>
      </c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>
        <v>120</v>
      </c>
      <c r="AI1109" s="87"/>
      <c r="AJ1109" s="87"/>
      <c r="AK1109" s="87"/>
      <c r="AL1109" s="87"/>
      <c r="AM1109" s="87"/>
      <c r="AN1109" s="87"/>
      <c r="AO1109" s="87"/>
      <c r="AP1109" s="87">
        <v>40</v>
      </c>
      <c r="AQ1109" s="87"/>
      <c r="AR1109" s="87"/>
      <c r="AS1109" s="87"/>
      <c r="AT1109" s="87"/>
      <c r="AU1109" s="87">
        <v>80</v>
      </c>
      <c r="AV1109" s="87"/>
      <c r="AW1109" s="88" t="str">
        <f>HYPERLINK("http://www.openstreetmap.org/?mlat=37.1378&amp;mlon=42.5703&amp;zoom=12#map=12/37.1378/42.5703","Maplink1")</f>
        <v>Maplink1</v>
      </c>
      <c r="AX1109" s="88" t="str">
        <f>HYPERLINK("https://www.google.iq/maps/search/+37.1378,42.5703/@37.1378,42.5703,14z?hl=en","Maplink2")</f>
        <v>Maplink2</v>
      </c>
      <c r="AY1109" s="88" t="str">
        <f>HYPERLINK("http://www.bing.com/maps/?lvl=14&amp;sty=h&amp;cp=37.1378~42.5703&amp;sp=point.37.1378_42.5703","Maplink3")</f>
        <v>Maplink3</v>
      </c>
      <c r="AZ1109" s="76"/>
    </row>
    <row r="1110" spans="1:52" x14ac:dyDescent="0.25">
      <c r="A1110" s="86">
        <v>32029</v>
      </c>
      <c r="B1110" s="87" t="s">
        <v>16</v>
      </c>
      <c r="C1110" s="87" t="s">
        <v>2167</v>
      </c>
      <c r="D1110" s="87" t="s">
        <v>2226</v>
      </c>
      <c r="E1110" s="87" t="s">
        <v>2227</v>
      </c>
      <c r="F1110" s="87">
        <v>37.144796226799997</v>
      </c>
      <c r="G1110" s="87">
        <v>42.685279110899998</v>
      </c>
      <c r="H1110" s="86">
        <v>179</v>
      </c>
      <c r="I1110" s="86">
        <v>1074</v>
      </c>
      <c r="J1110" s="87">
        <v>1</v>
      </c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>
        <v>178</v>
      </c>
      <c r="W1110" s="87"/>
      <c r="X1110" s="87"/>
      <c r="Y1110" s="87"/>
      <c r="Z1110" s="87"/>
      <c r="AA1110" s="87"/>
      <c r="AB1110" s="87"/>
      <c r="AC1110" s="87">
        <v>12</v>
      </c>
      <c r="AD1110" s="87"/>
      <c r="AE1110" s="87"/>
      <c r="AF1110" s="87"/>
      <c r="AG1110" s="87"/>
      <c r="AH1110" s="87">
        <v>149</v>
      </c>
      <c r="AI1110" s="87"/>
      <c r="AJ1110" s="87"/>
      <c r="AK1110" s="87">
        <v>18</v>
      </c>
      <c r="AL1110" s="87"/>
      <c r="AM1110" s="87"/>
      <c r="AN1110" s="87">
        <v>1</v>
      </c>
      <c r="AO1110" s="87">
        <v>60</v>
      </c>
      <c r="AP1110" s="87">
        <v>86</v>
      </c>
      <c r="AQ1110" s="87"/>
      <c r="AR1110" s="87">
        <v>3</v>
      </c>
      <c r="AS1110" s="87"/>
      <c r="AT1110" s="87"/>
      <c r="AU1110" s="87">
        <v>29</v>
      </c>
      <c r="AV1110" s="87"/>
      <c r="AW1110" s="88" t="str">
        <f>HYPERLINK("http://www.openstreetmap.org/?mlat=37.1448&amp;mlon=42.6853&amp;zoom=12#map=12/37.1448/42.6853","Maplink1")</f>
        <v>Maplink1</v>
      </c>
      <c r="AX1110" s="88" t="str">
        <f>HYPERLINK("https://www.google.iq/maps/search/+37.1448,42.6853/@37.1448,42.6853,14z?hl=en","Maplink2")</f>
        <v>Maplink2</v>
      </c>
      <c r="AY1110" s="88" t="str">
        <f>HYPERLINK("http://www.bing.com/maps/?lvl=14&amp;sty=h&amp;cp=37.1448~42.6853&amp;sp=point.37.1448_42.6853","Maplink3")</f>
        <v>Maplink3</v>
      </c>
      <c r="AZ1110" s="76"/>
    </row>
    <row r="1111" spans="1:52" x14ac:dyDescent="0.25">
      <c r="A1111" s="86">
        <v>32030</v>
      </c>
      <c r="B1111" s="87" t="s">
        <v>16</v>
      </c>
      <c r="C1111" s="87" t="s">
        <v>2167</v>
      </c>
      <c r="D1111" s="87" t="s">
        <v>2228</v>
      </c>
      <c r="E1111" s="87" t="s">
        <v>2229</v>
      </c>
      <c r="F1111" s="87">
        <v>37.148307892299997</v>
      </c>
      <c r="G1111" s="87">
        <v>42.684573564200001</v>
      </c>
      <c r="H1111" s="86">
        <v>775</v>
      </c>
      <c r="I1111" s="86">
        <v>4650</v>
      </c>
      <c r="J1111" s="87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>
        <v>775</v>
      </c>
      <c r="W1111" s="87"/>
      <c r="X1111" s="87"/>
      <c r="Y1111" s="87"/>
      <c r="Z1111" s="87"/>
      <c r="AA1111" s="87"/>
      <c r="AB1111" s="87"/>
      <c r="AC1111" s="87">
        <v>20</v>
      </c>
      <c r="AD1111" s="87"/>
      <c r="AE1111" s="87"/>
      <c r="AF1111" s="87"/>
      <c r="AG1111" s="87"/>
      <c r="AH1111" s="87">
        <v>737</v>
      </c>
      <c r="AI1111" s="87"/>
      <c r="AJ1111" s="87"/>
      <c r="AK1111" s="87">
        <v>18</v>
      </c>
      <c r="AL1111" s="87"/>
      <c r="AM1111" s="87"/>
      <c r="AN1111" s="87"/>
      <c r="AO1111" s="87">
        <v>253</v>
      </c>
      <c r="AP1111" s="87">
        <v>357</v>
      </c>
      <c r="AQ1111" s="87"/>
      <c r="AR1111" s="87"/>
      <c r="AS1111" s="87"/>
      <c r="AT1111" s="87"/>
      <c r="AU1111" s="87">
        <v>165</v>
      </c>
      <c r="AV1111" s="87"/>
      <c r="AW1111" s="88" t="str">
        <f>HYPERLINK("http://www.openstreetmap.org/?mlat=37.1483&amp;mlon=42.6846&amp;zoom=12#map=12/37.1483/42.6846","Maplink1")</f>
        <v>Maplink1</v>
      </c>
      <c r="AX1111" s="88" t="str">
        <f>HYPERLINK("https://www.google.iq/maps/search/+37.1483,42.6846/@37.1483,42.6846,14z?hl=en","Maplink2")</f>
        <v>Maplink2</v>
      </c>
      <c r="AY1111" s="88" t="str">
        <f>HYPERLINK("http://www.bing.com/maps/?lvl=14&amp;sty=h&amp;cp=37.1483~42.6846&amp;sp=point.37.1483_42.6846","Maplink3")</f>
        <v>Maplink3</v>
      </c>
      <c r="AZ1111" s="76"/>
    </row>
    <row r="1112" spans="1:52" x14ac:dyDescent="0.25">
      <c r="A1112" s="86">
        <v>8328</v>
      </c>
      <c r="B1112" s="87" t="s">
        <v>16</v>
      </c>
      <c r="C1112" s="87" t="s">
        <v>2167</v>
      </c>
      <c r="D1112" s="87" t="s">
        <v>2230</v>
      </c>
      <c r="E1112" s="87" t="s">
        <v>2231</v>
      </c>
      <c r="F1112" s="87">
        <v>37.125343130399997</v>
      </c>
      <c r="G1112" s="87">
        <v>42.5068035221</v>
      </c>
      <c r="H1112" s="86">
        <v>37</v>
      </c>
      <c r="I1112" s="86">
        <v>222</v>
      </c>
      <c r="J1112" s="87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>
        <v>37</v>
      </c>
      <c r="W1112" s="87"/>
      <c r="X1112" s="87"/>
      <c r="Y1112" s="87"/>
      <c r="Z1112" s="87"/>
      <c r="AA1112" s="87"/>
      <c r="AB1112" s="87"/>
      <c r="AC1112" s="87">
        <v>2</v>
      </c>
      <c r="AD1112" s="87"/>
      <c r="AE1112" s="87"/>
      <c r="AF1112" s="87"/>
      <c r="AG1112" s="87"/>
      <c r="AH1112" s="87">
        <v>35</v>
      </c>
      <c r="AI1112" s="87"/>
      <c r="AJ1112" s="87"/>
      <c r="AK1112" s="87"/>
      <c r="AL1112" s="87"/>
      <c r="AM1112" s="87"/>
      <c r="AN1112" s="87"/>
      <c r="AO1112" s="87"/>
      <c r="AP1112" s="87">
        <v>7</v>
      </c>
      <c r="AQ1112" s="87"/>
      <c r="AR1112" s="87"/>
      <c r="AS1112" s="87"/>
      <c r="AT1112" s="87"/>
      <c r="AU1112" s="87">
        <v>30</v>
      </c>
      <c r="AV1112" s="87"/>
      <c r="AW1112" s="88" t="str">
        <f>HYPERLINK("http://www.openstreetmap.org/?mlat=37.1253&amp;mlon=42.5068&amp;zoom=12#map=12/37.1253/42.5068","Maplink1")</f>
        <v>Maplink1</v>
      </c>
      <c r="AX1112" s="88" t="str">
        <f>HYPERLINK("https://www.google.iq/maps/search/+37.1253,42.5068/@37.1253,42.5068,14z?hl=en","Maplink2")</f>
        <v>Maplink2</v>
      </c>
      <c r="AY1112" s="88" t="str">
        <f>HYPERLINK("http://www.bing.com/maps/?lvl=14&amp;sty=h&amp;cp=37.1253~42.5068&amp;sp=point.37.1253_42.5068","Maplink3")</f>
        <v>Maplink3</v>
      </c>
      <c r="AZ1112" s="76"/>
    </row>
    <row r="1113" spans="1:52" x14ac:dyDescent="0.25">
      <c r="A1113" s="86">
        <v>8722</v>
      </c>
      <c r="B1113" s="87" t="s">
        <v>16</v>
      </c>
      <c r="C1113" s="87" t="s">
        <v>2167</v>
      </c>
      <c r="D1113" s="87" t="s">
        <v>2232</v>
      </c>
      <c r="E1113" s="87" t="s">
        <v>2233</v>
      </c>
      <c r="F1113" s="87">
        <v>37.107197268699998</v>
      </c>
      <c r="G1113" s="87">
        <v>42.923539115700002</v>
      </c>
      <c r="H1113" s="86">
        <v>18</v>
      </c>
      <c r="I1113" s="86">
        <v>108</v>
      </c>
      <c r="J1113" s="87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>
        <v>18</v>
      </c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>
        <v>9</v>
      </c>
      <c r="AI1113" s="87"/>
      <c r="AJ1113" s="87"/>
      <c r="AK1113" s="87">
        <v>9</v>
      </c>
      <c r="AL1113" s="87"/>
      <c r="AM1113" s="87"/>
      <c r="AN1113" s="87"/>
      <c r="AO1113" s="87">
        <v>1</v>
      </c>
      <c r="AP1113" s="87">
        <v>17</v>
      </c>
      <c r="AQ1113" s="87"/>
      <c r="AR1113" s="87"/>
      <c r="AS1113" s="87"/>
      <c r="AT1113" s="87"/>
      <c r="AU1113" s="87"/>
      <c r="AV1113" s="87"/>
      <c r="AW1113" s="88" t="str">
        <f>HYPERLINK("http://www.openstreetmap.org/?mlat=37.1072&amp;mlon=42.9235&amp;zoom=12#map=12/37.1072/42.9235","Maplink1")</f>
        <v>Maplink1</v>
      </c>
      <c r="AX1113" s="88" t="str">
        <f>HYPERLINK("https://www.google.iq/maps/search/+37.1072,42.9235/@37.1072,42.9235,14z?hl=en","Maplink2")</f>
        <v>Maplink2</v>
      </c>
      <c r="AY1113" s="88" t="str">
        <f>HYPERLINK("http://www.bing.com/maps/?lvl=14&amp;sty=h&amp;cp=37.1072~42.9235&amp;sp=point.37.1072_42.9235","Maplink3")</f>
        <v>Maplink3</v>
      </c>
      <c r="AZ1113" s="76"/>
    </row>
    <row r="1114" spans="1:52" x14ac:dyDescent="0.25">
      <c r="A1114" s="86">
        <v>33582</v>
      </c>
      <c r="B1114" s="87" t="s">
        <v>16</v>
      </c>
      <c r="C1114" s="87" t="s">
        <v>2167</v>
      </c>
      <c r="D1114" s="87" t="s">
        <v>2234</v>
      </c>
      <c r="E1114" s="87" t="s">
        <v>2235</v>
      </c>
      <c r="F1114" s="87">
        <v>37.116228831299999</v>
      </c>
      <c r="G1114" s="87">
        <v>42.4719500056</v>
      </c>
      <c r="H1114" s="86">
        <v>1</v>
      </c>
      <c r="I1114" s="86">
        <v>6</v>
      </c>
      <c r="J1114" s="87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>
        <v>1</v>
      </c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>
        <v>1</v>
      </c>
      <c r="AL1114" s="87"/>
      <c r="AM1114" s="87"/>
      <c r="AN1114" s="87"/>
      <c r="AO1114" s="87"/>
      <c r="AP1114" s="87">
        <v>1</v>
      </c>
      <c r="AQ1114" s="87"/>
      <c r="AR1114" s="87"/>
      <c r="AS1114" s="87"/>
      <c r="AT1114" s="87"/>
      <c r="AU1114" s="87"/>
      <c r="AV1114" s="87"/>
      <c r="AW1114" s="88" t="str">
        <f>HYPERLINK("http://www.openstreetmap.org/?mlat=37.1162&amp;mlon=42.472&amp;zoom=12#map=12/37.1162/42.472","Maplink1")</f>
        <v>Maplink1</v>
      </c>
      <c r="AX1114" s="88" t="str">
        <f>HYPERLINK("https://www.google.iq/maps/search/+37.1162,42.472/@37.1162,42.472,14z?hl=en","Maplink2")</f>
        <v>Maplink2</v>
      </c>
      <c r="AY1114" s="88" t="str">
        <f>HYPERLINK("http://www.bing.com/maps/?lvl=14&amp;sty=h&amp;cp=37.1162~42.472&amp;sp=point.37.1162_42.472","Maplink3")</f>
        <v>Maplink3</v>
      </c>
      <c r="AZ1114" s="76"/>
    </row>
    <row r="1115" spans="1:52" x14ac:dyDescent="0.25">
      <c r="A1115" s="86">
        <v>25658</v>
      </c>
      <c r="B1115" s="87" t="s">
        <v>17</v>
      </c>
      <c r="C1115" s="87" t="s">
        <v>2236</v>
      </c>
      <c r="D1115" s="87" t="s">
        <v>2237</v>
      </c>
      <c r="E1115" s="87" t="s">
        <v>2238</v>
      </c>
      <c r="F1115" s="87">
        <v>34.065625977499998</v>
      </c>
      <c r="G1115" s="87">
        <v>44.870515120100002</v>
      </c>
      <c r="H1115" s="86">
        <v>14</v>
      </c>
      <c r="I1115" s="86">
        <v>84</v>
      </c>
      <c r="J1115" s="87"/>
      <c r="K1115" s="87"/>
      <c r="L1115" s="87"/>
      <c r="M1115" s="87"/>
      <c r="N1115" s="87"/>
      <c r="O1115" s="87">
        <v>14</v>
      </c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>
        <v>14</v>
      </c>
      <c r="AI1115" s="87"/>
      <c r="AJ1115" s="87"/>
      <c r="AK1115" s="87"/>
      <c r="AL1115" s="87"/>
      <c r="AM1115" s="87"/>
      <c r="AN1115" s="87"/>
      <c r="AO1115" s="87"/>
      <c r="AP1115" s="87">
        <v>5</v>
      </c>
      <c r="AQ1115" s="87">
        <v>9</v>
      </c>
      <c r="AR1115" s="87"/>
      <c r="AS1115" s="87"/>
      <c r="AT1115" s="87"/>
      <c r="AU1115" s="87"/>
      <c r="AV1115" s="87"/>
      <c r="AW1115" s="88" t="str">
        <f>HYPERLINK("http://www.openstreetmap.org/?mlat=34.0656&amp;mlon=44.8705&amp;zoom=12#map=12/34.0656/44.8705","Maplink1")</f>
        <v>Maplink1</v>
      </c>
      <c r="AX1115" s="88" t="str">
        <f>HYPERLINK("https://www.google.iq/maps/search/+34.0656,44.8705/@34.0656,44.8705,14z?hl=en","Maplink2")</f>
        <v>Maplink2</v>
      </c>
      <c r="AY1115" s="88" t="str">
        <f>HYPERLINK("http://www.bing.com/maps/?lvl=14&amp;sty=h&amp;cp=34.0656~44.8705&amp;sp=point.34.0656_44.8705","Maplink3")</f>
        <v>Maplink3</v>
      </c>
      <c r="AZ1115" s="76"/>
    </row>
    <row r="1116" spans="1:52" x14ac:dyDescent="0.25">
      <c r="A1116" s="86">
        <v>11487</v>
      </c>
      <c r="B1116" s="87" t="s">
        <v>17</v>
      </c>
      <c r="C1116" s="87" t="s">
        <v>2236</v>
      </c>
      <c r="D1116" s="87" t="s">
        <v>2239</v>
      </c>
      <c r="E1116" s="87" t="s">
        <v>2240</v>
      </c>
      <c r="F1116" s="87">
        <v>34.066471383600003</v>
      </c>
      <c r="G1116" s="87">
        <v>44.860475957600002</v>
      </c>
      <c r="H1116" s="86">
        <v>7</v>
      </c>
      <c r="I1116" s="86">
        <v>42</v>
      </c>
      <c r="J1116" s="87"/>
      <c r="K1116" s="87"/>
      <c r="L1116" s="87"/>
      <c r="M1116" s="87"/>
      <c r="N1116" s="87"/>
      <c r="O1116" s="87">
        <v>7</v>
      </c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>
        <v>7</v>
      </c>
      <c r="AI1116" s="87"/>
      <c r="AJ1116" s="87"/>
      <c r="AK1116" s="87"/>
      <c r="AL1116" s="87"/>
      <c r="AM1116" s="87"/>
      <c r="AN1116" s="87"/>
      <c r="AO1116" s="87"/>
      <c r="AP1116" s="87"/>
      <c r="AQ1116" s="87">
        <v>7</v>
      </c>
      <c r="AR1116" s="87"/>
      <c r="AS1116" s="87"/>
      <c r="AT1116" s="87"/>
      <c r="AU1116" s="87"/>
      <c r="AV1116" s="87"/>
      <c r="AW1116" s="88" t="str">
        <f>HYPERLINK("http://www.openstreetmap.org/?mlat=34.0665&amp;mlon=44.8605&amp;zoom=12#map=12/34.0665/44.8605","Maplink1")</f>
        <v>Maplink1</v>
      </c>
      <c r="AX1116" s="88" t="str">
        <f>HYPERLINK("https://www.google.iq/maps/search/+34.0665,44.8605/@34.0665,44.8605,14z?hl=en","Maplink2")</f>
        <v>Maplink2</v>
      </c>
      <c r="AY1116" s="88" t="str">
        <f>HYPERLINK("http://www.bing.com/maps/?lvl=14&amp;sty=h&amp;cp=34.0665~44.8605&amp;sp=point.34.0665_44.8605","Maplink3")</f>
        <v>Maplink3</v>
      </c>
      <c r="AZ1116" s="76"/>
    </row>
    <row r="1117" spans="1:52" x14ac:dyDescent="0.25">
      <c r="A1117" s="86">
        <v>11195</v>
      </c>
      <c r="B1117" s="87" t="s">
        <v>17</v>
      </c>
      <c r="C1117" s="87" t="s">
        <v>2236</v>
      </c>
      <c r="D1117" s="87" t="s">
        <v>2241</v>
      </c>
      <c r="E1117" s="87" t="s">
        <v>2242</v>
      </c>
      <c r="F1117" s="87">
        <v>33.731582213599999</v>
      </c>
      <c r="G1117" s="87">
        <v>44.479868901400003</v>
      </c>
      <c r="H1117" s="86">
        <v>60</v>
      </c>
      <c r="I1117" s="86">
        <v>360</v>
      </c>
      <c r="J1117" s="87">
        <v>7</v>
      </c>
      <c r="K1117" s="87"/>
      <c r="L1117" s="87"/>
      <c r="M1117" s="87"/>
      <c r="N1117" s="87"/>
      <c r="O1117" s="87">
        <v>42</v>
      </c>
      <c r="P1117" s="87"/>
      <c r="Q1117" s="87"/>
      <c r="R1117" s="87">
        <v>1</v>
      </c>
      <c r="S1117" s="87"/>
      <c r="T1117" s="87"/>
      <c r="U1117" s="87"/>
      <c r="V1117" s="87">
        <v>3</v>
      </c>
      <c r="W1117" s="87"/>
      <c r="X1117" s="87">
        <v>7</v>
      </c>
      <c r="Y1117" s="87"/>
      <c r="Z1117" s="87"/>
      <c r="AA1117" s="87"/>
      <c r="AB1117" s="87"/>
      <c r="AC1117" s="87">
        <v>7</v>
      </c>
      <c r="AD1117" s="87"/>
      <c r="AE1117" s="87"/>
      <c r="AF1117" s="87"/>
      <c r="AG1117" s="87"/>
      <c r="AH1117" s="87">
        <v>40</v>
      </c>
      <c r="AI1117" s="87">
        <v>13</v>
      </c>
      <c r="AJ1117" s="87"/>
      <c r="AK1117" s="87"/>
      <c r="AL1117" s="87"/>
      <c r="AM1117" s="87"/>
      <c r="AN1117" s="87"/>
      <c r="AO1117" s="87"/>
      <c r="AP1117" s="87"/>
      <c r="AQ1117" s="87">
        <v>49</v>
      </c>
      <c r="AR1117" s="87">
        <v>7</v>
      </c>
      <c r="AS1117" s="87">
        <v>1</v>
      </c>
      <c r="AT1117" s="87">
        <v>2</v>
      </c>
      <c r="AU1117" s="87">
        <v>1</v>
      </c>
      <c r="AV1117" s="87"/>
      <c r="AW1117" s="88" t="str">
        <f>HYPERLINK("http://www.openstreetmap.org/?mlat=33.7316&amp;mlon=44.4799&amp;zoom=12#map=12/33.7316/44.4799","Maplink1")</f>
        <v>Maplink1</v>
      </c>
      <c r="AX1117" s="88" t="str">
        <f>HYPERLINK("https://www.google.iq/maps/search/+33.7316,44.4799/@33.7316,44.4799,14z?hl=en","Maplink2")</f>
        <v>Maplink2</v>
      </c>
      <c r="AY1117" s="88" t="str">
        <f>HYPERLINK("http://www.bing.com/maps/?lvl=14&amp;sty=h&amp;cp=33.7316~44.4799&amp;sp=point.33.7316_44.4799","Maplink3")</f>
        <v>Maplink3</v>
      </c>
      <c r="AZ1117" s="76"/>
    </row>
    <row r="1118" spans="1:52" x14ac:dyDescent="0.25">
      <c r="A1118" s="86">
        <v>25022</v>
      </c>
      <c r="B1118" s="87" t="s">
        <v>17</v>
      </c>
      <c r="C1118" s="87" t="s">
        <v>2236</v>
      </c>
      <c r="D1118" s="87" t="s">
        <v>2243</v>
      </c>
      <c r="E1118" s="87" t="s">
        <v>2244</v>
      </c>
      <c r="F1118" s="87">
        <v>33.692050728399998</v>
      </c>
      <c r="G1118" s="87">
        <v>44.435162777800002</v>
      </c>
      <c r="H1118" s="86">
        <v>27</v>
      </c>
      <c r="I1118" s="86">
        <v>162</v>
      </c>
      <c r="J1118" s="87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>
        <v>22</v>
      </c>
      <c r="W1118" s="87"/>
      <c r="X1118" s="87">
        <v>5</v>
      </c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>
        <v>27</v>
      </c>
      <c r="AI1118" s="87"/>
      <c r="AJ1118" s="87"/>
      <c r="AK1118" s="87"/>
      <c r="AL1118" s="87"/>
      <c r="AM1118" s="87"/>
      <c r="AN1118" s="87"/>
      <c r="AO1118" s="87">
        <v>27</v>
      </c>
      <c r="AP1118" s="87"/>
      <c r="AQ1118" s="87"/>
      <c r="AR1118" s="87"/>
      <c r="AS1118" s="87"/>
      <c r="AT1118" s="87"/>
      <c r="AU1118" s="87"/>
      <c r="AV1118" s="87"/>
      <c r="AW1118" s="88" t="str">
        <f>HYPERLINK("http://www.openstreetmap.org/?mlat=33.6921&amp;mlon=44.4352&amp;zoom=12#map=12/33.6921/44.4352","Maplink1")</f>
        <v>Maplink1</v>
      </c>
      <c r="AX1118" s="88" t="str">
        <f>HYPERLINK("https://www.google.iq/maps/search/+33.6921,44.4352/@33.6921,44.4352,14z?hl=en","Maplink2")</f>
        <v>Maplink2</v>
      </c>
      <c r="AY1118" s="88" t="str">
        <f>HYPERLINK("http://www.bing.com/maps/?lvl=14&amp;sty=h&amp;cp=33.6921~44.4352&amp;sp=point.33.6921_44.4352","Maplink3")</f>
        <v>Maplink3</v>
      </c>
      <c r="AZ1118" s="76"/>
    </row>
    <row r="1119" spans="1:52" x14ac:dyDescent="0.25">
      <c r="A1119" s="86">
        <v>23966</v>
      </c>
      <c r="B1119" s="87" t="s">
        <v>17</v>
      </c>
      <c r="C1119" s="87" t="s">
        <v>2236</v>
      </c>
      <c r="D1119" s="87" t="s">
        <v>2245</v>
      </c>
      <c r="E1119" s="87" t="s">
        <v>2246</v>
      </c>
      <c r="F1119" s="87">
        <v>33.768649992599997</v>
      </c>
      <c r="G1119" s="87">
        <v>44.562862700099998</v>
      </c>
      <c r="H1119" s="86">
        <v>110</v>
      </c>
      <c r="I1119" s="86">
        <v>660</v>
      </c>
      <c r="J1119" s="87">
        <v>4</v>
      </c>
      <c r="K1119" s="87"/>
      <c r="L1119" s="87"/>
      <c r="M1119" s="87"/>
      <c r="N1119" s="87"/>
      <c r="O1119" s="87">
        <v>98</v>
      </c>
      <c r="P1119" s="87"/>
      <c r="Q1119" s="87"/>
      <c r="R1119" s="87"/>
      <c r="S1119" s="87"/>
      <c r="T1119" s="87"/>
      <c r="U1119" s="87"/>
      <c r="V1119" s="87">
        <v>3</v>
      </c>
      <c r="W1119" s="87"/>
      <c r="X1119" s="87">
        <v>5</v>
      </c>
      <c r="Y1119" s="87"/>
      <c r="Z1119" s="87"/>
      <c r="AA1119" s="87"/>
      <c r="AB1119" s="87"/>
      <c r="AC1119" s="87">
        <v>20</v>
      </c>
      <c r="AD1119" s="87"/>
      <c r="AE1119" s="87"/>
      <c r="AF1119" s="87"/>
      <c r="AG1119" s="87"/>
      <c r="AH1119" s="87">
        <v>65</v>
      </c>
      <c r="AI1119" s="87"/>
      <c r="AJ1119" s="87"/>
      <c r="AK1119" s="87">
        <v>25</v>
      </c>
      <c r="AL1119" s="87"/>
      <c r="AM1119" s="87"/>
      <c r="AN1119" s="87">
        <v>6</v>
      </c>
      <c r="AO1119" s="87"/>
      <c r="AP1119" s="87">
        <v>6</v>
      </c>
      <c r="AQ1119" s="87">
        <v>91</v>
      </c>
      <c r="AR1119" s="87">
        <v>7</v>
      </c>
      <c r="AS1119" s="87"/>
      <c r="AT1119" s="87"/>
      <c r="AU1119" s="87"/>
      <c r="AV1119" s="87"/>
      <c r="AW1119" s="88" t="str">
        <f>HYPERLINK("http://www.openstreetmap.org/?mlat=33.7686&amp;mlon=44.5629&amp;zoom=12#map=12/33.7686/44.5629","Maplink1")</f>
        <v>Maplink1</v>
      </c>
      <c r="AX1119" s="88" t="str">
        <f>HYPERLINK("https://www.google.iq/maps/search/+33.7686,44.5629/@33.7686,44.5629,14z?hl=en","Maplink2")</f>
        <v>Maplink2</v>
      </c>
      <c r="AY1119" s="88" t="str">
        <f>HYPERLINK("http://www.bing.com/maps/?lvl=14&amp;sty=h&amp;cp=33.7686~44.5629&amp;sp=point.33.7686_44.5629","Maplink3")</f>
        <v>Maplink3</v>
      </c>
      <c r="AZ1119" s="76"/>
    </row>
    <row r="1120" spans="1:52" x14ac:dyDescent="0.25">
      <c r="A1120" s="86">
        <v>25814</v>
      </c>
      <c r="B1120" s="87" t="s">
        <v>17</v>
      </c>
      <c r="C1120" s="87" t="s">
        <v>2236</v>
      </c>
      <c r="D1120" s="87" t="s">
        <v>2247</v>
      </c>
      <c r="E1120" s="87" t="s">
        <v>2248</v>
      </c>
      <c r="F1120" s="87">
        <v>33.769176114499999</v>
      </c>
      <c r="G1120" s="87">
        <v>44.559809744900001</v>
      </c>
      <c r="H1120" s="86">
        <v>20</v>
      </c>
      <c r="I1120" s="86">
        <v>120</v>
      </c>
      <c r="J1120" s="87">
        <v>5</v>
      </c>
      <c r="K1120" s="87"/>
      <c r="L1120" s="87"/>
      <c r="M1120" s="87"/>
      <c r="N1120" s="87"/>
      <c r="O1120" s="87">
        <v>10</v>
      </c>
      <c r="P1120" s="87"/>
      <c r="Q1120" s="87"/>
      <c r="R1120" s="87"/>
      <c r="S1120" s="87"/>
      <c r="T1120" s="87"/>
      <c r="U1120" s="87"/>
      <c r="V1120" s="87">
        <v>2</v>
      </c>
      <c r="W1120" s="87"/>
      <c r="X1120" s="87">
        <v>3</v>
      </c>
      <c r="Y1120" s="87"/>
      <c r="Z1120" s="87"/>
      <c r="AA1120" s="87"/>
      <c r="AB1120" s="87"/>
      <c r="AC1120" s="87">
        <v>10</v>
      </c>
      <c r="AD1120" s="87"/>
      <c r="AE1120" s="87"/>
      <c r="AF1120" s="87"/>
      <c r="AG1120" s="87"/>
      <c r="AH1120" s="87">
        <v>10</v>
      </c>
      <c r="AI1120" s="87"/>
      <c r="AJ1120" s="87"/>
      <c r="AK1120" s="87"/>
      <c r="AL1120" s="87"/>
      <c r="AM1120" s="87"/>
      <c r="AN1120" s="87"/>
      <c r="AO1120" s="87"/>
      <c r="AP1120" s="87"/>
      <c r="AQ1120" s="87">
        <v>10</v>
      </c>
      <c r="AR1120" s="87">
        <v>10</v>
      </c>
      <c r="AS1120" s="87"/>
      <c r="AT1120" s="87"/>
      <c r="AU1120" s="87"/>
      <c r="AV1120" s="87"/>
      <c r="AW1120" s="88" t="str">
        <f>HYPERLINK("http://www.openstreetmap.org/?mlat=33.7692&amp;mlon=44.5598&amp;zoom=12#map=12/33.7692/44.5598","Maplink1")</f>
        <v>Maplink1</v>
      </c>
      <c r="AX1120" s="88" t="str">
        <f>HYPERLINK("https://www.google.iq/maps/search/+33.7692,44.5598/@33.7692,44.5598,14z?hl=en","Maplink2")</f>
        <v>Maplink2</v>
      </c>
      <c r="AY1120" s="88" t="str">
        <f>HYPERLINK("http://www.bing.com/maps/?lvl=14&amp;sty=h&amp;cp=33.7692~44.5598&amp;sp=point.33.7692_44.5598","Maplink3")</f>
        <v>Maplink3</v>
      </c>
      <c r="AZ1120" s="76"/>
    </row>
    <row r="1121" spans="1:52" x14ac:dyDescent="0.25">
      <c r="A1121" s="86">
        <v>25815</v>
      </c>
      <c r="B1121" s="87" t="s">
        <v>17</v>
      </c>
      <c r="C1121" s="87" t="s">
        <v>2236</v>
      </c>
      <c r="D1121" s="87" t="s">
        <v>2249</v>
      </c>
      <c r="E1121" s="87" t="s">
        <v>2250</v>
      </c>
      <c r="F1121" s="87">
        <v>33.760171273499999</v>
      </c>
      <c r="G1121" s="87">
        <v>44.550130059499999</v>
      </c>
      <c r="H1121" s="86">
        <v>20</v>
      </c>
      <c r="I1121" s="86">
        <v>120</v>
      </c>
      <c r="J1121" s="87">
        <v>5</v>
      </c>
      <c r="K1121" s="87"/>
      <c r="L1121" s="87"/>
      <c r="M1121" s="87"/>
      <c r="N1121" s="87"/>
      <c r="O1121" s="87">
        <v>13</v>
      </c>
      <c r="P1121" s="87"/>
      <c r="Q1121" s="87"/>
      <c r="R1121" s="87"/>
      <c r="S1121" s="87"/>
      <c r="T1121" s="87"/>
      <c r="U1121" s="87"/>
      <c r="V1121" s="87">
        <v>2</v>
      </c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>
        <v>20</v>
      </c>
      <c r="AI1121" s="87"/>
      <c r="AJ1121" s="87"/>
      <c r="AK1121" s="87"/>
      <c r="AL1121" s="87"/>
      <c r="AM1121" s="87"/>
      <c r="AN1121" s="87"/>
      <c r="AO1121" s="87"/>
      <c r="AP1121" s="87"/>
      <c r="AQ1121" s="87">
        <v>13</v>
      </c>
      <c r="AR1121" s="87">
        <v>5</v>
      </c>
      <c r="AS1121" s="87"/>
      <c r="AT1121" s="87">
        <v>2</v>
      </c>
      <c r="AU1121" s="87"/>
      <c r="AV1121" s="87"/>
      <c r="AW1121" s="88" t="str">
        <f>HYPERLINK("http://www.openstreetmap.org/?mlat=33.7602&amp;mlon=44.5501&amp;zoom=12#map=12/33.7602/44.5501","Maplink1")</f>
        <v>Maplink1</v>
      </c>
      <c r="AX1121" s="88" t="str">
        <f>HYPERLINK("https://www.google.iq/maps/search/+33.7602,44.5501/@33.7602,44.5501,14z?hl=en","Maplink2")</f>
        <v>Maplink2</v>
      </c>
      <c r="AY1121" s="88" t="str">
        <f>HYPERLINK("http://www.bing.com/maps/?lvl=14&amp;sty=h&amp;cp=33.7602~44.5501&amp;sp=point.33.7602_44.5501","Maplink3")</f>
        <v>Maplink3</v>
      </c>
      <c r="AZ1121" s="76"/>
    </row>
    <row r="1122" spans="1:52" x14ac:dyDescent="0.25">
      <c r="A1122" s="86">
        <v>25026</v>
      </c>
      <c r="B1122" s="87" t="s">
        <v>17</v>
      </c>
      <c r="C1122" s="87" t="s">
        <v>2236</v>
      </c>
      <c r="D1122" s="87" t="s">
        <v>2251</v>
      </c>
      <c r="E1122" s="87" t="s">
        <v>2252</v>
      </c>
      <c r="F1122" s="87">
        <v>33.731811057800002</v>
      </c>
      <c r="G1122" s="87">
        <v>44.4836191447</v>
      </c>
      <c r="H1122" s="86">
        <v>24</v>
      </c>
      <c r="I1122" s="86">
        <v>144</v>
      </c>
      <c r="J1122" s="87"/>
      <c r="K1122" s="87"/>
      <c r="L1122" s="87"/>
      <c r="M1122" s="87"/>
      <c r="N1122" s="87"/>
      <c r="O1122" s="87">
        <v>18</v>
      </c>
      <c r="P1122" s="87"/>
      <c r="Q1122" s="87"/>
      <c r="R1122" s="87">
        <v>6</v>
      </c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>
        <v>24</v>
      </c>
      <c r="AI1122" s="87"/>
      <c r="AJ1122" s="87"/>
      <c r="AK1122" s="87"/>
      <c r="AL1122" s="87"/>
      <c r="AM1122" s="87"/>
      <c r="AN1122" s="87"/>
      <c r="AO1122" s="87">
        <v>18</v>
      </c>
      <c r="AP1122" s="87"/>
      <c r="AQ1122" s="87"/>
      <c r="AR1122" s="87"/>
      <c r="AS1122" s="87"/>
      <c r="AT1122" s="87"/>
      <c r="AU1122" s="87">
        <v>6</v>
      </c>
      <c r="AV1122" s="87"/>
      <c r="AW1122" s="88" t="str">
        <f>HYPERLINK("http://www.openstreetmap.org/?mlat=33.7318&amp;mlon=44.4836&amp;zoom=12#map=12/33.7318/44.4836","Maplink1")</f>
        <v>Maplink1</v>
      </c>
      <c r="AX1122" s="88" t="str">
        <f>HYPERLINK("https://www.google.iq/maps/search/+33.7318,44.4836/@33.7318,44.4836,14z?hl=en","Maplink2")</f>
        <v>Maplink2</v>
      </c>
      <c r="AY1122" s="88" t="str">
        <f>HYPERLINK("http://www.bing.com/maps/?lvl=14&amp;sty=h&amp;cp=33.7318~44.4836&amp;sp=point.33.7318_44.4836","Maplink3")</f>
        <v>Maplink3</v>
      </c>
      <c r="AZ1122" s="76"/>
    </row>
    <row r="1123" spans="1:52" x14ac:dyDescent="0.25">
      <c r="A1123" s="86">
        <v>22041</v>
      </c>
      <c r="B1123" s="87" t="s">
        <v>17</v>
      </c>
      <c r="C1123" s="87" t="s">
        <v>2236</v>
      </c>
      <c r="D1123" s="87" t="s">
        <v>2253</v>
      </c>
      <c r="E1123" s="87" t="s">
        <v>72</v>
      </c>
      <c r="F1123" s="87">
        <v>33.784796770900002</v>
      </c>
      <c r="G1123" s="87">
        <v>44.501738494100003</v>
      </c>
      <c r="H1123" s="86">
        <v>40</v>
      </c>
      <c r="I1123" s="86">
        <v>240</v>
      </c>
      <c r="J1123" s="87"/>
      <c r="K1123" s="87"/>
      <c r="L1123" s="87"/>
      <c r="M1123" s="87"/>
      <c r="N1123" s="87"/>
      <c r="O1123" s="87">
        <v>35</v>
      </c>
      <c r="P1123" s="87"/>
      <c r="Q1123" s="87"/>
      <c r="R1123" s="87"/>
      <c r="S1123" s="87"/>
      <c r="T1123" s="87"/>
      <c r="U1123" s="87"/>
      <c r="V1123" s="87"/>
      <c r="W1123" s="87"/>
      <c r="X1123" s="87">
        <v>5</v>
      </c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>
        <v>40</v>
      </c>
      <c r="AI1123" s="87"/>
      <c r="AJ1123" s="87"/>
      <c r="AK1123" s="87"/>
      <c r="AL1123" s="87"/>
      <c r="AM1123" s="87"/>
      <c r="AN1123" s="87"/>
      <c r="AO1123" s="87"/>
      <c r="AP1123" s="87">
        <v>5</v>
      </c>
      <c r="AQ1123" s="87">
        <v>35</v>
      </c>
      <c r="AR1123" s="87"/>
      <c r="AS1123" s="87"/>
      <c r="AT1123" s="87"/>
      <c r="AU1123" s="87"/>
      <c r="AV1123" s="87"/>
      <c r="AW1123" s="88" t="str">
        <f>HYPERLINK("http://www.openstreetmap.org/?mlat=33.7848&amp;mlon=44.5017&amp;zoom=12#map=12/33.7848/44.5017","Maplink1")</f>
        <v>Maplink1</v>
      </c>
      <c r="AX1123" s="88" t="str">
        <f>HYPERLINK("https://www.google.iq/maps/search/+33.7848,44.5017/@33.7848,44.5017,14z?hl=en","Maplink2")</f>
        <v>Maplink2</v>
      </c>
      <c r="AY1123" s="88" t="str">
        <f>HYPERLINK("http://www.bing.com/maps/?lvl=14&amp;sty=h&amp;cp=33.7848~44.5017&amp;sp=point.33.7848_44.5017","Maplink3")</f>
        <v>Maplink3</v>
      </c>
      <c r="AZ1123" s="76"/>
    </row>
    <row r="1124" spans="1:52" x14ac:dyDescent="0.25">
      <c r="A1124" s="86">
        <v>25031</v>
      </c>
      <c r="B1124" s="87" t="s">
        <v>17</v>
      </c>
      <c r="C1124" s="87" t="s">
        <v>2236</v>
      </c>
      <c r="D1124" s="87" t="s">
        <v>2254</v>
      </c>
      <c r="E1124" s="87" t="s">
        <v>2255</v>
      </c>
      <c r="F1124" s="87">
        <v>33.767779923600003</v>
      </c>
      <c r="G1124" s="87">
        <v>44.493085796099997</v>
      </c>
      <c r="H1124" s="86">
        <v>5</v>
      </c>
      <c r="I1124" s="86">
        <v>30</v>
      </c>
      <c r="J1124" s="87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>
        <v>5</v>
      </c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>
        <v>5</v>
      </c>
      <c r="AI1124" s="87"/>
      <c r="AJ1124" s="87"/>
      <c r="AK1124" s="87"/>
      <c r="AL1124" s="87"/>
      <c r="AM1124" s="87"/>
      <c r="AN1124" s="87"/>
      <c r="AO1124" s="87"/>
      <c r="AP1124" s="87"/>
      <c r="AQ1124" s="87">
        <v>5</v>
      </c>
      <c r="AR1124" s="87"/>
      <c r="AS1124" s="87"/>
      <c r="AT1124" s="87"/>
      <c r="AU1124" s="87"/>
      <c r="AV1124" s="87"/>
      <c r="AW1124" s="88" t="str">
        <f>HYPERLINK("http://www.openstreetmap.org/?mlat=33.7678&amp;mlon=44.4931&amp;zoom=12#map=12/33.7678/44.4931","Maplink1")</f>
        <v>Maplink1</v>
      </c>
      <c r="AX1124" s="88" t="str">
        <f>HYPERLINK("https://www.google.iq/maps/search/+33.7678,44.4931/@33.7678,44.4931,14z?hl=en","Maplink2")</f>
        <v>Maplink2</v>
      </c>
      <c r="AY1124" s="88" t="str">
        <f>HYPERLINK("http://www.bing.com/maps/?lvl=14&amp;sty=h&amp;cp=33.7678~44.4931&amp;sp=point.33.7678_44.4931","Maplink3")</f>
        <v>Maplink3</v>
      </c>
      <c r="AZ1124" s="76"/>
    </row>
    <row r="1125" spans="1:52" x14ac:dyDescent="0.25">
      <c r="A1125" s="86">
        <v>24483</v>
      </c>
      <c r="B1125" s="87" t="s">
        <v>17</v>
      </c>
      <c r="C1125" s="87" t="s">
        <v>2236</v>
      </c>
      <c r="D1125" s="87" t="s">
        <v>2256</v>
      </c>
      <c r="E1125" s="87" t="s">
        <v>2257</v>
      </c>
      <c r="F1125" s="87">
        <v>33.936739681699997</v>
      </c>
      <c r="G1125" s="87">
        <v>44.724589594999998</v>
      </c>
      <c r="H1125" s="86">
        <v>10</v>
      </c>
      <c r="I1125" s="86">
        <v>60</v>
      </c>
      <c r="J1125" s="87"/>
      <c r="K1125" s="87"/>
      <c r="L1125" s="87"/>
      <c r="M1125" s="87"/>
      <c r="N1125" s="87"/>
      <c r="O1125" s="87">
        <v>10</v>
      </c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>
        <v>10</v>
      </c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>
        <v>10</v>
      </c>
      <c r="AQ1125" s="87"/>
      <c r="AR1125" s="87"/>
      <c r="AS1125" s="87"/>
      <c r="AT1125" s="87"/>
      <c r="AU1125" s="87"/>
      <c r="AV1125" s="87"/>
      <c r="AW1125" s="88" t="str">
        <f>HYPERLINK("http://www.openstreetmap.org/?mlat=33.9367&amp;mlon=44.7246&amp;zoom=12#map=12/33.9367/44.7246","Maplink1")</f>
        <v>Maplink1</v>
      </c>
      <c r="AX1125" s="88" t="str">
        <f>HYPERLINK("https://www.google.iq/maps/search/+33.9367,44.7246/@33.9367,44.7246,14z?hl=en","Maplink2")</f>
        <v>Maplink2</v>
      </c>
      <c r="AY1125" s="88" t="str">
        <f>HYPERLINK("http://www.bing.com/maps/?lvl=14&amp;sty=h&amp;cp=33.9367~44.7246&amp;sp=point.33.9367_44.7246","Maplink3")</f>
        <v>Maplink3</v>
      </c>
      <c r="AZ1125" s="76"/>
    </row>
    <row r="1126" spans="1:52" x14ac:dyDescent="0.25">
      <c r="A1126" s="86">
        <v>24912</v>
      </c>
      <c r="B1126" s="87" t="s">
        <v>17</v>
      </c>
      <c r="C1126" s="87" t="s">
        <v>2236</v>
      </c>
      <c r="D1126" s="87" t="s">
        <v>2258</v>
      </c>
      <c r="E1126" s="87" t="s">
        <v>2259</v>
      </c>
      <c r="F1126" s="87">
        <v>33.878153610200002</v>
      </c>
      <c r="G1126" s="87">
        <v>44.444386502199997</v>
      </c>
      <c r="H1126" s="86">
        <v>50</v>
      </c>
      <c r="I1126" s="86">
        <v>300</v>
      </c>
      <c r="J1126" s="87"/>
      <c r="K1126" s="87"/>
      <c r="L1126" s="87">
        <v>2</v>
      </c>
      <c r="M1126" s="87"/>
      <c r="N1126" s="87"/>
      <c r="O1126" s="87">
        <v>10</v>
      </c>
      <c r="P1126" s="87"/>
      <c r="Q1126" s="87"/>
      <c r="R1126" s="87"/>
      <c r="S1126" s="87"/>
      <c r="T1126" s="87"/>
      <c r="U1126" s="87"/>
      <c r="V1126" s="87"/>
      <c r="W1126" s="87"/>
      <c r="X1126" s="87">
        <v>38</v>
      </c>
      <c r="Y1126" s="87"/>
      <c r="Z1126" s="87"/>
      <c r="AA1126" s="87"/>
      <c r="AB1126" s="87"/>
      <c r="AC1126" s="87">
        <v>50</v>
      </c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>
        <v>16</v>
      </c>
      <c r="AP1126" s="87"/>
      <c r="AQ1126" s="87">
        <v>34</v>
      </c>
      <c r="AR1126" s="87"/>
      <c r="AS1126" s="87"/>
      <c r="AT1126" s="87"/>
      <c r="AU1126" s="87"/>
      <c r="AV1126" s="87"/>
      <c r="AW1126" s="88" t="str">
        <f>HYPERLINK("http://www.openstreetmap.org/?mlat=33.8782&amp;mlon=44.4444&amp;zoom=12#map=12/33.8782/44.4444","Maplink1")</f>
        <v>Maplink1</v>
      </c>
      <c r="AX1126" s="88" t="str">
        <f>HYPERLINK("https://www.google.iq/maps/search/+33.8782,44.4444/@33.8782,44.4444,14z?hl=en","Maplink2")</f>
        <v>Maplink2</v>
      </c>
      <c r="AY1126" s="88" t="str">
        <f>HYPERLINK("http://www.bing.com/maps/?lvl=14&amp;sty=h&amp;cp=33.8782~44.4444&amp;sp=point.33.8782_44.4444","Maplink3")</f>
        <v>Maplink3</v>
      </c>
      <c r="AZ1126" s="76"/>
    </row>
    <row r="1127" spans="1:52" x14ac:dyDescent="0.25">
      <c r="A1127" s="86">
        <v>25667</v>
      </c>
      <c r="B1127" s="87" t="s">
        <v>17</v>
      </c>
      <c r="C1127" s="87" t="s">
        <v>2236</v>
      </c>
      <c r="D1127" s="87" t="s">
        <v>2260</v>
      </c>
      <c r="E1127" s="87" t="s">
        <v>2261</v>
      </c>
      <c r="F1127" s="87">
        <v>34.0872047481</v>
      </c>
      <c r="G1127" s="87">
        <v>44.928790256600003</v>
      </c>
      <c r="H1127" s="86">
        <v>10</v>
      </c>
      <c r="I1127" s="86">
        <v>60</v>
      </c>
      <c r="J1127" s="87"/>
      <c r="K1127" s="87"/>
      <c r="L1127" s="87"/>
      <c r="M1127" s="87"/>
      <c r="N1127" s="87"/>
      <c r="O1127" s="87">
        <v>10</v>
      </c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>
        <v>10</v>
      </c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>
        <v>10</v>
      </c>
      <c r="AR1127" s="87"/>
      <c r="AS1127" s="87"/>
      <c r="AT1127" s="87"/>
      <c r="AU1127" s="87"/>
      <c r="AV1127" s="87"/>
      <c r="AW1127" s="88" t="str">
        <f>HYPERLINK("http://www.openstreetmap.org/?mlat=34.0872&amp;mlon=44.9288&amp;zoom=12#map=12/34.0872/44.9288","Maplink1")</f>
        <v>Maplink1</v>
      </c>
      <c r="AX1127" s="88" t="str">
        <f>HYPERLINK("https://www.google.iq/maps/search/+34.0872,44.9288/@34.0872,44.9288,14z?hl=en","Maplink2")</f>
        <v>Maplink2</v>
      </c>
      <c r="AY1127" s="88" t="str">
        <f>HYPERLINK("http://www.bing.com/maps/?lvl=14&amp;sty=h&amp;cp=34.0872~44.9288&amp;sp=point.34.0872_44.9288","Maplink3")</f>
        <v>Maplink3</v>
      </c>
      <c r="AZ1127" s="76"/>
    </row>
    <row r="1128" spans="1:52" x14ac:dyDescent="0.25">
      <c r="A1128" s="86">
        <v>25661</v>
      </c>
      <c r="B1128" s="87" t="s">
        <v>17</v>
      </c>
      <c r="C1128" s="87" t="s">
        <v>2236</v>
      </c>
      <c r="D1128" s="87" t="s">
        <v>2262</v>
      </c>
      <c r="E1128" s="87" t="s">
        <v>2263</v>
      </c>
      <c r="F1128" s="87">
        <v>34.085861180499997</v>
      </c>
      <c r="G1128" s="87">
        <v>44.726595767600003</v>
      </c>
      <c r="H1128" s="86">
        <v>4</v>
      </c>
      <c r="I1128" s="86">
        <v>24</v>
      </c>
      <c r="J1128" s="87"/>
      <c r="K1128" s="87"/>
      <c r="L1128" s="87"/>
      <c r="M1128" s="87"/>
      <c r="N1128" s="87"/>
      <c r="O1128" s="87">
        <v>4</v>
      </c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>
        <v>4</v>
      </c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>
        <v>4</v>
      </c>
      <c r="AR1128" s="87"/>
      <c r="AS1128" s="87"/>
      <c r="AT1128" s="87"/>
      <c r="AU1128" s="87"/>
      <c r="AV1128" s="87"/>
      <c r="AW1128" s="88" t="str">
        <f>HYPERLINK("http://www.openstreetmap.org/?mlat=34.0859&amp;mlon=44.7266&amp;zoom=12#map=12/34.0859/44.7266","Maplink1")</f>
        <v>Maplink1</v>
      </c>
      <c r="AX1128" s="88" t="str">
        <f>HYPERLINK("https://www.google.iq/maps/search/+34.0859,44.7266/@34.0859,44.7266,14z?hl=en","Maplink2")</f>
        <v>Maplink2</v>
      </c>
      <c r="AY1128" s="88" t="str">
        <f>HYPERLINK("http://www.bing.com/maps/?lvl=14&amp;sty=h&amp;cp=34.0859~44.7266&amp;sp=point.34.0859_44.7266","Maplink3")</f>
        <v>Maplink3</v>
      </c>
      <c r="AZ1128" s="76"/>
    </row>
    <row r="1129" spans="1:52" x14ac:dyDescent="0.25">
      <c r="A1129" s="86">
        <v>26055</v>
      </c>
      <c r="B1129" s="87" t="s">
        <v>17</v>
      </c>
      <c r="C1129" s="87" t="s">
        <v>2236</v>
      </c>
      <c r="D1129" s="87" t="s">
        <v>2264</v>
      </c>
      <c r="E1129" s="87" t="s">
        <v>2265</v>
      </c>
      <c r="F1129" s="87">
        <v>34.133238177400003</v>
      </c>
      <c r="G1129" s="87">
        <v>44.859771526899998</v>
      </c>
      <c r="H1129" s="86">
        <v>5</v>
      </c>
      <c r="I1129" s="86">
        <v>30</v>
      </c>
      <c r="J1129" s="87"/>
      <c r="K1129" s="87"/>
      <c r="L1129" s="87"/>
      <c r="M1129" s="87"/>
      <c r="N1129" s="87"/>
      <c r="O1129" s="87">
        <v>5</v>
      </c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>
        <v>5</v>
      </c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>
        <v>5</v>
      </c>
      <c r="AR1129" s="87"/>
      <c r="AS1129" s="87"/>
      <c r="AT1129" s="87"/>
      <c r="AU1129" s="87"/>
      <c r="AV1129" s="87"/>
      <c r="AW1129" s="88" t="str">
        <f>HYPERLINK("http://www.openstreetmap.org/?mlat=34.1332&amp;mlon=44.8598&amp;zoom=12#map=12/34.1332/44.8598","Maplink1")</f>
        <v>Maplink1</v>
      </c>
      <c r="AX1129" s="88" t="str">
        <f>HYPERLINK("https://www.google.iq/maps/search/+34.1332,44.8598/@34.1332,44.8598,14z?hl=en","Maplink2")</f>
        <v>Maplink2</v>
      </c>
      <c r="AY1129" s="88" t="str">
        <f>HYPERLINK("http://www.bing.com/maps/?lvl=14&amp;sty=h&amp;cp=34.1332~44.8598&amp;sp=point.34.1332_44.8598","Maplink3")</f>
        <v>Maplink3</v>
      </c>
      <c r="AZ1129" s="76"/>
    </row>
    <row r="1130" spans="1:52" x14ac:dyDescent="0.25">
      <c r="A1130" s="86">
        <v>23965</v>
      </c>
      <c r="B1130" s="87" t="s">
        <v>17</v>
      </c>
      <c r="C1130" s="87" t="s">
        <v>2236</v>
      </c>
      <c r="D1130" s="87" t="s">
        <v>2266</v>
      </c>
      <c r="E1130" s="87" t="s">
        <v>2267</v>
      </c>
      <c r="F1130" s="87">
        <v>33.813784014100001</v>
      </c>
      <c r="G1130" s="87">
        <v>44.562805613000002</v>
      </c>
      <c r="H1130" s="86">
        <v>20</v>
      </c>
      <c r="I1130" s="86">
        <v>120</v>
      </c>
      <c r="J1130" s="87"/>
      <c r="K1130" s="87"/>
      <c r="L1130" s="87"/>
      <c r="M1130" s="87"/>
      <c r="N1130" s="87"/>
      <c r="O1130" s="87">
        <v>20</v>
      </c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>
        <v>8</v>
      </c>
      <c r="AI1130" s="87">
        <v>12</v>
      </c>
      <c r="AJ1130" s="87"/>
      <c r="AK1130" s="87"/>
      <c r="AL1130" s="87"/>
      <c r="AM1130" s="87"/>
      <c r="AN1130" s="87"/>
      <c r="AO1130" s="87"/>
      <c r="AP1130" s="87"/>
      <c r="AQ1130" s="87">
        <v>20</v>
      </c>
      <c r="AR1130" s="87"/>
      <c r="AS1130" s="87"/>
      <c r="AT1130" s="87"/>
      <c r="AU1130" s="87"/>
      <c r="AV1130" s="87"/>
      <c r="AW1130" s="88" t="str">
        <f>HYPERLINK("http://www.openstreetmap.org/?mlat=33.8138&amp;mlon=44.5628&amp;zoom=12#map=12/33.8138/44.5628","Maplink1")</f>
        <v>Maplink1</v>
      </c>
      <c r="AX1130" s="88" t="str">
        <f>HYPERLINK("https://www.google.iq/maps/search/+33.8138,44.5628/@33.8138,44.5628,14z?hl=en","Maplink2")</f>
        <v>Maplink2</v>
      </c>
      <c r="AY1130" s="88" t="str">
        <f>HYPERLINK("http://www.bing.com/maps/?lvl=14&amp;sty=h&amp;cp=33.8138~44.5628&amp;sp=point.33.8138_44.5628","Maplink3")</f>
        <v>Maplink3</v>
      </c>
      <c r="AZ1130" s="76"/>
    </row>
    <row r="1131" spans="1:52" x14ac:dyDescent="0.25">
      <c r="A1131" s="86">
        <v>24913</v>
      </c>
      <c r="B1131" s="87" t="s">
        <v>17</v>
      </c>
      <c r="C1131" s="87" t="s">
        <v>2236</v>
      </c>
      <c r="D1131" s="87" t="s">
        <v>2268</v>
      </c>
      <c r="E1131" s="87" t="s">
        <v>2269</v>
      </c>
      <c r="F1131" s="87">
        <v>33.756833108000002</v>
      </c>
      <c r="G1131" s="87">
        <v>44.542849238700001</v>
      </c>
      <c r="H1131" s="86">
        <v>10</v>
      </c>
      <c r="I1131" s="86">
        <v>60</v>
      </c>
      <c r="J1131" s="87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>
        <v>10</v>
      </c>
      <c r="Y1131" s="87"/>
      <c r="Z1131" s="87"/>
      <c r="AA1131" s="87"/>
      <c r="AB1131" s="87"/>
      <c r="AC1131" s="87">
        <v>6</v>
      </c>
      <c r="AD1131" s="87"/>
      <c r="AE1131" s="87"/>
      <c r="AF1131" s="87"/>
      <c r="AG1131" s="87"/>
      <c r="AH1131" s="87">
        <v>4</v>
      </c>
      <c r="AI1131" s="87"/>
      <c r="AJ1131" s="87"/>
      <c r="AK1131" s="87"/>
      <c r="AL1131" s="87"/>
      <c r="AM1131" s="87"/>
      <c r="AN1131" s="87"/>
      <c r="AO1131" s="87"/>
      <c r="AP1131" s="87"/>
      <c r="AQ1131" s="87">
        <v>10</v>
      </c>
      <c r="AR1131" s="87"/>
      <c r="AS1131" s="87"/>
      <c r="AT1131" s="87"/>
      <c r="AU1131" s="87"/>
      <c r="AV1131" s="87"/>
      <c r="AW1131" s="88" t="str">
        <f>HYPERLINK("http://www.openstreetmap.org/?mlat=33.7568&amp;mlon=44.5428&amp;zoom=12#map=12/33.7568/44.5428","Maplink1")</f>
        <v>Maplink1</v>
      </c>
      <c r="AX1131" s="88" t="str">
        <f>HYPERLINK("https://www.google.iq/maps/search/+33.7568,44.5428/@33.7568,44.5428,14z?hl=en","Maplink2")</f>
        <v>Maplink2</v>
      </c>
      <c r="AY1131" s="88" t="str">
        <f>HYPERLINK("http://www.bing.com/maps/?lvl=14&amp;sty=h&amp;cp=33.7568~44.5428&amp;sp=point.33.7568_44.5428","Maplink3")</f>
        <v>Maplink3</v>
      </c>
      <c r="AZ1131" s="76"/>
    </row>
    <row r="1132" spans="1:52" x14ac:dyDescent="0.25">
      <c r="A1132" s="86">
        <v>25655</v>
      </c>
      <c r="B1132" s="87" t="s">
        <v>17</v>
      </c>
      <c r="C1132" s="87" t="s">
        <v>2236</v>
      </c>
      <c r="D1132" s="87" t="s">
        <v>2270</v>
      </c>
      <c r="E1132" s="87" t="s">
        <v>2271</v>
      </c>
      <c r="F1132" s="87">
        <v>34.0707238938</v>
      </c>
      <c r="G1132" s="87">
        <v>44.870478700900001</v>
      </c>
      <c r="H1132" s="86">
        <v>8</v>
      </c>
      <c r="I1132" s="86">
        <v>48</v>
      </c>
      <c r="J1132" s="87"/>
      <c r="K1132" s="87"/>
      <c r="L1132" s="87"/>
      <c r="M1132" s="87"/>
      <c r="N1132" s="87"/>
      <c r="O1132" s="87">
        <v>8</v>
      </c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>
        <v>8</v>
      </c>
      <c r="AI1132" s="87"/>
      <c r="AJ1132" s="87"/>
      <c r="AK1132" s="87"/>
      <c r="AL1132" s="87"/>
      <c r="AM1132" s="87"/>
      <c r="AN1132" s="87"/>
      <c r="AO1132" s="87"/>
      <c r="AP1132" s="87"/>
      <c r="AQ1132" s="87">
        <v>8</v>
      </c>
      <c r="AR1132" s="87"/>
      <c r="AS1132" s="87"/>
      <c r="AT1132" s="87"/>
      <c r="AU1132" s="87"/>
      <c r="AV1132" s="87"/>
      <c r="AW1132" s="88" t="str">
        <f>HYPERLINK("http://www.openstreetmap.org/?mlat=34.0707&amp;mlon=44.8705&amp;zoom=12#map=12/34.0707/44.8705","Maplink1")</f>
        <v>Maplink1</v>
      </c>
      <c r="AX1132" s="88" t="str">
        <f>HYPERLINK("https://www.google.iq/maps/search/+34.0707,44.8705/@34.0707,44.8705,14z?hl=en","Maplink2")</f>
        <v>Maplink2</v>
      </c>
      <c r="AY1132" s="88" t="str">
        <f>HYPERLINK("http://www.bing.com/maps/?lvl=14&amp;sty=h&amp;cp=34.0707~44.8705&amp;sp=point.34.0707_44.8705","Maplink3")</f>
        <v>Maplink3</v>
      </c>
      <c r="AZ1132" s="76"/>
    </row>
    <row r="1133" spans="1:52" x14ac:dyDescent="0.25">
      <c r="A1133" s="86">
        <v>25652</v>
      </c>
      <c r="B1133" s="87" t="s">
        <v>17</v>
      </c>
      <c r="C1133" s="87" t="s">
        <v>2236</v>
      </c>
      <c r="D1133" s="87" t="s">
        <v>2272</v>
      </c>
      <c r="E1133" s="87" t="s">
        <v>2273</v>
      </c>
      <c r="F1133" s="87">
        <v>34.070227393300001</v>
      </c>
      <c r="G1133" s="87">
        <v>44.8642580733</v>
      </c>
      <c r="H1133" s="86">
        <v>4</v>
      </c>
      <c r="I1133" s="86">
        <v>24</v>
      </c>
      <c r="J1133" s="87"/>
      <c r="K1133" s="87"/>
      <c r="L1133" s="87"/>
      <c r="M1133" s="87"/>
      <c r="N1133" s="87"/>
      <c r="O1133" s="87">
        <v>4</v>
      </c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>
        <v>4</v>
      </c>
      <c r="AI1133" s="87"/>
      <c r="AJ1133" s="87"/>
      <c r="AK1133" s="87"/>
      <c r="AL1133" s="87"/>
      <c r="AM1133" s="87"/>
      <c r="AN1133" s="87"/>
      <c r="AO1133" s="87"/>
      <c r="AP1133" s="87"/>
      <c r="AQ1133" s="87">
        <v>4</v>
      </c>
      <c r="AR1133" s="87"/>
      <c r="AS1133" s="87"/>
      <c r="AT1133" s="87"/>
      <c r="AU1133" s="87"/>
      <c r="AV1133" s="87"/>
      <c r="AW1133" s="88" t="str">
        <f>HYPERLINK("http://www.openstreetmap.org/?mlat=34.0702&amp;mlon=44.8643&amp;zoom=12#map=12/34.0702/44.8643","Maplink1")</f>
        <v>Maplink1</v>
      </c>
      <c r="AX1133" s="88" t="str">
        <f>HYPERLINK("https://www.google.iq/maps/search/+34.0702,44.8643/@34.0702,44.8643,14z?hl=en","Maplink2")</f>
        <v>Maplink2</v>
      </c>
      <c r="AY1133" s="88" t="str">
        <f>HYPERLINK("http://www.bing.com/maps/?lvl=14&amp;sty=h&amp;cp=34.0702~44.8643&amp;sp=point.34.0702_44.8643","Maplink3")</f>
        <v>Maplink3</v>
      </c>
      <c r="AZ1133" s="76"/>
    </row>
    <row r="1134" spans="1:52" x14ac:dyDescent="0.25">
      <c r="A1134" s="86">
        <v>25653</v>
      </c>
      <c r="B1134" s="87" t="s">
        <v>17</v>
      </c>
      <c r="C1134" s="87" t="s">
        <v>2236</v>
      </c>
      <c r="D1134" s="87" t="s">
        <v>2274</v>
      </c>
      <c r="E1134" s="87" t="s">
        <v>2275</v>
      </c>
      <c r="F1134" s="87">
        <v>34.077230211200003</v>
      </c>
      <c r="G1134" s="87">
        <v>44.855035163099998</v>
      </c>
      <c r="H1134" s="86">
        <v>5</v>
      </c>
      <c r="I1134" s="86">
        <v>30</v>
      </c>
      <c r="J1134" s="87"/>
      <c r="K1134" s="87"/>
      <c r="L1134" s="87"/>
      <c r="M1134" s="87"/>
      <c r="N1134" s="87"/>
      <c r="O1134" s="87">
        <v>2</v>
      </c>
      <c r="P1134" s="87"/>
      <c r="Q1134" s="87"/>
      <c r="R1134" s="87"/>
      <c r="S1134" s="87"/>
      <c r="T1134" s="87"/>
      <c r="U1134" s="87"/>
      <c r="V1134" s="87"/>
      <c r="W1134" s="87"/>
      <c r="X1134" s="87">
        <v>3</v>
      </c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>
        <v>5</v>
      </c>
      <c r="AI1134" s="87"/>
      <c r="AJ1134" s="87"/>
      <c r="AK1134" s="87"/>
      <c r="AL1134" s="87"/>
      <c r="AM1134" s="87"/>
      <c r="AN1134" s="87"/>
      <c r="AO1134" s="87"/>
      <c r="AP1134" s="87"/>
      <c r="AQ1134" s="87">
        <v>5</v>
      </c>
      <c r="AR1134" s="87"/>
      <c r="AS1134" s="87"/>
      <c r="AT1134" s="87"/>
      <c r="AU1134" s="87"/>
      <c r="AV1134" s="87"/>
      <c r="AW1134" s="88" t="str">
        <f>HYPERLINK("http://www.openstreetmap.org/?mlat=34.0772&amp;mlon=44.855&amp;zoom=12#map=12/34.0772/44.855","Maplink1")</f>
        <v>Maplink1</v>
      </c>
      <c r="AX1134" s="88" t="str">
        <f>HYPERLINK("https://www.google.iq/maps/search/+34.0772,44.855/@34.0772,44.855,14z?hl=en","Maplink2")</f>
        <v>Maplink2</v>
      </c>
      <c r="AY1134" s="88" t="str">
        <f>HYPERLINK("http://www.bing.com/maps/?lvl=14&amp;sty=h&amp;cp=34.0772~44.855&amp;sp=point.34.0772_44.855","Maplink3")</f>
        <v>Maplink3</v>
      </c>
      <c r="AZ1134" s="76"/>
    </row>
    <row r="1135" spans="1:52" x14ac:dyDescent="0.25">
      <c r="A1135" s="86">
        <v>24194</v>
      </c>
      <c r="B1135" s="87" t="s">
        <v>17</v>
      </c>
      <c r="C1135" s="87" t="s">
        <v>2236</v>
      </c>
      <c r="D1135" s="87" t="s">
        <v>2276</v>
      </c>
      <c r="E1135" s="87" t="s">
        <v>2277</v>
      </c>
      <c r="F1135" s="87">
        <v>34.073451327800001</v>
      </c>
      <c r="G1135" s="87">
        <v>44.854866113699998</v>
      </c>
      <c r="H1135" s="86">
        <v>25</v>
      </c>
      <c r="I1135" s="86">
        <v>150</v>
      </c>
      <c r="J1135" s="87"/>
      <c r="K1135" s="87"/>
      <c r="L1135" s="87"/>
      <c r="M1135" s="87"/>
      <c r="N1135" s="87"/>
      <c r="O1135" s="87">
        <v>21</v>
      </c>
      <c r="P1135" s="87"/>
      <c r="Q1135" s="87"/>
      <c r="R1135" s="87"/>
      <c r="S1135" s="87"/>
      <c r="T1135" s="87"/>
      <c r="U1135" s="87"/>
      <c r="V1135" s="87"/>
      <c r="W1135" s="87"/>
      <c r="X1135" s="87">
        <v>4</v>
      </c>
      <c r="Y1135" s="87"/>
      <c r="Z1135" s="87"/>
      <c r="AA1135" s="87"/>
      <c r="AB1135" s="87"/>
      <c r="AC1135" s="87">
        <v>3</v>
      </c>
      <c r="AD1135" s="87"/>
      <c r="AE1135" s="87"/>
      <c r="AF1135" s="87"/>
      <c r="AG1135" s="87"/>
      <c r="AH1135" s="87">
        <v>22</v>
      </c>
      <c r="AI1135" s="87"/>
      <c r="AJ1135" s="87"/>
      <c r="AK1135" s="87"/>
      <c r="AL1135" s="87"/>
      <c r="AM1135" s="87"/>
      <c r="AN1135" s="87"/>
      <c r="AO1135" s="87"/>
      <c r="AP1135" s="87">
        <v>4</v>
      </c>
      <c r="AQ1135" s="87">
        <v>21</v>
      </c>
      <c r="AR1135" s="87"/>
      <c r="AS1135" s="87"/>
      <c r="AT1135" s="87"/>
      <c r="AU1135" s="87"/>
      <c r="AV1135" s="87"/>
      <c r="AW1135" s="88" t="str">
        <f>HYPERLINK("http://www.openstreetmap.org/?mlat=34.0735&amp;mlon=44.8549&amp;zoom=12#map=12/34.0735/44.8549","Maplink1")</f>
        <v>Maplink1</v>
      </c>
      <c r="AX1135" s="88" t="str">
        <f>HYPERLINK("https://www.google.iq/maps/search/+34.0735,44.8549/@34.0735,44.8549,14z?hl=en","Maplink2")</f>
        <v>Maplink2</v>
      </c>
      <c r="AY1135" s="88" t="str">
        <f>HYPERLINK("http://www.bing.com/maps/?lvl=14&amp;sty=h&amp;cp=34.0735~44.8549&amp;sp=point.34.0735_44.8549","Maplink3")</f>
        <v>Maplink3</v>
      </c>
      <c r="AZ1135" s="76"/>
    </row>
    <row r="1136" spans="1:52" x14ac:dyDescent="0.25">
      <c r="A1136" s="86">
        <v>26058</v>
      </c>
      <c r="B1136" s="87" t="s">
        <v>17</v>
      </c>
      <c r="C1136" s="87" t="s">
        <v>2236</v>
      </c>
      <c r="D1136" s="87" t="s">
        <v>2278</v>
      </c>
      <c r="E1136" s="87" t="s">
        <v>2279</v>
      </c>
      <c r="F1136" s="87">
        <v>34.0676524024</v>
      </c>
      <c r="G1136" s="87">
        <v>44.865502219500002</v>
      </c>
      <c r="H1136" s="86">
        <v>10</v>
      </c>
      <c r="I1136" s="86">
        <v>60</v>
      </c>
      <c r="J1136" s="87"/>
      <c r="K1136" s="87"/>
      <c r="L1136" s="87"/>
      <c r="M1136" s="87"/>
      <c r="N1136" s="87"/>
      <c r="O1136" s="87">
        <v>10</v>
      </c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>
        <v>10</v>
      </c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>
        <v>10</v>
      </c>
      <c r="AR1136" s="87"/>
      <c r="AS1136" s="87"/>
      <c r="AT1136" s="87"/>
      <c r="AU1136" s="87"/>
      <c r="AV1136" s="87"/>
      <c r="AW1136" s="88" t="str">
        <f>HYPERLINK("http://www.openstreetmap.org/?mlat=34.0677&amp;mlon=44.8655&amp;zoom=12#map=12/34.0677/44.8655","Maplink1")</f>
        <v>Maplink1</v>
      </c>
      <c r="AX1136" s="88" t="str">
        <f>HYPERLINK("https://www.google.iq/maps/search/+34.0677,44.8655/@34.0677,44.8655,14z?hl=en","Maplink2")</f>
        <v>Maplink2</v>
      </c>
      <c r="AY1136" s="88" t="str">
        <f>HYPERLINK("http://www.bing.com/maps/?lvl=14&amp;sty=h&amp;cp=34.0677~44.8655&amp;sp=point.34.0677_44.8655","Maplink3")</f>
        <v>Maplink3</v>
      </c>
      <c r="AZ1136" s="76"/>
    </row>
    <row r="1137" spans="1:52" x14ac:dyDescent="0.25">
      <c r="A1137" s="86">
        <v>25656</v>
      </c>
      <c r="B1137" s="87" t="s">
        <v>17</v>
      </c>
      <c r="C1137" s="87" t="s">
        <v>2236</v>
      </c>
      <c r="D1137" s="87" t="s">
        <v>2280</v>
      </c>
      <c r="E1137" s="87" t="s">
        <v>2281</v>
      </c>
      <c r="F1137" s="87">
        <v>34.070030739400003</v>
      </c>
      <c r="G1137" s="87">
        <v>44.859731101100003</v>
      </c>
      <c r="H1137" s="86">
        <v>5</v>
      </c>
      <c r="I1137" s="86">
        <v>30</v>
      </c>
      <c r="J1137" s="87"/>
      <c r="K1137" s="87"/>
      <c r="L1137" s="87"/>
      <c r="M1137" s="87"/>
      <c r="N1137" s="87"/>
      <c r="O1137" s="87">
        <v>5</v>
      </c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>
        <v>5</v>
      </c>
      <c r="AI1137" s="87"/>
      <c r="AJ1137" s="87"/>
      <c r="AK1137" s="87"/>
      <c r="AL1137" s="87"/>
      <c r="AM1137" s="87"/>
      <c r="AN1137" s="87"/>
      <c r="AO1137" s="87"/>
      <c r="AP1137" s="87"/>
      <c r="AQ1137" s="87">
        <v>5</v>
      </c>
      <c r="AR1137" s="87"/>
      <c r="AS1137" s="87"/>
      <c r="AT1137" s="87"/>
      <c r="AU1137" s="87"/>
      <c r="AV1137" s="87"/>
      <c r="AW1137" s="88" t="str">
        <f>HYPERLINK("http://www.openstreetmap.org/?mlat=34.07&amp;mlon=44.8597&amp;zoom=12#map=12/34.07/44.8597","Maplink1")</f>
        <v>Maplink1</v>
      </c>
      <c r="AX1137" s="88" t="str">
        <f>HYPERLINK("https://www.google.iq/maps/search/+34.07,44.8597/@34.07,44.8597,14z?hl=en","Maplink2")</f>
        <v>Maplink2</v>
      </c>
      <c r="AY1137" s="88" t="str">
        <f>HYPERLINK("http://www.bing.com/maps/?lvl=14&amp;sty=h&amp;cp=34.07~44.8597&amp;sp=point.34.07_44.8597","Maplink3")</f>
        <v>Maplink3</v>
      </c>
      <c r="AZ1137" s="76"/>
    </row>
    <row r="1138" spans="1:52" x14ac:dyDescent="0.25">
      <c r="A1138" s="86">
        <v>25651</v>
      </c>
      <c r="B1138" s="87" t="s">
        <v>17</v>
      </c>
      <c r="C1138" s="87" t="s">
        <v>2236</v>
      </c>
      <c r="D1138" s="87" t="s">
        <v>2282</v>
      </c>
      <c r="E1138" s="87" t="s">
        <v>2283</v>
      </c>
      <c r="F1138" s="87">
        <v>34.073682398599999</v>
      </c>
      <c r="G1138" s="87">
        <v>44.863416288700002</v>
      </c>
      <c r="H1138" s="86">
        <v>25</v>
      </c>
      <c r="I1138" s="86">
        <v>150</v>
      </c>
      <c r="J1138" s="87"/>
      <c r="K1138" s="87"/>
      <c r="L1138" s="87"/>
      <c r="M1138" s="87"/>
      <c r="N1138" s="87"/>
      <c r="O1138" s="87">
        <v>25</v>
      </c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>
        <v>25</v>
      </c>
      <c r="AI1138" s="87"/>
      <c r="AJ1138" s="87"/>
      <c r="AK1138" s="87"/>
      <c r="AL1138" s="87"/>
      <c r="AM1138" s="87"/>
      <c r="AN1138" s="87"/>
      <c r="AO1138" s="87"/>
      <c r="AP1138" s="87">
        <v>7</v>
      </c>
      <c r="AQ1138" s="87">
        <v>18</v>
      </c>
      <c r="AR1138" s="87"/>
      <c r="AS1138" s="87"/>
      <c r="AT1138" s="87"/>
      <c r="AU1138" s="87"/>
      <c r="AV1138" s="87"/>
      <c r="AW1138" s="88" t="str">
        <f>HYPERLINK("http://www.openstreetmap.org/?mlat=34.0737&amp;mlon=44.8634&amp;zoom=12#map=12/34.0737/44.8634","Maplink1")</f>
        <v>Maplink1</v>
      </c>
      <c r="AX1138" s="88" t="str">
        <f>HYPERLINK("https://www.google.iq/maps/search/+34.0737,44.8634/@34.0737,44.8634,14z?hl=en","Maplink2")</f>
        <v>Maplink2</v>
      </c>
      <c r="AY1138" s="88" t="str">
        <f>HYPERLINK("http://www.bing.com/maps/?lvl=14&amp;sty=h&amp;cp=34.0737~44.8634&amp;sp=point.34.0737_44.8634","Maplink3")</f>
        <v>Maplink3</v>
      </c>
      <c r="AZ1138" s="76"/>
    </row>
    <row r="1139" spans="1:52" x14ac:dyDescent="0.25">
      <c r="A1139" s="86">
        <v>25678</v>
      </c>
      <c r="B1139" s="87" t="s">
        <v>17</v>
      </c>
      <c r="C1139" s="87" t="s">
        <v>2236</v>
      </c>
      <c r="D1139" s="87" t="s">
        <v>2284</v>
      </c>
      <c r="E1139" s="87" t="s">
        <v>2285</v>
      </c>
      <c r="F1139" s="87">
        <v>34.125489027</v>
      </c>
      <c r="G1139" s="87">
        <v>44.844108455799997</v>
      </c>
      <c r="H1139" s="86">
        <v>8</v>
      </c>
      <c r="I1139" s="86">
        <v>48</v>
      </c>
      <c r="J1139" s="87"/>
      <c r="K1139" s="87"/>
      <c r="L1139" s="87"/>
      <c r="M1139" s="87"/>
      <c r="N1139" s="87"/>
      <c r="O1139" s="87">
        <v>8</v>
      </c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>
        <v>5</v>
      </c>
      <c r="AD1139" s="87"/>
      <c r="AE1139" s="87"/>
      <c r="AF1139" s="87"/>
      <c r="AG1139" s="87"/>
      <c r="AH1139" s="87">
        <v>3</v>
      </c>
      <c r="AI1139" s="87"/>
      <c r="AJ1139" s="87"/>
      <c r="AK1139" s="87"/>
      <c r="AL1139" s="87"/>
      <c r="AM1139" s="87"/>
      <c r="AN1139" s="87"/>
      <c r="AO1139" s="87"/>
      <c r="AP1139" s="87"/>
      <c r="AQ1139" s="87">
        <v>8</v>
      </c>
      <c r="AR1139" s="87"/>
      <c r="AS1139" s="87"/>
      <c r="AT1139" s="87"/>
      <c r="AU1139" s="87"/>
      <c r="AV1139" s="87"/>
      <c r="AW1139" s="88" t="str">
        <f>HYPERLINK("http://www.openstreetmap.org/?mlat=34.1255&amp;mlon=44.8441&amp;zoom=12#map=12/34.1255/44.8441","Maplink1")</f>
        <v>Maplink1</v>
      </c>
      <c r="AX1139" s="88" t="str">
        <f>HYPERLINK("https://www.google.iq/maps/search/+34.1255,44.8441/@34.1255,44.8441,14z?hl=en","Maplink2")</f>
        <v>Maplink2</v>
      </c>
      <c r="AY1139" s="88" t="str">
        <f>HYPERLINK("http://www.bing.com/maps/?lvl=14&amp;sty=h&amp;cp=34.1255~44.8441&amp;sp=point.34.1255_44.8441","Maplink3")</f>
        <v>Maplink3</v>
      </c>
      <c r="AZ1139" s="76"/>
    </row>
    <row r="1140" spans="1:52" x14ac:dyDescent="0.25">
      <c r="A1140" s="86">
        <v>11206</v>
      </c>
      <c r="B1140" s="87" t="s">
        <v>17</v>
      </c>
      <c r="C1140" s="87" t="s">
        <v>2236</v>
      </c>
      <c r="D1140" s="87" t="s">
        <v>2286</v>
      </c>
      <c r="E1140" s="87" t="s">
        <v>2287</v>
      </c>
      <c r="F1140" s="87">
        <v>33.683881914499999</v>
      </c>
      <c r="G1140" s="87">
        <v>44.423724252200003</v>
      </c>
      <c r="H1140" s="86">
        <v>7</v>
      </c>
      <c r="I1140" s="86">
        <v>42</v>
      </c>
      <c r="J1140" s="87"/>
      <c r="K1140" s="87"/>
      <c r="L1140" s="87"/>
      <c r="M1140" s="87"/>
      <c r="N1140" s="87"/>
      <c r="O1140" s="87">
        <v>7</v>
      </c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>
        <v>7</v>
      </c>
      <c r="AI1140" s="87"/>
      <c r="AJ1140" s="87"/>
      <c r="AK1140" s="87"/>
      <c r="AL1140" s="87"/>
      <c r="AM1140" s="87"/>
      <c r="AN1140" s="87"/>
      <c r="AO1140" s="87"/>
      <c r="AP1140" s="87"/>
      <c r="AQ1140" s="87">
        <v>7</v>
      </c>
      <c r="AR1140" s="87"/>
      <c r="AS1140" s="87"/>
      <c r="AT1140" s="87"/>
      <c r="AU1140" s="87"/>
      <c r="AV1140" s="87"/>
      <c r="AW1140" s="88" t="str">
        <f>HYPERLINK("http://www.openstreetmap.org/?mlat=33.6839&amp;mlon=44.4237&amp;zoom=12#map=12/33.6839/44.4237","Maplink1")</f>
        <v>Maplink1</v>
      </c>
      <c r="AX1140" s="88" t="str">
        <f>HYPERLINK("https://www.google.iq/maps/search/+33.6839,44.4237/@33.6839,44.4237,14z?hl=en","Maplink2")</f>
        <v>Maplink2</v>
      </c>
      <c r="AY1140" s="88" t="str">
        <f>HYPERLINK("http://www.bing.com/maps/?lvl=14&amp;sty=h&amp;cp=33.6839~44.4237&amp;sp=point.33.6839_44.4237","Maplink3")</f>
        <v>Maplink3</v>
      </c>
      <c r="AZ1140" s="76"/>
    </row>
    <row r="1141" spans="1:52" x14ac:dyDescent="0.25">
      <c r="A1141" s="86">
        <v>25029</v>
      </c>
      <c r="B1141" s="87" t="s">
        <v>17</v>
      </c>
      <c r="C1141" s="87" t="s">
        <v>2236</v>
      </c>
      <c r="D1141" s="87" t="s">
        <v>2288</v>
      </c>
      <c r="E1141" s="87" t="s">
        <v>2289</v>
      </c>
      <c r="F1141" s="87">
        <v>33.804978844700003</v>
      </c>
      <c r="G1141" s="87">
        <v>44.520150246999997</v>
      </c>
      <c r="H1141" s="86">
        <v>5</v>
      </c>
      <c r="I1141" s="86">
        <v>30</v>
      </c>
      <c r="J1141" s="87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>
        <v>1</v>
      </c>
      <c r="W1141" s="87"/>
      <c r="X1141" s="87">
        <v>4</v>
      </c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>
        <v>5</v>
      </c>
      <c r="AI1141" s="87"/>
      <c r="AJ1141" s="87"/>
      <c r="AK1141" s="87"/>
      <c r="AL1141" s="87"/>
      <c r="AM1141" s="87"/>
      <c r="AN1141" s="87"/>
      <c r="AO1141" s="87"/>
      <c r="AP1141" s="87"/>
      <c r="AQ1141" s="87">
        <v>4</v>
      </c>
      <c r="AR1141" s="87"/>
      <c r="AS1141" s="87"/>
      <c r="AT1141" s="87"/>
      <c r="AU1141" s="87">
        <v>1</v>
      </c>
      <c r="AV1141" s="87"/>
      <c r="AW1141" s="88" t="str">
        <f>HYPERLINK("http://www.openstreetmap.org/?mlat=33.805&amp;mlon=44.5202&amp;zoom=12#map=12/33.805/44.5202","Maplink1")</f>
        <v>Maplink1</v>
      </c>
      <c r="AX1141" s="88" t="str">
        <f>HYPERLINK("https://www.google.iq/maps/search/+33.805,44.5202/@33.805,44.5202,14z?hl=en","Maplink2")</f>
        <v>Maplink2</v>
      </c>
      <c r="AY1141" s="88" t="str">
        <f>HYPERLINK("http://www.bing.com/maps/?lvl=14&amp;sty=h&amp;cp=33.805~44.5202&amp;sp=point.33.805_44.5202","Maplink3")</f>
        <v>Maplink3</v>
      </c>
      <c r="AZ1141" s="76"/>
    </row>
    <row r="1142" spans="1:52" x14ac:dyDescent="0.25">
      <c r="A1142" s="86">
        <v>25032</v>
      </c>
      <c r="B1142" s="87" t="s">
        <v>17</v>
      </c>
      <c r="C1142" s="87" t="s">
        <v>2236</v>
      </c>
      <c r="D1142" s="87" t="s">
        <v>2290</v>
      </c>
      <c r="E1142" s="87" t="s">
        <v>2240</v>
      </c>
      <c r="F1142" s="87">
        <v>33.782394519299999</v>
      </c>
      <c r="G1142" s="87">
        <v>44.516422674899999</v>
      </c>
      <c r="H1142" s="86">
        <v>13</v>
      </c>
      <c r="I1142" s="86">
        <v>78</v>
      </c>
      <c r="J1142" s="87">
        <v>2</v>
      </c>
      <c r="K1142" s="87"/>
      <c r="L1142" s="87"/>
      <c r="M1142" s="87"/>
      <c r="N1142" s="87"/>
      <c r="O1142" s="87">
        <v>2</v>
      </c>
      <c r="P1142" s="87"/>
      <c r="Q1142" s="87"/>
      <c r="R1142" s="87"/>
      <c r="S1142" s="87"/>
      <c r="T1142" s="87"/>
      <c r="U1142" s="87"/>
      <c r="V1142" s="87"/>
      <c r="W1142" s="87"/>
      <c r="X1142" s="87">
        <v>9</v>
      </c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>
        <v>13</v>
      </c>
      <c r="AI1142" s="87"/>
      <c r="AJ1142" s="87"/>
      <c r="AK1142" s="87"/>
      <c r="AL1142" s="87"/>
      <c r="AM1142" s="87"/>
      <c r="AN1142" s="87"/>
      <c r="AO1142" s="87">
        <v>6</v>
      </c>
      <c r="AP1142" s="87"/>
      <c r="AQ1142" s="87">
        <v>7</v>
      </c>
      <c r="AR1142" s="87"/>
      <c r="AS1142" s="87"/>
      <c r="AT1142" s="87"/>
      <c r="AU1142" s="87"/>
      <c r="AV1142" s="87"/>
      <c r="AW1142" s="88" t="str">
        <f>HYPERLINK("http://www.openstreetmap.org/?mlat=33.7824&amp;mlon=44.5164&amp;zoom=12#map=12/33.7824/44.5164","Maplink1")</f>
        <v>Maplink1</v>
      </c>
      <c r="AX1142" s="88" t="str">
        <f>HYPERLINK("https://www.google.iq/maps/search/+33.7824,44.5164/@33.7824,44.5164,14z?hl=en","Maplink2")</f>
        <v>Maplink2</v>
      </c>
      <c r="AY1142" s="88" t="str">
        <f>HYPERLINK("http://www.bing.com/maps/?lvl=14&amp;sty=h&amp;cp=33.7824~44.5164&amp;sp=point.33.7824_44.5164","Maplink3")</f>
        <v>Maplink3</v>
      </c>
      <c r="AZ1142" s="76"/>
    </row>
    <row r="1143" spans="1:52" x14ac:dyDescent="0.25">
      <c r="A1143" s="86">
        <v>25027</v>
      </c>
      <c r="B1143" s="87" t="s">
        <v>17</v>
      </c>
      <c r="C1143" s="87" t="s">
        <v>2236</v>
      </c>
      <c r="D1143" s="87" t="s">
        <v>2291</v>
      </c>
      <c r="E1143" s="87" t="s">
        <v>2292</v>
      </c>
      <c r="F1143" s="87">
        <v>33.780934905400002</v>
      </c>
      <c r="G1143" s="87">
        <v>44.514319918399998</v>
      </c>
      <c r="H1143" s="86">
        <v>12</v>
      </c>
      <c r="I1143" s="86">
        <v>72</v>
      </c>
      <c r="J1143" s="87"/>
      <c r="K1143" s="87"/>
      <c r="L1143" s="87"/>
      <c r="M1143" s="87"/>
      <c r="N1143" s="87"/>
      <c r="O1143" s="87">
        <v>12</v>
      </c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>
        <v>12</v>
      </c>
      <c r="AI1143" s="87"/>
      <c r="AJ1143" s="87"/>
      <c r="AK1143" s="87"/>
      <c r="AL1143" s="87"/>
      <c r="AM1143" s="87"/>
      <c r="AN1143" s="87"/>
      <c r="AO1143" s="87"/>
      <c r="AP1143" s="87"/>
      <c r="AQ1143" s="87">
        <v>12</v>
      </c>
      <c r="AR1143" s="87"/>
      <c r="AS1143" s="87"/>
      <c r="AT1143" s="87"/>
      <c r="AU1143" s="87"/>
      <c r="AV1143" s="87"/>
      <c r="AW1143" s="88" t="str">
        <f>HYPERLINK("http://www.openstreetmap.org/?mlat=33.7809&amp;mlon=44.5143&amp;zoom=12#map=12/33.7809/44.5143","Maplink1")</f>
        <v>Maplink1</v>
      </c>
      <c r="AX1143" s="88" t="str">
        <f>HYPERLINK("https://www.google.iq/maps/search/+33.7809,44.5143/@33.7809,44.5143,14z?hl=en","Maplink2")</f>
        <v>Maplink2</v>
      </c>
      <c r="AY1143" s="88" t="str">
        <f>HYPERLINK("http://www.bing.com/maps/?lvl=14&amp;sty=h&amp;cp=33.7809~44.5143&amp;sp=point.33.7809_44.5143","Maplink3")</f>
        <v>Maplink3</v>
      </c>
      <c r="AZ1143" s="76"/>
    </row>
    <row r="1144" spans="1:52" x14ac:dyDescent="0.25">
      <c r="A1144" s="86">
        <v>25034</v>
      </c>
      <c r="B1144" s="87" t="s">
        <v>17</v>
      </c>
      <c r="C1144" s="87" t="s">
        <v>2236</v>
      </c>
      <c r="D1144" s="87" t="s">
        <v>2293</v>
      </c>
      <c r="E1144" s="87" t="s">
        <v>2294</v>
      </c>
      <c r="F1144" s="87">
        <v>33.745741021299999</v>
      </c>
      <c r="G1144" s="87">
        <v>44.535388325500001</v>
      </c>
      <c r="H1144" s="86">
        <v>7</v>
      </c>
      <c r="I1144" s="86">
        <v>42</v>
      </c>
      <c r="J1144" s="87"/>
      <c r="K1144" s="87"/>
      <c r="L1144" s="87"/>
      <c r="M1144" s="87"/>
      <c r="N1144" s="87"/>
      <c r="O1144" s="87">
        <v>7</v>
      </c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>
        <v>7</v>
      </c>
      <c r="AI1144" s="87"/>
      <c r="AJ1144" s="87"/>
      <c r="AK1144" s="87"/>
      <c r="AL1144" s="87"/>
      <c r="AM1144" s="87"/>
      <c r="AN1144" s="87"/>
      <c r="AO1144" s="87">
        <v>5</v>
      </c>
      <c r="AP1144" s="87">
        <v>2</v>
      </c>
      <c r="AQ1144" s="87"/>
      <c r="AR1144" s="87"/>
      <c r="AS1144" s="87"/>
      <c r="AT1144" s="87"/>
      <c r="AU1144" s="87"/>
      <c r="AV1144" s="87"/>
      <c r="AW1144" s="88" t="str">
        <f>HYPERLINK("http://www.openstreetmap.org/?mlat=33.7457&amp;mlon=44.5354&amp;zoom=12#map=12/33.7457/44.5354","Maplink1")</f>
        <v>Maplink1</v>
      </c>
      <c r="AX1144" s="88" t="str">
        <f>HYPERLINK("https://www.google.iq/maps/search/+33.7457,44.5354/@33.7457,44.5354,14z?hl=en","Maplink2")</f>
        <v>Maplink2</v>
      </c>
      <c r="AY1144" s="88" t="str">
        <f>HYPERLINK("http://www.bing.com/maps/?lvl=14&amp;sty=h&amp;cp=33.7457~44.5354&amp;sp=point.33.7457_44.5354","Maplink3")</f>
        <v>Maplink3</v>
      </c>
      <c r="AZ1144" s="76"/>
    </row>
    <row r="1145" spans="1:52" x14ac:dyDescent="0.25">
      <c r="A1145" s="86">
        <v>25028</v>
      </c>
      <c r="B1145" s="87" t="s">
        <v>17</v>
      </c>
      <c r="C1145" s="87" t="s">
        <v>2236</v>
      </c>
      <c r="D1145" s="87" t="s">
        <v>2295</v>
      </c>
      <c r="E1145" s="87" t="s">
        <v>2296</v>
      </c>
      <c r="F1145" s="87">
        <v>33.762192898999999</v>
      </c>
      <c r="G1145" s="87">
        <v>44.496992468099997</v>
      </c>
      <c r="H1145" s="86">
        <v>30</v>
      </c>
      <c r="I1145" s="86">
        <v>180</v>
      </c>
      <c r="J1145" s="87">
        <v>1</v>
      </c>
      <c r="K1145" s="87"/>
      <c r="L1145" s="87"/>
      <c r="M1145" s="87"/>
      <c r="N1145" s="87"/>
      <c r="O1145" s="87">
        <v>22</v>
      </c>
      <c r="P1145" s="87"/>
      <c r="Q1145" s="87"/>
      <c r="R1145" s="87"/>
      <c r="S1145" s="87"/>
      <c r="T1145" s="87"/>
      <c r="U1145" s="87"/>
      <c r="V1145" s="87">
        <v>7</v>
      </c>
      <c r="W1145" s="87"/>
      <c r="X1145" s="87"/>
      <c r="Y1145" s="87"/>
      <c r="Z1145" s="87"/>
      <c r="AA1145" s="87"/>
      <c r="AB1145" s="87"/>
      <c r="AC1145" s="87">
        <v>7</v>
      </c>
      <c r="AD1145" s="87"/>
      <c r="AE1145" s="87"/>
      <c r="AF1145" s="87"/>
      <c r="AG1145" s="87"/>
      <c r="AH1145" s="87">
        <v>23</v>
      </c>
      <c r="AI1145" s="87"/>
      <c r="AJ1145" s="87"/>
      <c r="AK1145" s="87"/>
      <c r="AL1145" s="87"/>
      <c r="AM1145" s="87"/>
      <c r="AN1145" s="87"/>
      <c r="AO1145" s="87"/>
      <c r="AP1145" s="87">
        <v>4</v>
      </c>
      <c r="AQ1145" s="87">
        <v>19</v>
      </c>
      <c r="AR1145" s="87"/>
      <c r="AS1145" s="87"/>
      <c r="AT1145" s="87">
        <v>7</v>
      </c>
      <c r="AU1145" s="87"/>
      <c r="AV1145" s="87"/>
      <c r="AW1145" s="88" t="str">
        <f>HYPERLINK("http://www.openstreetmap.org/?mlat=33.7622&amp;mlon=44.497&amp;zoom=12#map=12/33.7622/44.497","Maplink1")</f>
        <v>Maplink1</v>
      </c>
      <c r="AX1145" s="88" t="str">
        <f>HYPERLINK("https://www.google.iq/maps/search/+33.7622,44.497/@33.7622,44.497,14z?hl=en","Maplink2")</f>
        <v>Maplink2</v>
      </c>
      <c r="AY1145" s="88" t="str">
        <f>HYPERLINK("http://www.bing.com/maps/?lvl=14&amp;sty=h&amp;cp=33.7622~44.497&amp;sp=point.33.7622_44.497","Maplink3")</f>
        <v>Maplink3</v>
      </c>
      <c r="AZ1145" s="76"/>
    </row>
    <row r="1146" spans="1:52" x14ac:dyDescent="0.25">
      <c r="A1146" s="86">
        <v>25036</v>
      </c>
      <c r="B1146" s="87" t="s">
        <v>17</v>
      </c>
      <c r="C1146" s="87" t="s">
        <v>2236</v>
      </c>
      <c r="D1146" s="87" t="s">
        <v>2297</v>
      </c>
      <c r="E1146" s="87" t="s">
        <v>2298</v>
      </c>
      <c r="F1146" s="87">
        <v>33.780246492099998</v>
      </c>
      <c r="G1146" s="87">
        <v>44.514352026499999</v>
      </c>
      <c r="H1146" s="86">
        <v>38</v>
      </c>
      <c r="I1146" s="86">
        <v>228</v>
      </c>
      <c r="J1146" s="87"/>
      <c r="K1146" s="87"/>
      <c r="L1146" s="87"/>
      <c r="M1146" s="87"/>
      <c r="N1146" s="87"/>
      <c r="O1146" s="87">
        <v>18</v>
      </c>
      <c r="P1146" s="87"/>
      <c r="Q1146" s="87"/>
      <c r="R1146" s="87">
        <v>2</v>
      </c>
      <c r="S1146" s="87"/>
      <c r="T1146" s="87"/>
      <c r="U1146" s="87"/>
      <c r="V1146" s="87"/>
      <c r="W1146" s="87"/>
      <c r="X1146" s="87">
        <v>18</v>
      </c>
      <c r="Y1146" s="87"/>
      <c r="Z1146" s="87"/>
      <c r="AA1146" s="87"/>
      <c r="AB1146" s="87"/>
      <c r="AC1146" s="87">
        <v>15</v>
      </c>
      <c r="AD1146" s="87"/>
      <c r="AE1146" s="87"/>
      <c r="AF1146" s="87"/>
      <c r="AG1146" s="87"/>
      <c r="AH1146" s="87">
        <v>23</v>
      </c>
      <c r="AI1146" s="87"/>
      <c r="AJ1146" s="87"/>
      <c r="AK1146" s="87"/>
      <c r="AL1146" s="87"/>
      <c r="AM1146" s="87"/>
      <c r="AN1146" s="87"/>
      <c r="AO1146" s="87">
        <v>18</v>
      </c>
      <c r="AP1146" s="87"/>
      <c r="AQ1146" s="87">
        <v>20</v>
      </c>
      <c r="AR1146" s="87"/>
      <c r="AS1146" s="87"/>
      <c r="AT1146" s="87"/>
      <c r="AU1146" s="87"/>
      <c r="AV1146" s="87"/>
      <c r="AW1146" s="88" t="str">
        <f>HYPERLINK("http://www.openstreetmap.org/?mlat=33.7802&amp;mlon=44.5144&amp;zoom=12#map=12/33.7802/44.5144","Maplink1")</f>
        <v>Maplink1</v>
      </c>
      <c r="AX1146" s="88" t="str">
        <f>HYPERLINK("https://www.google.iq/maps/search/+33.7802,44.5144/@33.7802,44.5144,14z?hl=en","Maplink2")</f>
        <v>Maplink2</v>
      </c>
      <c r="AY1146" s="88" t="str">
        <f>HYPERLINK("http://www.bing.com/maps/?lvl=14&amp;sty=h&amp;cp=33.7802~44.5144&amp;sp=point.33.7802_44.5144","Maplink3")</f>
        <v>Maplink3</v>
      </c>
      <c r="AZ1146" s="76"/>
    </row>
    <row r="1147" spans="1:52" x14ac:dyDescent="0.25">
      <c r="A1147" s="86">
        <v>25025</v>
      </c>
      <c r="B1147" s="87" t="s">
        <v>17</v>
      </c>
      <c r="C1147" s="87" t="s">
        <v>2236</v>
      </c>
      <c r="D1147" s="87" t="s">
        <v>2299</v>
      </c>
      <c r="E1147" s="87" t="s">
        <v>2300</v>
      </c>
      <c r="F1147" s="87">
        <v>33.7834391994</v>
      </c>
      <c r="G1147" s="87">
        <v>44.507945012900002</v>
      </c>
      <c r="H1147" s="86">
        <v>17</v>
      </c>
      <c r="I1147" s="86">
        <v>102</v>
      </c>
      <c r="J1147" s="87"/>
      <c r="K1147" s="87"/>
      <c r="L1147" s="87"/>
      <c r="M1147" s="87"/>
      <c r="N1147" s="87"/>
      <c r="O1147" s="87">
        <v>17</v>
      </c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>
        <v>17</v>
      </c>
      <c r="AI1147" s="87"/>
      <c r="AJ1147" s="87"/>
      <c r="AK1147" s="87"/>
      <c r="AL1147" s="87"/>
      <c r="AM1147" s="87"/>
      <c r="AN1147" s="87"/>
      <c r="AO1147" s="87"/>
      <c r="AP1147" s="87"/>
      <c r="AQ1147" s="87">
        <v>17</v>
      </c>
      <c r="AR1147" s="87"/>
      <c r="AS1147" s="87"/>
      <c r="AT1147" s="87"/>
      <c r="AU1147" s="87"/>
      <c r="AV1147" s="87"/>
      <c r="AW1147" s="88" t="str">
        <f>HYPERLINK("http://www.openstreetmap.org/?mlat=33.7834&amp;mlon=44.5079&amp;zoom=12#map=12/33.7834/44.5079","Maplink1")</f>
        <v>Maplink1</v>
      </c>
      <c r="AX1147" s="88" t="str">
        <f>HYPERLINK("https://www.google.iq/maps/search/+33.7834,44.5079/@33.7834,44.5079,14z?hl=en","Maplink2")</f>
        <v>Maplink2</v>
      </c>
      <c r="AY1147" s="88" t="str">
        <f>HYPERLINK("http://www.bing.com/maps/?lvl=14&amp;sty=h&amp;cp=33.7834~44.5079&amp;sp=point.33.7834_44.5079","Maplink3")</f>
        <v>Maplink3</v>
      </c>
      <c r="AZ1147" s="76"/>
    </row>
    <row r="1148" spans="1:52" x14ac:dyDescent="0.25">
      <c r="A1148" s="86">
        <v>25024</v>
      </c>
      <c r="B1148" s="87" t="s">
        <v>17</v>
      </c>
      <c r="C1148" s="87" t="s">
        <v>2236</v>
      </c>
      <c r="D1148" s="87" t="s">
        <v>2301</v>
      </c>
      <c r="E1148" s="87" t="s">
        <v>2302</v>
      </c>
      <c r="F1148" s="87">
        <v>33.7864495504</v>
      </c>
      <c r="G1148" s="87">
        <v>44.510188155599998</v>
      </c>
      <c r="H1148" s="86">
        <v>13</v>
      </c>
      <c r="I1148" s="86">
        <v>78</v>
      </c>
      <c r="J1148" s="87"/>
      <c r="K1148" s="87"/>
      <c r="L1148" s="87"/>
      <c r="M1148" s="87"/>
      <c r="N1148" s="87"/>
      <c r="O1148" s="87">
        <v>9</v>
      </c>
      <c r="P1148" s="87"/>
      <c r="Q1148" s="87"/>
      <c r="R1148" s="87"/>
      <c r="S1148" s="87"/>
      <c r="T1148" s="87"/>
      <c r="U1148" s="87"/>
      <c r="V1148" s="87"/>
      <c r="W1148" s="87"/>
      <c r="X1148" s="87">
        <v>4</v>
      </c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>
        <v>13</v>
      </c>
      <c r="AI1148" s="87"/>
      <c r="AJ1148" s="87"/>
      <c r="AK1148" s="87"/>
      <c r="AL1148" s="87"/>
      <c r="AM1148" s="87"/>
      <c r="AN1148" s="87"/>
      <c r="AO1148" s="87">
        <v>4</v>
      </c>
      <c r="AP1148" s="87"/>
      <c r="AQ1148" s="87">
        <v>9</v>
      </c>
      <c r="AR1148" s="87"/>
      <c r="AS1148" s="87"/>
      <c r="AT1148" s="87"/>
      <c r="AU1148" s="87"/>
      <c r="AV1148" s="87"/>
      <c r="AW1148" s="88" t="str">
        <f>HYPERLINK("http://www.openstreetmap.org/?mlat=33.7864&amp;mlon=44.5102&amp;zoom=12#map=12/33.7864/44.5102","Maplink1")</f>
        <v>Maplink1</v>
      </c>
      <c r="AX1148" s="88" t="str">
        <f>HYPERLINK("https://www.google.iq/maps/search/+33.7864,44.5102/@33.7864,44.5102,14z?hl=en","Maplink2")</f>
        <v>Maplink2</v>
      </c>
      <c r="AY1148" s="88" t="str">
        <f>HYPERLINK("http://www.bing.com/maps/?lvl=14&amp;sty=h&amp;cp=33.7864~44.5102&amp;sp=point.33.7864_44.5102","Maplink3")</f>
        <v>Maplink3</v>
      </c>
      <c r="AZ1148" s="76"/>
    </row>
    <row r="1149" spans="1:52" x14ac:dyDescent="0.25">
      <c r="A1149" s="86">
        <v>11425</v>
      </c>
      <c r="B1149" s="87" t="s">
        <v>17</v>
      </c>
      <c r="C1149" s="87" t="s">
        <v>2236</v>
      </c>
      <c r="D1149" s="87" t="s">
        <v>2303</v>
      </c>
      <c r="E1149" s="87" t="s">
        <v>2304</v>
      </c>
      <c r="F1149" s="87">
        <v>33.641995102800003</v>
      </c>
      <c r="G1149" s="87">
        <v>44.422363617199998</v>
      </c>
      <c r="H1149" s="86">
        <v>60</v>
      </c>
      <c r="I1149" s="86">
        <v>360</v>
      </c>
      <c r="J1149" s="87">
        <v>6</v>
      </c>
      <c r="K1149" s="87"/>
      <c r="L1149" s="87">
        <v>13</v>
      </c>
      <c r="M1149" s="87"/>
      <c r="N1149" s="87"/>
      <c r="O1149" s="87">
        <v>22</v>
      </c>
      <c r="P1149" s="87"/>
      <c r="Q1149" s="87"/>
      <c r="R1149" s="87"/>
      <c r="S1149" s="87"/>
      <c r="T1149" s="87"/>
      <c r="U1149" s="87"/>
      <c r="V1149" s="87">
        <v>10</v>
      </c>
      <c r="W1149" s="87"/>
      <c r="X1149" s="87">
        <v>9</v>
      </c>
      <c r="Y1149" s="87"/>
      <c r="Z1149" s="87"/>
      <c r="AA1149" s="87"/>
      <c r="AB1149" s="87"/>
      <c r="AC1149" s="87">
        <v>37</v>
      </c>
      <c r="AD1149" s="87"/>
      <c r="AE1149" s="87"/>
      <c r="AF1149" s="87"/>
      <c r="AG1149" s="87"/>
      <c r="AH1149" s="87">
        <v>20</v>
      </c>
      <c r="AI1149" s="87">
        <v>3</v>
      </c>
      <c r="AJ1149" s="87"/>
      <c r="AK1149" s="87"/>
      <c r="AL1149" s="87"/>
      <c r="AM1149" s="87"/>
      <c r="AN1149" s="87"/>
      <c r="AO1149" s="87">
        <v>35</v>
      </c>
      <c r="AP1149" s="87">
        <v>15</v>
      </c>
      <c r="AQ1149" s="87">
        <v>10</v>
      </c>
      <c r="AR1149" s="87"/>
      <c r="AS1149" s="87"/>
      <c r="AT1149" s="87"/>
      <c r="AU1149" s="87"/>
      <c r="AV1149" s="87"/>
      <c r="AW1149" s="88" t="str">
        <f>HYPERLINK("http://www.openstreetmap.org/?mlat=33.642&amp;mlon=44.4224&amp;zoom=12#map=12/33.642/44.4224","Maplink1")</f>
        <v>Maplink1</v>
      </c>
      <c r="AX1149" s="88" t="str">
        <f>HYPERLINK("https://www.google.iq/maps/search/+33.642,44.4224/@33.642,44.4224,14z?hl=en","Maplink2")</f>
        <v>Maplink2</v>
      </c>
      <c r="AY1149" s="88" t="str">
        <f>HYPERLINK("http://www.bing.com/maps/?lvl=14&amp;sty=h&amp;cp=33.642~44.4224&amp;sp=point.33.642_44.4224","Maplink3")</f>
        <v>Maplink3</v>
      </c>
      <c r="AZ1149" s="76"/>
    </row>
    <row r="1150" spans="1:52" x14ac:dyDescent="0.25">
      <c r="A1150" s="86">
        <v>11081</v>
      </c>
      <c r="B1150" s="87" t="s">
        <v>17</v>
      </c>
      <c r="C1150" s="87" t="s">
        <v>2236</v>
      </c>
      <c r="D1150" s="87" t="s">
        <v>2305</v>
      </c>
      <c r="E1150" s="87" t="s">
        <v>2306</v>
      </c>
      <c r="F1150" s="87">
        <v>33.858148679400003</v>
      </c>
      <c r="G1150" s="87">
        <v>44.5153555694</v>
      </c>
      <c r="H1150" s="86">
        <v>42</v>
      </c>
      <c r="I1150" s="86">
        <v>252</v>
      </c>
      <c r="J1150" s="87"/>
      <c r="K1150" s="87"/>
      <c r="L1150" s="87"/>
      <c r="M1150" s="87"/>
      <c r="N1150" s="87"/>
      <c r="O1150" s="87">
        <v>42</v>
      </c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>
        <v>32</v>
      </c>
      <c r="AD1150" s="87"/>
      <c r="AE1150" s="87"/>
      <c r="AF1150" s="87"/>
      <c r="AG1150" s="87"/>
      <c r="AH1150" s="87">
        <v>10</v>
      </c>
      <c r="AI1150" s="87"/>
      <c r="AJ1150" s="87"/>
      <c r="AK1150" s="87"/>
      <c r="AL1150" s="87"/>
      <c r="AM1150" s="87"/>
      <c r="AN1150" s="87"/>
      <c r="AO1150" s="87"/>
      <c r="AP1150" s="87"/>
      <c r="AQ1150" s="87">
        <v>42</v>
      </c>
      <c r="AR1150" s="87"/>
      <c r="AS1150" s="87"/>
      <c r="AT1150" s="87"/>
      <c r="AU1150" s="87"/>
      <c r="AV1150" s="87"/>
      <c r="AW1150" s="88" t="str">
        <f>HYPERLINK("http://www.openstreetmap.org/?mlat=33.8581&amp;mlon=44.5154&amp;zoom=12#map=12/33.8581/44.5154","Maplink1")</f>
        <v>Maplink1</v>
      </c>
      <c r="AX1150" s="88" t="str">
        <f>HYPERLINK("https://www.google.iq/maps/search/+33.8581,44.5154/@33.8581,44.5154,14z?hl=en","Maplink2")</f>
        <v>Maplink2</v>
      </c>
      <c r="AY1150" s="88" t="str">
        <f>HYPERLINK("http://www.bing.com/maps/?lvl=14&amp;sty=h&amp;cp=33.8581~44.5154&amp;sp=point.33.8581_44.5154","Maplink3")</f>
        <v>Maplink3</v>
      </c>
      <c r="AZ1150" s="76"/>
    </row>
    <row r="1151" spans="1:52" x14ac:dyDescent="0.25">
      <c r="A1151" s="86">
        <v>10445</v>
      </c>
      <c r="B1151" s="87" t="s">
        <v>17</v>
      </c>
      <c r="C1151" s="87" t="s">
        <v>2236</v>
      </c>
      <c r="D1151" s="87" t="s">
        <v>2307</v>
      </c>
      <c r="E1151" s="87" t="s">
        <v>2308</v>
      </c>
      <c r="F1151" s="87">
        <v>33.783853824099999</v>
      </c>
      <c r="G1151" s="87">
        <v>44.514700004600002</v>
      </c>
      <c r="H1151" s="86">
        <v>115</v>
      </c>
      <c r="I1151" s="86">
        <v>690</v>
      </c>
      <c r="J1151" s="87">
        <v>10</v>
      </c>
      <c r="K1151" s="87"/>
      <c r="L1151" s="87"/>
      <c r="M1151" s="87"/>
      <c r="N1151" s="87"/>
      <c r="O1151" s="87">
        <v>105</v>
      </c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>
        <v>10</v>
      </c>
      <c r="AD1151" s="87"/>
      <c r="AE1151" s="87"/>
      <c r="AF1151" s="87"/>
      <c r="AG1151" s="87"/>
      <c r="AH1151" s="87">
        <v>95</v>
      </c>
      <c r="AI1151" s="87">
        <v>10</v>
      </c>
      <c r="AJ1151" s="87"/>
      <c r="AK1151" s="87"/>
      <c r="AL1151" s="87"/>
      <c r="AM1151" s="87"/>
      <c r="AN1151" s="87"/>
      <c r="AO1151" s="87"/>
      <c r="AP1151" s="87">
        <v>46</v>
      </c>
      <c r="AQ1151" s="87">
        <v>59</v>
      </c>
      <c r="AR1151" s="87"/>
      <c r="AS1151" s="87">
        <v>10</v>
      </c>
      <c r="AT1151" s="87"/>
      <c r="AU1151" s="87"/>
      <c r="AV1151" s="87"/>
      <c r="AW1151" s="88" t="str">
        <f>HYPERLINK("http://www.openstreetmap.org/?mlat=33.7839&amp;mlon=44.5147&amp;zoom=12#map=12/33.7839/44.5147","Maplink1")</f>
        <v>Maplink1</v>
      </c>
      <c r="AX1151" s="88" t="str">
        <f>HYPERLINK("https://www.google.iq/maps/search/+33.7839,44.5147/@33.7839,44.5147,14z?hl=en","Maplink2")</f>
        <v>Maplink2</v>
      </c>
      <c r="AY1151" s="88" t="str">
        <f>HYPERLINK("http://www.bing.com/maps/?lvl=14&amp;sty=h&amp;cp=33.7839~44.5147&amp;sp=point.33.7839_44.5147","Maplink3")</f>
        <v>Maplink3</v>
      </c>
      <c r="AZ1151" s="76"/>
    </row>
    <row r="1152" spans="1:52" x14ac:dyDescent="0.25">
      <c r="A1152" s="86">
        <v>11392</v>
      </c>
      <c r="B1152" s="87" t="s">
        <v>17</v>
      </c>
      <c r="C1152" s="87" t="s">
        <v>2236</v>
      </c>
      <c r="D1152" s="87" t="s">
        <v>2309</v>
      </c>
      <c r="E1152" s="87" t="s">
        <v>2310</v>
      </c>
      <c r="F1152" s="87">
        <v>33.843986579800003</v>
      </c>
      <c r="G1152" s="87">
        <v>44.619808326899999</v>
      </c>
      <c r="H1152" s="86">
        <v>18</v>
      </c>
      <c r="I1152" s="86">
        <v>108</v>
      </c>
      <c r="J1152" s="87"/>
      <c r="K1152" s="87"/>
      <c r="L1152" s="87"/>
      <c r="M1152" s="87"/>
      <c r="N1152" s="87"/>
      <c r="O1152" s="87">
        <v>18</v>
      </c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>
        <v>18</v>
      </c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>
        <v>18</v>
      </c>
      <c r="AP1152" s="87"/>
      <c r="AQ1152" s="87"/>
      <c r="AR1152" s="87"/>
      <c r="AS1152" s="87"/>
      <c r="AT1152" s="87"/>
      <c r="AU1152" s="87"/>
      <c r="AV1152" s="87"/>
      <c r="AW1152" s="88" t="str">
        <f>HYPERLINK("http://www.openstreetmap.org/?mlat=33.844&amp;mlon=44.6198&amp;zoom=12#map=12/33.844/44.6198","Maplink1")</f>
        <v>Maplink1</v>
      </c>
      <c r="AX1152" s="88" t="str">
        <f>HYPERLINK("https://www.google.iq/maps/search/+33.844,44.6198/@33.844,44.6198,14z?hl=en","Maplink2")</f>
        <v>Maplink2</v>
      </c>
      <c r="AY1152" s="88" t="str">
        <f>HYPERLINK("http://www.bing.com/maps/?lvl=14&amp;sty=h&amp;cp=33.844~44.6198&amp;sp=point.33.844_44.6198","Maplink3")</f>
        <v>Maplink3</v>
      </c>
      <c r="AZ1152" s="76"/>
    </row>
    <row r="1153" spans="1:52" x14ac:dyDescent="0.25">
      <c r="A1153" s="86">
        <v>25023</v>
      </c>
      <c r="B1153" s="87" t="s">
        <v>17</v>
      </c>
      <c r="C1153" s="87" t="s">
        <v>2236</v>
      </c>
      <c r="D1153" s="87" t="s">
        <v>2311</v>
      </c>
      <c r="E1153" s="87" t="s">
        <v>2312</v>
      </c>
      <c r="F1153" s="87">
        <v>33.7409985058</v>
      </c>
      <c r="G1153" s="87">
        <v>44.494547245900002</v>
      </c>
      <c r="H1153" s="86">
        <v>55</v>
      </c>
      <c r="I1153" s="86">
        <v>330</v>
      </c>
      <c r="J1153" s="87"/>
      <c r="K1153" s="87"/>
      <c r="L1153" s="87"/>
      <c r="M1153" s="87"/>
      <c r="N1153" s="87"/>
      <c r="O1153" s="87">
        <v>28</v>
      </c>
      <c r="P1153" s="87"/>
      <c r="Q1153" s="87"/>
      <c r="R1153" s="87"/>
      <c r="S1153" s="87"/>
      <c r="T1153" s="87"/>
      <c r="U1153" s="87"/>
      <c r="V1153" s="87">
        <v>3</v>
      </c>
      <c r="W1153" s="87"/>
      <c r="X1153" s="87">
        <v>24</v>
      </c>
      <c r="Y1153" s="87"/>
      <c r="Z1153" s="87"/>
      <c r="AA1153" s="87"/>
      <c r="AB1153" s="87"/>
      <c r="AC1153" s="87">
        <v>6</v>
      </c>
      <c r="AD1153" s="87"/>
      <c r="AE1153" s="87"/>
      <c r="AF1153" s="87"/>
      <c r="AG1153" s="87"/>
      <c r="AH1153" s="87">
        <v>49</v>
      </c>
      <c r="AI1153" s="87"/>
      <c r="AJ1153" s="87"/>
      <c r="AK1153" s="87"/>
      <c r="AL1153" s="87"/>
      <c r="AM1153" s="87"/>
      <c r="AN1153" s="87"/>
      <c r="AO1153" s="87">
        <v>23</v>
      </c>
      <c r="AP1153" s="87"/>
      <c r="AQ1153" s="87">
        <v>32</v>
      </c>
      <c r="AR1153" s="87"/>
      <c r="AS1153" s="87"/>
      <c r="AT1153" s="87"/>
      <c r="AU1153" s="87"/>
      <c r="AV1153" s="87"/>
      <c r="AW1153" s="88" t="str">
        <f>HYPERLINK("http://www.openstreetmap.org/?mlat=33.741&amp;mlon=44.4945&amp;zoom=12#map=12/33.741/44.4945","Maplink1")</f>
        <v>Maplink1</v>
      </c>
      <c r="AX1153" s="88" t="str">
        <f>HYPERLINK("https://www.google.iq/maps/search/+33.741,44.4945/@33.741,44.4945,14z?hl=en","Maplink2")</f>
        <v>Maplink2</v>
      </c>
      <c r="AY1153" s="88" t="str">
        <f>HYPERLINK("http://www.bing.com/maps/?lvl=14&amp;sty=h&amp;cp=33.741~44.4945&amp;sp=point.33.741_44.4945","Maplink3")</f>
        <v>Maplink3</v>
      </c>
      <c r="AZ1153" s="76"/>
    </row>
    <row r="1154" spans="1:52" x14ac:dyDescent="0.25">
      <c r="A1154" s="86">
        <v>25624</v>
      </c>
      <c r="B1154" s="87" t="s">
        <v>17</v>
      </c>
      <c r="C1154" s="87" t="s">
        <v>2313</v>
      </c>
      <c r="D1154" s="87" t="s">
        <v>2314</v>
      </c>
      <c r="E1154" s="87" t="s">
        <v>2315</v>
      </c>
      <c r="F1154" s="87">
        <v>34.014935721599997</v>
      </c>
      <c r="G1154" s="87">
        <v>45.016077407899999</v>
      </c>
      <c r="H1154" s="86">
        <v>30</v>
      </c>
      <c r="I1154" s="86">
        <v>180</v>
      </c>
      <c r="J1154" s="87"/>
      <c r="K1154" s="87"/>
      <c r="L1154" s="87"/>
      <c r="M1154" s="87"/>
      <c r="N1154" s="87"/>
      <c r="O1154" s="87">
        <v>30</v>
      </c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>
        <v>30</v>
      </c>
      <c r="AI1154" s="87"/>
      <c r="AJ1154" s="87"/>
      <c r="AK1154" s="87"/>
      <c r="AL1154" s="87"/>
      <c r="AM1154" s="87"/>
      <c r="AN1154" s="87"/>
      <c r="AO1154" s="87">
        <v>30</v>
      </c>
      <c r="AP1154" s="87"/>
      <c r="AQ1154" s="87"/>
      <c r="AR1154" s="87"/>
      <c r="AS1154" s="87"/>
      <c r="AT1154" s="87"/>
      <c r="AU1154" s="87"/>
      <c r="AV1154" s="87"/>
      <c r="AW1154" s="88" t="str">
        <f>HYPERLINK("http://www.openstreetmap.org/?mlat=34.0149&amp;mlon=45.0161&amp;zoom=12#map=12/34.0149/45.0161","Maplink1")</f>
        <v>Maplink1</v>
      </c>
      <c r="AX1154" s="88" t="str">
        <f>HYPERLINK("https://www.google.iq/maps/search/+34.0149,45.0161/@34.0149,45.0161,14z?hl=en","Maplink2")</f>
        <v>Maplink2</v>
      </c>
      <c r="AY1154" s="88" t="str">
        <f>HYPERLINK("http://www.bing.com/maps/?lvl=14&amp;sty=h&amp;cp=34.0149~45.0161&amp;sp=point.34.0149_45.0161","Maplink3")</f>
        <v>Maplink3</v>
      </c>
      <c r="AZ1154" s="76"/>
    </row>
    <row r="1155" spans="1:52" x14ac:dyDescent="0.25">
      <c r="A1155" s="86">
        <v>25040</v>
      </c>
      <c r="B1155" s="87" t="s">
        <v>17</v>
      </c>
      <c r="C1155" s="87" t="s">
        <v>2316</v>
      </c>
      <c r="D1155" s="87" t="s">
        <v>2317</v>
      </c>
      <c r="E1155" s="87" t="s">
        <v>2318</v>
      </c>
      <c r="F1155" s="87">
        <v>33.689869338699999</v>
      </c>
      <c r="G1155" s="87">
        <v>44.799420125399998</v>
      </c>
      <c r="H1155" s="86">
        <v>75</v>
      </c>
      <c r="I1155" s="86">
        <v>450</v>
      </c>
      <c r="J1155" s="87"/>
      <c r="K1155" s="87"/>
      <c r="L1155" s="87"/>
      <c r="M1155" s="87"/>
      <c r="N1155" s="87"/>
      <c r="O1155" s="87">
        <v>75</v>
      </c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>
        <v>75</v>
      </c>
      <c r="AI1155" s="87"/>
      <c r="AJ1155" s="87"/>
      <c r="AK1155" s="87"/>
      <c r="AL1155" s="87"/>
      <c r="AM1155" s="87"/>
      <c r="AN1155" s="87"/>
      <c r="AO1155" s="87"/>
      <c r="AP1155" s="87"/>
      <c r="AQ1155" s="87">
        <v>75</v>
      </c>
      <c r="AR1155" s="87"/>
      <c r="AS1155" s="87"/>
      <c r="AT1155" s="87"/>
      <c r="AU1155" s="87"/>
      <c r="AV1155" s="87"/>
      <c r="AW1155" s="88" t="str">
        <f>HYPERLINK("http://www.openstreetmap.org/?mlat=33.6899&amp;mlon=44.7994&amp;zoom=12#map=12/33.6899/44.7994","Maplink1")</f>
        <v>Maplink1</v>
      </c>
      <c r="AX1155" s="88" t="str">
        <f>HYPERLINK("https://www.google.iq/maps/search/+33.6899,44.7994/@33.6899,44.7994,14z?hl=en","Maplink2")</f>
        <v>Maplink2</v>
      </c>
      <c r="AY1155" s="88" t="str">
        <f>HYPERLINK("http://www.bing.com/maps/?lvl=14&amp;sty=h&amp;cp=33.6899~44.7994&amp;sp=point.33.6899_44.7994","Maplink3")</f>
        <v>Maplink3</v>
      </c>
      <c r="AZ1155" s="76"/>
    </row>
    <row r="1156" spans="1:52" x14ac:dyDescent="0.25">
      <c r="A1156" s="86">
        <v>25052</v>
      </c>
      <c r="B1156" s="87" t="s">
        <v>17</v>
      </c>
      <c r="C1156" s="87" t="s">
        <v>2316</v>
      </c>
      <c r="D1156" s="87" t="s">
        <v>2319</v>
      </c>
      <c r="E1156" s="87" t="s">
        <v>2320</v>
      </c>
      <c r="F1156" s="87">
        <v>33.667039905400003</v>
      </c>
      <c r="G1156" s="87">
        <v>44.770869151100001</v>
      </c>
      <c r="H1156" s="86">
        <v>12</v>
      </c>
      <c r="I1156" s="86">
        <v>72</v>
      </c>
      <c r="J1156" s="87"/>
      <c r="K1156" s="87"/>
      <c r="L1156" s="87"/>
      <c r="M1156" s="87"/>
      <c r="N1156" s="87"/>
      <c r="O1156" s="87">
        <v>12</v>
      </c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>
        <v>10</v>
      </c>
      <c r="AI1156" s="87">
        <v>2</v>
      </c>
      <c r="AJ1156" s="87"/>
      <c r="AK1156" s="87"/>
      <c r="AL1156" s="87"/>
      <c r="AM1156" s="87"/>
      <c r="AN1156" s="87"/>
      <c r="AO1156" s="87"/>
      <c r="AP1156" s="87"/>
      <c r="AQ1156" s="87">
        <v>12</v>
      </c>
      <c r="AR1156" s="87"/>
      <c r="AS1156" s="87"/>
      <c r="AT1156" s="87"/>
      <c r="AU1156" s="87"/>
      <c r="AV1156" s="87"/>
      <c r="AW1156" s="88" t="str">
        <f>HYPERLINK("http://www.openstreetmap.org/?mlat=33.667&amp;mlon=44.7709&amp;zoom=12#map=12/33.667/44.7709","Maplink1")</f>
        <v>Maplink1</v>
      </c>
      <c r="AX1156" s="88" t="str">
        <f>HYPERLINK("https://www.google.iq/maps/search/+33.667,44.7709/@33.667,44.7709,14z?hl=en","Maplink2")</f>
        <v>Maplink2</v>
      </c>
      <c r="AY1156" s="88" t="str">
        <f>HYPERLINK("http://www.bing.com/maps/?lvl=14&amp;sty=h&amp;cp=33.667~44.7709&amp;sp=point.33.667_44.7709","Maplink3")</f>
        <v>Maplink3</v>
      </c>
      <c r="AZ1156" s="76"/>
    </row>
    <row r="1157" spans="1:52" x14ac:dyDescent="0.25">
      <c r="A1157" s="86">
        <v>11250</v>
      </c>
      <c r="B1157" s="87" t="s">
        <v>17</v>
      </c>
      <c r="C1157" s="87" t="s">
        <v>2316</v>
      </c>
      <c r="D1157" s="87" t="s">
        <v>2321</v>
      </c>
      <c r="E1157" s="87" t="s">
        <v>2322</v>
      </c>
      <c r="F1157" s="87">
        <v>33.701248699700002</v>
      </c>
      <c r="G1157" s="87">
        <v>44.658034446999999</v>
      </c>
      <c r="H1157" s="86">
        <v>40</v>
      </c>
      <c r="I1157" s="86">
        <v>240</v>
      </c>
      <c r="J1157" s="87"/>
      <c r="K1157" s="87"/>
      <c r="L1157" s="87"/>
      <c r="M1157" s="87"/>
      <c r="N1157" s="87"/>
      <c r="O1157" s="87">
        <v>40</v>
      </c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>
        <v>25</v>
      </c>
      <c r="AD1157" s="87"/>
      <c r="AE1157" s="87"/>
      <c r="AF1157" s="87"/>
      <c r="AG1157" s="87"/>
      <c r="AH1157" s="87">
        <v>10</v>
      </c>
      <c r="AI1157" s="87">
        <v>5</v>
      </c>
      <c r="AJ1157" s="87"/>
      <c r="AK1157" s="87"/>
      <c r="AL1157" s="87"/>
      <c r="AM1157" s="87"/>
      <c r="AN1157" s="87"/>
      <c r="AO1157" s="87">
        <v>15</v>
      </c>
      <c r="AP1157" s="87"/>
      <c r="AQ1157" s="87">
        <v>25</v>
      </c>
      <c r="AR1157" s="87"/>
      <c r="AS1157" s="87"/>
      <c r="AT1157" s="87"/>
      <c r="AU1157" s="87"/>
      <c r="AV1157" s="87"/>
      <c r="AW1157" s="88" t="str">
        <f>HYPERLINK("http://www.openstreetmap.org/?mlat=33.7012&amp;mlon=44.658&amp;zoom=12#map=12/33.7012/44.658","Maplink1")</f>
        <v>Maplink1</v>
      </c>
      <c r="AX1157" s="88" t="str">
        <f>HYPERLINK("https://www.google.iq/maps/search/+33.7012,44.658/@33.7012,44.658,14z?hl=en","Maplink2")</f>
        <v>Maplink2</v>
      </c>
      <c r="AY1157" s="88" t="str">
        <f>HYPERLINK("http://www.bing.com/maps/?lvl=14&amp;sty=h&amp;cp=33.7012~44.658&amp;sp=point.33.7012_44.658","Maplink3")</f>
        <v>Maplink3</v>
      </c>
      <c r="AZ1157" s="76"/>
    </row>
    <row r="1158" spans="1:52" x14ac:dyDescent="0.25">
      <c r="A1158" s="86">
        <v>11177</v>
      </c>
      <c r="B1158" s="87" t="s">
        <v>17</v>
      </c>
      <c r="C1158" s="87" t="s">
        <v>2316</v>
      </c>
      <c r="D1158" s="87" t="s">
        <v>2323</v>
      </c>
      <c r="E1158" s="87" t="s">
        <v>2324</v>
      </c>
      <c r="F1158" s="87">
        <v>33.757670922199999</v>
      </c>
      <c r="G1158" s="87">
        <v>44.5820589422</v>
      </c>
      <c r="H1158" s="86">
        <v>90</v>
      </c>
      <c r="I1158" s="86">
        <v>540</v>
      </c>
      <c r="J1158" s="87">
        <v>5</v>
      </c>
      <c r="K1158" s="87"/>
      <c r="L1158" s="87">
        <v>3</v>
      </c>
      <c r="M1158" s="87"/>
      <c r="N1158" s="87"/>
      <c r="O1158" s="87">
        <v>64</v>
      </c>
      <c r="P1158" s="87"/>
      <c r="Q1158" s="87"/>
      <c r="R1158" s="87"/>
      <c r="S1158" s="87"/>
      <c r="T1158" s="87"/>
      <c r="U1158" s="87"/>
      <c r="V1158" s="87">
        <v>3</v>
      </c>
      <c r="W1158" s="87"/>
      <c r="X1158" s="87">
        <v>15</v>
      </c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>
        <v>90</v>
      </c>
      <c r="AI1158" s="87"/>
      <c r="AJ1158" s="87"/>
      <c r="AK1158" s="87"/>
      <c r="AL1158" s="87"/>
      <c r="AM1158" s="87"/>
      <c r="AN1158" s="87"/>
      <c r="AO1158" s="87">
        <v>9</v>
      </c>
      <c r="AP1158" s="87">
        <v>14</v>
      </c>
      <c r="AQ1158" s="87">
        <v>64</v>
      </c>
      <c r="AR1158" s="87">
        <v>3</v>
      </c>
      <c r="AS1158" s="87"/>
      <c r="AT1158" s="87"/>
      <c r="AU1158" s="87"/>
      <c r="AV1158" s="87"/>
      <c r="AW1158" s="88" t="str">
        <f>HYPERLINK("http://www.openstreetmap.org/?mlat=33.7577&amp;mlon=44.5821&amp;zoom=12#map=12/33.7577/44.5821","Maplink1")</f>
        <v>Maplink1</v>
      </c>
      <c r="AX1158" s="88" t="str">
        <f>HYPERLINK("https://www.google.iq/maps/search/+33.7577,44.5821/@33.7577,44.5821,14z?hl=en","Maplink2")</f>
        <v>Maplink2</v>
      </c>
      <c r="AY1158" s="88" t="str">
        <f>HYPERLINK("http://www.bing.com/maps/?lvl=14&amp;sty=h&amp;cp=33.7577~44.5821&amp;sp=point.33.7577_44.5821","Maplink3")</f>
        <v>Maplink3</v>
      </c>
      <c r="AZ1158" s="76"/>
    </row>
    <row r="1159" spans="1:52" x14ac:dyDescent="0.25">
      <c r="A1159" s="86">
        <v>24915</v>
      </c>
      <c r="B1159" s="87" t="s">
        <v>17</v>
      </c>
      <c r="C1159" s="87" t="s">
        <v>2316</v>
      </c>
      <c r="D1159" s="87" t="s">
        <v>2325</v>
      </c>
      <c r="E1159" s="87" t="s">
        <v>2326</v>
      </c>
      <c r="F1159" s="87">
        <v>33.757141883599999</v>
      </c>
      <c r="G1159" s="87">
        <v>44.601480873100002</v>
      </c>
      <c r="H1159" s="86">
        <v>420</v>
      </c>
      <c r="I1159" s="86">
        <v>2520</v>
      </c>
      <c r="J1159" s="87">
        <v>16</v>
      </c>
      <c r="K1159" s="87"/>
      <c r="L1159" s="87">
        <v>11</v>
      </c>
      <c r="M1159" s="87"/>
      <c r="N1159" s="87"/>
      <c r="O1159" s="87">
        <v>333</v>
      </c>
      <c r="P1159" s="87"/>
      <c r="Q1159" s="87"/>
      <c r="R1159" s="87"/>
      <c r="S1159" s="87"/>
      <c r="T1159" s="87"/>
      <c r="U1159" s="87"/>
      <c r="V1159" s="87">
        <v>10</v>
      </c>
      <c r="W1159" s="87"/>
      <c r="X1159" s="87">
        <v>50</v>
      </c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>
        <v>395</v>
      </c>
      <c r="AI1159" s="87">
        <v>25</v>
      </c>
      <c r="AJ1159" s="87"/>
      <c r="AK1159" s="87"/>
      <c r="AL1159" s="87"/>
      <c r="AM1159" s="87"/>
      <c r="AN1159" s="87"/>
      <c r="AO1159" s="87">
        <v>50</v>
      </c>
      <c r="AP1159" s="87">
        <v>24</v>
      </c>
      <c r="AQ1159" s="87">
        <v>335</v>
      </c>
      <c r="AR1159" s="87">
        <v>11</v>
      </c>
      <c r="AS1159" s="87"/>
      <c r="AT1159" s="87"/>
      <c r="AU1159" s="87"/>
      <c r="AV1159" s="87"/>
      <c r="AW1159" s="88" t="str">
        <f>HYPERLINK("http://www.openstreetmap.org/?mlat=33.7571&amp;mlon=44.6015&amp;zoom=12#map=12/33.7571/44.6015","Maplink1")</f>
        <v>Maplink1</v>
      </c>
      <c r="AX1159" s="88" t="str">
        <f>HYPERLINK("https://www.google.iq/maps/search/+33.7571,44.6015/@33.7571,44.6015,14z?hl=en","Maplink2")</f>
        <v>Maplink2</v>
      </c>
      <c r="AY1159" s="88" t="str">
        <f>HYPERLINK("http://www.bing.com/maps/?lvl=14&amp;sty=h&amp;cp=33.7571~44.6015&amp;sp=point.33.7571_44.6015","Maplink3")</f>
        <v>Maplink3</v>
      </c>
      <c r="AZ1159" s="76"/>
    </row>
    <row r="1160" spans="1:52" x14ac:dyDescent="0.25">
      <c r="A1160" s="86">
        <v>24805</v>
      </c>
      <c r="B1160" s="87" t="s">
        <v>17</v>
      </c>
      <c r="C1160" s="87" t="s">
        <v>2316</v>
      </c>
      <c r="D1160" s="87" t="s">
        <v>2327</v>
      </c>
      <c r="E1160" s="87" t="s">
        <v>2328</v>
      </c>
      <c r="F1160" s="87">
        <v>33.724193033299997</v>
      </c>
      <c r="G1160" s="87">
        <v>44.607951503800003</v>
      </c>
      <c r="H1160" s="86">
        <v>700</v>
      </c>
      <c r="I1160" s="86">
        <v>4200</v>
      </c>
      <c r="J1160" s="87">
        <v>7</v>
      </c>
      <c r="K1160" s="87"/>
      <c r="L1160" s="87"/>
      <c r="M1160" s="87"/>
      <c r="N1160" s="87"/>
      <c r="O1160" s="87">
        <v>693</v>
      </c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>
        <v>100</v>
      </c>
      <c r="AD1160" s="87"/>
      <c r="AE1160" s="87"/>
      <c r="AF1160" s="87"/>
      <c r="AG1160" s="87"/>
      <c r="AH1160" s="87">
        <v>565</v>
      </c>
      <c r="AI1160" s="87">
        <v>35</v>
      </c>
      <c r="AJ1160" s="87"/>
      <c r="AK1160" s="87"/>
      <c r="AL1160" s="87"/>
      <c r="AM1160" s="87"/>
      <c r="AN1160" s="87"/>
      <c r="AO1160" s="87"/>
      <c r="AP1160" s="87"/>
      <c r="AQ1160" s="87">
        <v>693</v>
      </c>
      <c r="AR1160" s="87">
        <v>7</v>
      </c>
      <c r="AS1160" s="87"/>
      <c r="AT1160" s="87"/>
      <c r="AU1160" s="87"/>
      <c r="AV1160" s="87"/>
      <c r="AW1160" s="88" t="str">
        <f>HYPERLINK("http://www.openstreetmap.org/?mlat=33.7242&amp;mlon=44.608&amp;zoom=12#map=12/33.7242/44.608","Maplink1")</f>
        <v>Maplink1</v>
      </c>
      <c r="AX1160" s="88" t="str">
        <f>HYPERLINK("https://www.google.iq/maps/search/+33.7242,44.608/@33.7242,44.608,14z?hl=en","Maplink2")</f>
        <v>Maplink2</v>
      </c>
      <c r="AY1160" s="88" t="str">
        <f>HYPERLINK("http://www.bing.com/maps/?lvl=14&amp;sty=h&amp;cp=33.7242~44.608&amp;sp=point.33.7242_44.608","Maplink3")</f>
        <v>Maplink3</v>
      </c>
      <c r="AZ1160" s="76"/>
    </row>
    <row r="1161" spans="1:52" x14ac:dyDescent="0.25">
      <c r="A1161" s="86">
        <v>23740</v>
      </c>
      <c r="B1161" s="87" t="s">
        <v>17</v>
      </c>
      <c r="C1161" s="87" t="s">
        <v>2316</v>
      </c>
      <c r="D1161" s="87" t="s">
        <v>2329</v>
      </c>
      <c r="E1161" s="87" t="s">
        <v>2330</v>
      </c>
      <c r="F1161" s="87">
        <v>33.772587846900002</v>
      </c>
      <c r="G1161" s="87">
        <v>44.625927382999997</v>
      </c>
      <c r="H1161" s="86">
        <v>31</v>
      </c>
      <c r="I1161" s="86">
        <v>186</v>
      </c>
      <c r="J1161" s="87">
        <v>5</v>
      </c>
      <c r="K1161" s="87"/>
      <c r="L1161" s="87"/>
      <c r="M1161" s="87"/>
      <c r="N1161" s="87"/>
      <c r="O1161" s="87">
        <v>26</v>
      </c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>
        <v>25</v>
      </c>
      <c r="AD1161" s="87"/>
      <c r="AE1161" s="87"/>
      <c r="AF1161" s="87"/>
      <c r="AG1161" s="87"/>
      <c r="AH1161" s="87">
        <v>6</v>
      </c>
      <c r="AI1161" s="87"/>
      <c r="AJ1161" s="87"/>
      <c r="AK1161" s="87"/>
      <c r="AL1161" s="87"/>
      <c r="AM1161" s="87"/>
      <c r="AN1161" s="87">
        <v>5</v>
      </c>
      <c r="AO1161" s="87"/>
      <c r="AP1161" s="87">
        <v>6</v>
      </c>
      <c r="AQ1161" s="87">
        <v>20</v>
      </c>
      <c r="AR1161" s="87"/>
      <c r="AS1161" s="87"/>
      <c r="AT1161" s="87"/>
      <c r="AU1161" s="87"/>
      <c r="AV1161" s="87"/>
      <c r="AW1161" s="88" t="str">
        <f>HYPERLINK("http://www.openstreetmap.org/?mlat=33.7726&amp;mlon=44.6259&amp;zoom=12#map=12/33.7726/44.6259","Maplink1")</f>
        <v>Maplink1</v>
      </c>
      <c r="AX1161" s="88" t="str">
        <f>HYPERLINK("https://www.google.iq/maps/search/+33.7726,44.6259/@33.7726,44.6259,14z?hl=en","Maplink2")</f>
        <v>Maplink2</v>
      </c>
      <c r="AY1161" s="88" t="str">
        <f>HYPERLINK("http://www.bing.com/maps/?lvl=14&amp;sty=h&amp;cp=33.7726~44.6259&amp;sp=point.33.7726_44.6259","Maplink3")</f>
        <v>Maplink3</v>
      </c>
      <c r="AZ1161" s="76"/>
    </row>
    <row r="1162" spans="1:52" x14ac:dyDescent="0.25">
      <c r="A1162" s="86">
        <v>33520</v>
      </c>
      <c r="B1162" s="87" t="s">
        <v>17</v>
      </c>
      <c r="C1162" s="87" t="s">
        <v>2316</v>
      </c>
      <c r="D1162" s="87" t="s">
        <v>2331</v>
      </c>
      <c r="E1162" s="87" t="s">
        <v>2332</v>
      </c>
      <c r="F1162" s="87">
        <v>33.687884929699997</v>
      </c>
      <c r="G1162" s="87">
        <v>44.8062886194</v>
      </c>
      <c r="H1162" s="86">
        <v>65</v>
      </c>
      <c r="I1162" s="86">
        <v>390</v>
      </c>
      <c r="J1162" s="87"/>
      <c r="K1162" s="87"/>
      <c r="L1162" s="87"/>
      <c r="M1162" s="87"/>
      <c r="N1162" s="87"/>
      <c r="O1162" s="87">
        <v>65</v>
      </c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>
        <v>65</v>
      </c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/>
      <c r="AS1162" s="87"/>
      <c r="AT1162" s="87"/>
      <c r="AU1162" s="87">
        <v>65</v>
      </c>
      <c r="AV1162" s="87"/>
      <c r="AW1162" s="88" t="str">
        <f>HYPERLINK("http://www.openstreetmap.org/?mlat=33.6879&amp;mlon=44.8063&amp;zoom=12#map=12/33.6879/44.8063","Maplink1")</f>
        <v>Maplink1</v>
      </c>
      <c r="AX1162" s="88" t="str">
        <f>HYPERLINK("https://www.google.iq/maps/search/+33.6879,44.8063/@33.6879,44.8063,14z?hl=en","Maplink2")</f>
        <v>Maplink2</v>
      </c>
      <c r="AY1162" s="88" t="str">
        <f>HYPERLINK("http://www.bing.com/maps/?lvl=14&amp;sty=h&amp;cp=33.6879~44.8063&amp;sp=point.33.6879_44.8063","Maplink3")</f>
        <v>Maplink3</v>
      </c>
      <c r="AZ1162" s="76"/>
    </row>
    <row r="1163" spans="1:52" x14ac:dyDescent="0.25">
      <c r="A1163" s="86">
        <v>23694</v>
      </c>
      <c r="B1163" s="87" t="s">
        <v>17</v>
      </c>
      <c r="C1163" s="87" t="s">
        <v>2316</v>
      </c>
      <c r="D1163" s="87" t="s">
        <v>2333</v>
      </c>
      <c r="E1163" s="87" t="s">
        <v>2334</v>
      </c>
      <c r="F1163" s="87">
        <v>33.584220057700001</v>
      </c>
      <c r="G1163" s="87">
        <v>44.554288681800003</v>
      </c>
      <c r="H1163" s="86">
        <v>67</v>
      </c>
      <c r="I1163" s="86">
        <v>402</v>
      </c>
      <c r="J1163" s="87">
        <v>18</v>
      </c>
      <c r="K1163" s="87"/>
      <c r="L1163" s="87"/>
      <c r="M1163" s="87"/>
      <c r="N1163" s="87"/>
      <c r="O1163" s="87">
        <v>35</v>
      </c>
      <c r="P1163" s="87"/>
      <c r="Q1163" s="87"/>
      <c r="R1163" s="87"/>
      <c r="S1163" s="87"/>
      <c r="T1163" s="87"/>
      <c r="U1163" s="87"/>
      <c r="V1163" s="87"/>
      <c r="W1163" s="87"/>
      <c r="X1163" s="87">
        <v>14</v>
      </c>
      <c r="Y1163" s="87"/>
      <c r="Z1163" s="87"/>
      <c r="AA1163" s="87"/>
      <c r="AB1163" s="87"/>
      <c r="AC1163" s="87">
        <v>17</v>
      </c>
      <c r="AD1163" s="87"/>
      <c r="AE1163" s="87"/>
      <c r="AF1163" s="87"/>
      <c r="AG1163" s="87"/>
      <c r="AH1163" s="87">
        <v>40</v>
      </c>
      <c r="AI1163" s="87"/>
      <c r="AJ1163" s="87"/>
      <c r="AK1163" s="87">
        <v>10</v>
      </c>
      <c r="AL1163" s="87"/>
      <c r="AM1163" s="87"/>
      <c r="AN1163" s="87">
        <v>8</v>
      </c>
      <c r="AO1163" s="87"/>
      <c r="AP1163" s="87">
        <v>37</v>
      </c>
      <c r="AQ1163" s="87">
        <v>9</v>
      </c>
      <c r="AR1163" s="87">
        <v>13</v>
      </c>
      <c r="AS1163" s="87"/>
      <c r="AT1163" s="87"/>
      <c r="AU1163" s="87"/>
      <c r="AV1163" s="87"/>
      <c r="AW1163" s="88" t="str">
        <f>HYPERLINK("http://www.openstreetmap.org/?mlat=33.5842&amp;mlon=44.5543&amp;zoom=12#map=12/33.5842/44.5543","Maplink1")</f>
        <v>Maplink1</v>
      </c>
      <c r="AX1163" s="88" t="str">
        <f>HYPERLINK("https://www.google.iq/maps/search/+33.5842,44.5543/@33.5842,44.5543,14z?hl=en","Maplink2")</f>
        <v>Maplink2</v>
      </c>
      <c r="AY1163" s="88" t="str">
        <f>HYPERLINK("http://www.bing.com/maps/?lvl=14&amp;sty=h&amp;cp=33.5842~44.5543&amp;sp=point.33.5842_44.5543","Maplink3")</f>
        <v>Maplink3</v>
      </c>
      <c r="AZ1163" s="76"/>
    </row>
    <row r="1164" spans="1:52" x14ac:dyDescent="0.25">
      <c r="A1164" s="86">
        <v>11220</v>
      </c>
      <c r="B1164" s="87" t="s">
        <v>17</v>
      </c>
      <c r="C1164" s="87" t="s">
        <v>2316</v>
      </c>
      <c r="D1164" s="87" t="s">
        <v>2335</v>
      </c>
      <c r="E1164" s="87" t="s">
        <v>2336</v>
      </c>
      <c r="F1164" s="87">
        <v>33.481309841399998</v>
      </c>
      <c r="G1164" s="87">
        <v>44.526293798700003</v>
      </c>
      <c r="H1164" s="86">
        <v>6</v>
      </c>
      <c r="I1164" s="86">
        <v>36</v>
      </c>
      <c r="J1164" s="87"/>
      <c r="K1164" s="87"/>
      <c r="L1164" s="87"/>
      <c r="M1164" s="87"/>
      <c r="N1164" s="87"/>
      <c r="O1164" s="87">
        <v>6</v>
      </c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>
        <v>6</v>
      </c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>
        <v>6</v>
      </c>
      <c r="AR1164" s="87"/>
      <c r="AS1164" s="87"/>
      <c r="AT1164" s="87"/>
      <c r="AU1164" s="87"/>
      <c r="AV1164" s="87"/>
      <c r="AW1164" s="88" t="str">
        <f>HYPERLINK("http://www.openstreetmap.org/?mlat=33.4813&amp;mlon=44.5263&amp;zoom=12#map=12/33.4813/44.5263","Maplink1")</f>
        <v>Maplink1</v>
      </c>
      <c r="AX1164" s="88" t="str">
        <f>HYPERLINK("https://www.google.iq/maps/search/+33.4813,44.5263/@33.4813,44.5263,14z?hl=en","Maplink2")</f>
        <v>Maplink2</v>
      </c>
      <c r="AY1164" s="88" t="str">
        <f>HYPERLINK("http://www.bing.com/maps/?lvl=14&amp;sty=h&amp;cp=33.4813~44.5263&amp;sp=point.33.4813_44.5263","Maplink3")</f>
        <v>Maplink3</v>
      </c>
      <c r="AZ1164" s="76"/>
    </row>
    <row r="1165" spans="1:52" x14ac:dyDescent="0.25">
      <c r="A1165" s="86">
        <v>25047</v>
      </c>
      <c r="B1165" s="87" t="s">
        <v>17</v>
      </c>
      <c r="C1165" s="87" t="s">
        <v>2316</v>
      </c>
      <c r="D1165" s="87" t="s">
        <v>2337</v>
      </c>
      <c r="E1165" s="87" t="s">
        <v>1793</v>
      </c>
      <c r="F1165" s="87">
        <v>33.694549105299998</v>
      </c>
      <c r="G1165" s="87">
        <v>44.801687083600001</v>
      </c>
      <c r="H1165" s="86">
        <v>40</v>
      </c>
      <c r="I1165" s="86">
        <v>240</v>
      </c>
      <c r="J1165" s="87"/>
      <c r="K1165" s="87"/>
      <c r="L1165" s="87"/>
      <c r="M1165" s="87"/>
      <c r="N1165" s="87"/>
      <c r="O1165" s="87">
        <v>40</v>
      </c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>
        <v>40</v>
      </c>
      <c r="AI1165" s="87"/>
      <c r="AJ1165" s="87"/>
      <c r="AK1165" s="87"/>
      <c r="AL1165" s="87"/>
      <c r="AM1165" s="87"/>
      <c r="AN1165" s="87"/>
      <c r="AO1165" s="87"/>
      <c r="AP1165" s="87"/>
      <c r="AQ1165" s="87">
        <v>40</v>
      </c>
      <c r="AR1165" s="87"/>
      <c r="AS1165" s="87"/>
      <c r="AT1165" s="87"/>
      <c r="AU1165" s="87"/>
      <c r="AV1165" s="87"/>
      <c r="AW1165" s="88" t="str">
        <f>HYPERLINK("http://www.openstreetmap.org/?mlat=33.6945&amp;mlon=44.8017&amp;zoom=12#map=12/33.6945/44.8017","Maplink1")</f>
        <v>Maplink1</v>
      </c>
      <c r="AX1165" s="88" t="str">
        <f>HYPERLINK("https://www.google.iq/maps/search/+33.6945,44.8017/@33.6945,44.8017,14z?hl=en","Maplink2")</f>
        <v>Maplink2</v>
      </c>
      <c r="AY1165" s="88" t="str">
        <f>HYPERLINK("http://www.bing.com/maps/?lvl=14&amp;sty=h&amp;cp=33.6945~44.8017&amp;sp=point.33.6945_44.8017","Maplink3")</f>
        <v>Maplink3</v>
      </c>
      <c r="AZ1165" s="76"/>
    </row>
    <row r="1166" spans="1:52" x14ac:dyDescent="0.25">
      <c r="A1166" s="86">
        <v>11189</v>
      </c>
      <c r="B1166" s="87" t="s">
        <v>17</v>
      </c>
      <c r="C1166" s="87" t="s">
        <v>2316</v>
      </c>
      <c r="D1166" s="87" t="s">
        <v>2338</v>
      </c>
      <c r="E1166" s="87" t="s">
        <v>2339</v>
      </c>
      <c r="F1166" s="87">
        <v>33.743195568700003</v>
      </c>
      <c r="G1166" s="87">
        <v>44.610447295999997</v>
      </c>
      <c r="H1166" s="86">
        <v>254</v>
      </c>
      <c r="I1166" s="86">
        <v>1524</v>
      </c>
      <c r="J1166" s="87"/>
      <c r="K1166" s="87"/>
      <c r="L1166" s="87"/>
      <c r="M1166" s="87"/>
      <c r="N1166" s="87"/>
      <c r="O1166" s="87">
        <v>254</v>
      </c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>
        <v>17</v>
      </c>
      <c r="AD1166" s="87"/>
      <c r="AE1166" s="87"/>
      <c r="AF1166" s="87"/>
      <c r="AG1166" s="87"/>
      <c r="AH1166" s="87">
        <v>174</v>
      </c>
      <c r="AI1166" s="87">
        <v>25</v>
      </c>
      <c r="AJ1166" s="87"/>
      <c r="AK1166" s="87">
        <v>38</v>
      </c>
      <c r="AL1166" s="87"/>
      <c r="AM1166" s="87"/>
      <c r="AN1166" s="87"/>
      <c r="AO1166" s="87"/>
      <c r="AP1166" s="87"/>
      <c r="AQ1166" s="87">
        <v>254</v>
      </c>
      <c r="AR1166" s="87"/>
      <c r="AS1166" s="87"/>
      <c r="AT1166" s="87"/>
      <c r="AU1166" s="87"/>
      <c r="AV1166" s="87"/>
      <c r="AW1166" s="88" t="str">
        <f>HYPERLINK("http://www.openstreetmap.org/?mlat=33.7432&amp;mlon=44.6104&amp;zoom=12#map=12/33.7432/44.6104","Maplink1")</f>
        <v>Maplink1</v>
      </c>
      <c r="AX1166" s="88" t="str">
        <f>HYPERLINK("https://www.google.iq/maps/search/+33.7432,44.6104/@33.7432,44.6104,14z?hl=en","Maplink2")</f>
        <v>Maplink2</v>
      </c>
      <c r="AY1166" s="88" t="str">
        <f>HYPERLINK("http://www.bing.com/maps/?lvl=14&amp;sty=h&amp;cp=33.7432~44.6104&amp;sp=point.33.7432_44.6104","Maplink3")</f>
        <v>Maplink3</v>
      </c>
      <c r="AZ1166" s="76"/>
    </row>
    <row r="1167" spans="1:52" x14ac:dyDescent="0.25">
      <c r="A1167" s="86">
        <v>25054</v>
      </c>
      <c r="B1167" s="87" t="s">
        <v>17</v>
      </c>
      <c r="C1167" s="87" t="s">
        <v>2316</v>
      </c>
      <c r="D1167" s="87" t="s">
        <v>2340</v>
      </c>
      <c r="E1167" s="87" t="s">
        <v>192</v>
      </c>
      <c r="F1167" s="87">
        <v>33.694454048300003</v>
      </c>
      <c r="G1167" s="87">
        <v>44.801942271800002</v>
      </c>
      <c r="H1167" s="86">
        <v>18</v>
      </c>
      <c r="I1167" s="86">
        <v>108</v>
      </c>
      <c r="J1167" s="87"/>
      <c r="K1167" s="87"/>
      <c r="L1167" s="87"/>
      <c r="M1167" s="87"/>
      <c r="N1167" s="87"/>
      <c r="O1167" s="87">
        <v>13</v>
      </c>
      <c r="P1167" s="87"/>
      <c r="Q1167" s="87"/>
      <c r="R1167" s="87"/>
      <c r="S1167" s="87"/>
      <c r="T1167" s="87"/>
      <c r="U1167" s="87"/>
      <c r="V1167" s="87">
        <v>5</v>
      </c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>
        <v>18</v>
      </c>
      <c r="AI1167" s="87"/>
      <c r="AJ1167" s="87"/>
      <c r="AK1167" s="87"/>
      <c r="AL1167" s="87"/>
      <c r="AM1167" s="87"/>
      <c r="AN1167" s="87"/>
      <c r="AO1167" s="87"/>
      <c r="AP1167" s="87"/>
      <c r="AQ1167" s="87">
        <v>18</v>
      </c>
      <c r="AR1167" s="87"/>
      <c r="AS1167" s="87"/>
      <c r="AT1167" s="87"/>
      <c r="AU1167" s="87"/>
      <c r="AV1167" s="87"/>
      <c r="AW1167" s="88" t="str">
        <f>HYPERLINK("http://www.openstreetmap.org/?mlat=33.6945&amp;mlon=44.8019&amp;zoom=12#map=12/33.6945/44.8019","Maplink1")</f>
        <v>Maplink1</v>
      </c>
      <c r="AX1167" s="88" t="str">
        <f>HYPERLINK("https://www.google.iq/maps/search/+33.6945,44.8019/@33.6945,44.8019,14z?hl=en","Maplink2")</f>
        <v>Maplink2</v>
      </c>
      <c r="AY1167" s="88" t="str">
        <f>HYPERLINK("http://www.bing.com/maps/?lvl=14&amp;sty=h&amp;cp=33.6945~44.8019&amp;sp=point.33.6945_44.8019","Maplink3")</f>
        <v>Maplink3</v>
      </c>
      <c r="AZ1167" s="76"/>
    </row>
    <row r="1168" spans="1:52" x14ac:dyDescent="0.25">
      <c r="A1168" s="86">
        <v>25049</v>
      </c>
      <c r="B1168" s="87" t="s">
        <v>17</v>
      </c>
      <c r="C1168" s="87" t="s">
        <v>2316</v>
      </c>
      <c r="D1168" s="87" t="s">
        <v>2341</v>
      </c>
      <c r="E1168" s="87" t="s">
        <v>70</v>
      </c>
      <c r="F1168" s="87">
        <v>33.6910373499</v>
      </c>
      <c r="G1168" s="87">
        <v>44.804466810999998</v>
      </c>
      <c r="H1168" s="86">
        <v>13</v>
      </c>
      <c r="I1168" s="86">
        <v>78</v>
      </c>
      <c r="J1168" s="87"/>
      <c r="K1168" s="87"/>
      <c r="L1168" s="87"/>
      <c r="M1168" s="87"/>
      <c r="N1168" s="87"/>
      <c r="O1168" s="87">
        <v>13</v>
      </c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>
        <v>13</v>
      </c>
      <c r="AI1168" s="87"/>
      <c r="AJ1168" s="87"/>
      <c r="AK1168" s="87"/>
      <c r="AL1168" s="87"/>
      <c r="AM1168" s="87"/>
      <c r="AN1168" s="87"/>
      <c r="AO1168" s="87"/>
      <c r="AP1168" s="87"/>
      <c r="AQ1168" s="87">
        <v>13</v>
      </c>
      <c r="AR1168" s="87"/>
      <c r="AS1168" s="87"/>
      <c r="AT1168" s="87"/>
      <c r="AU1168" s="87"/>
      <c r="AV1168" s="87"/>
      <c r="AW1168" s="88" t="str">
        <f>HYPERLINK("http://www.openstreetmap.org/?mlat=33.691&amp;mlon=44.8045&amp;zoom=12#map=12/33.691/44.8045","Maplink1")</f>
        <v>Maplink1</v>
      </c>
      <c r="AX1168" s="88" t="str">
        <f>HYPERLINK("https://www.google.iq/maps/search/+33.691,44.8045/@33.691,44.8045,14z?hl=en","Maplink2")</f>
        <v>Maplink2</v>
      </c>
      <c r="AY1168" s="88" t="str">
        <f>HYPERLINK("http://www.bing.com/maps/?lvl=14&amp;sty=h&amp;cp=33.691~44.8045&amp;sp=point.33.691_44.8045","Maplink3")</f>
        <v>Maplink3</v>
      </c>
      <c r="AZ1168" s="76"/>
    </row>
    <row r="1169" spans="1:52" x14ac:dyDescent="0.25">
      <c r="A1169" s="86">
        <v>25044</v>
      </c>
      <c r="B1169" s="87" t="s">
        <v>17</v>
      </c>
      <c r="C1169" s="87" t="s">
        <v>2316</v>
      </c>
      <c r="D1169" s="87" t="s">
        <v>2342</v>
      </c>
      <c r="E1169" s="87" t="s">
        <v>1298</v>
      </c>
      <c r="F1169" s="87">
        <v>33.693200104900001</v>
      </c>
      <c r="G1169" s="87">
        <v>44.801444720900001</v>
      </c>
      <c r="H1169" s="86">
        <v>29</v>
      </c>
      <c r="I1169" s="86">
        <v>174</v>
      </c>
      <c r="J1169" s="87"/>
      <c r="K1169" s="87"/>
      <c r="L1169" s="87"/>
      <c r="M1169" s="87"/>
      <c r="N1169" s="87"/>
      <c r="O1169" s="87">
        <v>29</v>
      </c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>
        <v>29</v>
      </c>
      <c r="AI1169" s="87"/>
      <c r="AJ1169" s="87"/>
      <c r="AK1169" s="87"/>
      <c r="AL1169" s="87"/>
      <c r="AM1169" s="87"/>
      <c r="AN1169" s="87"/>
      <c r="AO1169" s="87"/>
      <c r="AP1169" s="87"/>
      <c r="AQ1169" s="87">
        <v>29</v>
      </c>
      <c r="AR1169" s="87"/>
      <c r="AS1169" s="87"/>
      <c r="AT1169" s="87"/>
      <c r="AU1169" s="87"/>
      <c r="AV1169" s="87"/>
      <c r="AW1169" s="88" t="str">
        <f>HYPERLINK("http://www.openstreetmap.org/?mlat=33.6932&amp;mlon=44.8014&amp;zoom=12#map=12/33.6932/44.8014","Maplink1")</f>
        <v>Maplink1</v>
      </c>
      <c r="AX1169" s="88" t="str">
        <f>HYPERLINK("https://www.google.iq/maps/search/+33.6932,44.8014/@33.6932,44.8014,14z?hl=en","Maplink2")</f>
        <v>Maplink2</v>
      </c>
      <c r="AY1169" s="88" t="str">
        <f>HYPERLINK("http://www.bing.com/maps/?lvl=14&amp;sty=h&amp;cp=33.6932~44.8014&amp;sp=point.33.6932_44.8014","Maplink3")</f>
        <v>Maplink3</v>
      </c>
      <c r="AZ1169" s="76"/>
    </row>
    <row r="1170" spans="1:52" x14ac:dyDescent="0.25">
      <c r="A1170" s="86">
        <v>11268</v>
      </c>
      <c r="B1170" s="87" t="s">
        <v>17</v>
      </c>
      <c r="C1170" s="87" t="s">
        <v>2316</v>
      </c>
      <c r="D1170" s="87" t="s">
        <v>2343</v>
      </c>
      <c r="E1170" s="87" t="s">
        <v>72</v>
      </c>
      <c r="F1170" s="87">
        <v>33.720467019099999</v>
      </c>
      <c r="G1170" s="87">
        <v>44.6525422311</v>
      </c>
      <c r="H1170" s="86">
        <v>35</v>
      </c>
      <c r="I1170" s="86">
        <v>210</v>
      </c>
      <c r="J1170" s="87"/>
      <c r="K1170" s="87"/>
      <c r="L1170" s="87"/>
      <c r="M1170" s="87"/>
      <c r="N1170" s="87"/>
      <c r="O1170" s="87">
        <v>35</v>
      </c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>
        <v>35</v>
      </c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>
        <v>35</v>
      </c>
      <c r="AR1170" s="87"/>
      <c r="AS1170" s="87"/>
      <c r="AT1170" s="87"/>
      <c r="AU1170" s="87"/>
      <c r="AV1170" s="87"/>
      <c r="AW1170" s="88" t="str">
        <f>HYPERLINK("http://www.openstreetmap.org/?mlat=33.7205&amp;mlon=44.6525&amp;zoom=12#map=12/33.7205/44.6525","Maplink1")</f>
        <v>Maplink1</v>
      </c>
      <c r="AX1170" s="88" t="str">
        <f>HYPERLINK("https://www.google.iq/maps/search/+33.7205,44.6525/@33.7205,44.6525,14z?hl=en","Maplink2")</f>
        <v>Maplink2</v>
      </c>
      <c r="AY1170" s="88" t="str">
        <f>HYPERLINK("http://www.bing.com/maps/?lvl=14&amp;sty=h&amp;cp=33.7205~44.6525&amp;sp=point.33.7205_44.6525","Maplink3")</f>
        <v>Maplink3</v>
      </c>
      <c r="AZ1170" s="76"/>
    </row>
    <row r="1171" spans="1:52" x14ac:dyDescent="0.25">
      <c r="A1171" s="86">
        <v>11410</v>
      </c>
      <c r="B1171" s="87" t="s">
        <v>17</v>
      </c>
      <c r="C1171" s="87" t="s">
        <v>2316</v>
      </c>
      <c r="D1171" s="87" t="s">
        <v>2344</v>
      </c>
      <c r="E1171" s="87" t="s">
        <v>206</v>
      </c>
      <c r="F1171" s="87">
        <v>33.578235103300003</v>
      </c>
      <c r="G1171" s="87">
        <v>44.546759990600002</v>
      </c>
      <c r="H1171" s="86">
        <v>41</v>
      </c>
      <c r="I1171" s="86">
        <v>246</v>
      </c>
      <c r="J1171" s="87"/>
      <c r="K1171" s="87"/>
      <c r="L1171" s="87"/>
      <c r="M1171" s="87"/>
      <c r="N1171" s="87"/>
      <c r="O1171" s="87">
        <v>36</v>
      </c>
      <c r="P1171" s="87"/>
      <c r="Q1171" s="87"/>
      <c r="R1171" s="87"/>
      <c r="S1171" s="87"/>
      <c r="T1171" s="87"/>
      <c r="U1171" s="87"/>
      <c r="V1171" s="87"/>
      <c r="W1171" s="87"/>
      <c r="X1171" s="87">
        <v>5</v>
      </c>
      <c r="Y1171" s="87"/>
      <c r="Z1171" s="87"/>
      <c r="AA1171" s="87"/>
      <c r="AB1171" s="87"/>
      <c r="AC1171" s="87">
        <v>11</v>
      </c>
      <c r="AD1171" s="87"/>
      <c r="AE1171" s="87"/>
      <c r="AF1171" s="87"/>
      <c r="AG1171" s="87"/>
      <c r="AH1171" s="87">
        <v>20</v>
      </c>
      <c r="AI1171" s="87">
        <v>1</v>
      </c>
      <c r="AJ1171" s="87"/>
      <c r="AK1171" s="87">
        <v>9</v>
      </c>
      <c r="AL1171" s="87"/>
      <c r="AM1171" s="87"/>
      <c r="AN1171" s="87"/>
      <c r="AO1171" s="87"/>
      <c r="AP1171" s="87"/>
      <c r="AQ1171" s="87">
        <v>41</v>
      </c>
      <c r="AR1171" s="87"/>
      <c r="AS1171" s="87"/>
      <c r="AT1171" s="87"/>
      <c r="AU1171" s="87"/>
      <c r="AV1171" s="87"/>
      <c r="AW1171" s="88" t="str">
        <f>HYPERLINK("http://www.openstreetmap.org/?mlat=33.5782&amp;mlon=44.5468&amp;zoom=12#map=12/33.5782/44.5468","Maplink1")</f>
        <v>Maplink1</v>
      </c>
      <c r="AX1171" s="88" t="str">
        <f>HYPERLINK("https://www.google.iq/maps/search/+33.5782,44.5468/@33.5782,44.5468,14z?hl=en","Maplink2")</f>
        <v>Maplink2</v>
      </c>
      <c r="AY1171" s="88" t="str">
        <f>HYPERLINK("http://www.bing.com/maps/?lvl=14&amp;sty=h&amp;cp=33.5782~44.5468&amp;sp=point.33.5782_44.5468","Maplink3")</f>
        <v>Maplink3</v>
      </c>
      <c r="AZ1171" s="76"/>
    </row>
    <row r="1172" spans="1:52" x14ac:dyDescent="0.25">
      <c r="A1172" s="86">
        <v>25041</v>
      </c>
      <c r="B1172" s="87" t="s">
        <v>17</v>
      </c>
      <c r="C1172" s="87" t="s">
        <v>2316</v>
      </c>
      <c r="D1172" s="87" t="s">
        <v>2345</v>
      </c>
      <c r="E1172" s="87" t="s">
        <v>1394</v>
      </c>
      <c r="F1172" s="87">
        <v>33.692738555699997</v>
      </c>
      <c r="G1172" s="87">
        <v>44.790637449599998</v>
      </c>
      <c r="H1172" s="86">
        <v>70</v>
      </c>
      <c r="I1172" s="86">
        <v>420</v>
      </c>
      <c r="J1172" s="87"/>
      <c r="K1172" s="87"/>
      <c r="L1172" s="87"/>
      <c r="M1172" s="87"/>
      <c r="N1172" s="87"/>
      <c r="O1172" s="87">
        <v>70</v>
      </c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>
        <v>70</v>
      </c>
      <c r="AI1172" s="87"/>
      <c r="AJ1172" s="87"/>
      <c r="AK1172" s="87"/>
      <c r="AL1172" s="87"/>
      <c r="AM1172" s="87"/>
      <c r="AN1172" s="87"/>
      <c r="AO1172" s="87"/>
      <c r="AP1172" s="87"/>
      <c r="AQ1172" s="87">
        <v>45</v>
      </c>
      <c r="AR1172" s="87"/>
      <c r="AS1172" s="87"/>
      <c r="AT1172" s="87"/>
      <c r="AU1172" s="87">
        <v>25</v>
      </c>
      <c r="AV1172" s="87"/>
      <c r="AW1172" s="88" t="str">
        <f>HYPERLINK("http://www.openstreetmap.org/?mlat=33.6927&amp;mlon=44.7906&amp;zoom=12#map=12/33.6927/44.7906","Maplink1")</f>
        <v>Maplink1</v>
      </c>
      <c r="AX1172" s="88" t="str">
        <f>HYPERLINK("https://www.google.iq/maps/search/+33.6927,44.7906/@33.6927,44.7906,14z?hl=en","Maplink2")</f>
        <v>Maplink2</v>
      </c>
      <c r="AY1172" s="88" t="str">
        <f>HYPERLINK("http://www.bing.com/maps/?lvl=14&amp;sty=h&amp;cp=33.6927~44.7906&amp;sp=point.33.6927_44.7906","Maplink3")</f>
        <v>Maplink3</v>
      </c>
      <c r="AZ1172" s="76"/>
    </row>
    <row r="1173" spans="1:52" x14ac:dyDescent="0.25">
      <c r="A1173" s="86">
        <v>11411</v>
      </c>
      <c r="B1173" s="87" t="s">
        <v>17</v>
      </c>
      <c r="C1173" s="87" t="s">
        <v>2316</v>
      </c>
      <c r="D1173" s="87" t="s">
        <v>2346</v>
      </c>
      <c r="E1173" s="87" t="s">
        <v>2347</v>
      </c>
      <c r="F1173" s="87">
        <v>33.783422252199998</v>
      </c>
      <c r="G1173" s="87">
        <v>44.623017624600003</v>
      </c>
      <c r="H1173" s="86">
        <v>38</v>
      </c>
      <c r="I1173" s="86">
        <v>228</v>
      </c>
      <c r="J1173" s="87"/>
      <c r="K1173" s="87"/>
      <c r="L1173" s="87"/>
      <c r="M1173" s="87"/>
      <c r="N1173" s="87"/>
      <c r="O1173" s="87">
        <v>38</v>
      </c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>
        <v>35</v>
      </c>
      <c r="AI1173" s="87">
        <v>3</v>
      </c>
      <c r="AJ1173" s="87"/>
      <c r="AK1173" s="87"/>
      <c r="AL1173" s="87"/>
      <c r="AM1173" s="87"/>
      <c r="AN1173" s="87"/>
      <c r="AO1173" s="87"/>
      <c r="AP1173" s="87"/>
      <c r="AQ1173" s="87">
        <v>38</v>
      </c>
      <c r="AR1173" s="87"/>
      <c r="AS1173" s="87"/>
      <c r="AT1173" s="87"/>
      <c r="AU1173" s="87"/>
      <c r="AV1173" s="87"/>
      <c r="AW1173" s="88" t="str">
        <f>HYPERLINK("http://www.openstreetmap.org/?mlat=33.7834&amp;mlon=44.623&amp;zoom=12#map=12/33.7834/44.623","Maplink1")</f>
        <v>Maplink1</v>
      </c>
      <c r="AX1173" s="88" t="str">
        <f>HYPERLINK("https://www.google.iq/maps/search/+33.7834,44.623/@33.7834,44.623,14z?hl=en","Maplink2")</f>
        <v>Maplink2</v>
      </c>
      <c r="AY1173" s="88" t="str">
        <f>HYPERLINK("http://www.bing.com/maps/?lvl=14&amp;sty=h&amp;cp=33.7834~44.623&amp;sp=point.33.7834_44.623","Maplink3")</f>
        <v>Maplink3</v>
      </c>
      <c r="AZ1173" s="76"/>
    </row>
    <row r="1174" spans="1:52" x14ac:dyDescent="0.25">
      <c r="A1174" s="86">
        <v>11408</v>
      </c>
      <c r="B1174" s="87" t="s">
        <v>17</v>
      </c>
      <c r="C1174" s="87" t="s">
        <v>2316</v>
      </c>
      <c r="D1174" s="87" t="s">
        <v>2348</v>
      </c>
      <c r="E1174" s="87" t="s">
        <v>2349</v>
      </c>
      <c r="F1174" s="87">
        <v>33.794426864899997</v>
      </c>
      <c r="G1174" s="87">
        <v>44.676998854600001</v>
      </c>
      <c r="H1174" s="86">
        <v>35</v>
      </c>
      <c r="I1174" s="86">
        <v>210</v>
      </c>
      <c r="J1174" s="87"/>
      <c r="K1174" s="87"/>
      <c r="L1174" s="87"/>
      <c r="M1174" s="87"/>
      <c r="N1174" s="87"/>
      <c r="O1174" s="87">
        <v>35</v>
      </c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>
        <v>16</v>
      </c>
      <c r="AD1174" s="87"/>
      <c r="AE1174" s="87"/>
      <c r="AF1174" s="87"/>
      <c r="AG1174" s="87"/>
      <c r="AH1174" s="87">
        <v>19</v>
      </c>
      <c r="AI1174" s="87"/>
      <c r="AJ1174" s="87"/>
      <c r="AK1174" s="87"/>
      <c r="AL1174" s="87"/>
      <c r="AM1174" s="87"/>
      <c r="AN1174" s="87"/>
      <c r="AO1174" s="87"/>
      <c r="AP1174" s="87"/>
      <c r="AQ1174" s="87">
        <v>35</v>
      </c>
      <c r="AR1174" s="87"/>
      <c r="AS1174" s="87"/>
      <c r="AT1174" s="87"/>
      <c r="AU1174" s="87"/>
      <c r="AV1174" s="87"/>
      <c r="AW1174" s="88" t="str">
        <f>HYPERLINK("http://www.openstreetmap.org/?mlat=33.7944&amp;mlon=44.677&amp;zoom=12#map=12/33.7944/44.677","Maplink1")</f>
        <v>Maplink1</v>
      </c>
      <c r="AX1174" s="88" t="str">
        <f>HYPERLINK("https://www.google.iq/maps/search/+33.7944,44.677/@33.7944,44.677,14z?hl=en","Maplink2")</f>
        <v>Maplink2</v>
      </c>
      <c r="AY1174" s="88" t="str">
        <f>HYPERLINK("http://www.bing.com/maps/?lvl=14&amp;sty=h&amp;cp=33.7944~44.677&amp;sp=point.33.7944_44.677","Maplink3")</f>
        <v>Maplink3</v>
      </c>
      <c r="AZ1174" s="76"/>
    </row>
    <row r="1175" spans="1:52" x14ac:dyDescent="0.25">
      <c r="A1175" s="86">
        <v>24917</v>
      </c>
      <c r="B1175" s="87" t="s">
        <v>17</v>
      </c>
      <c r="C1175" s="87" t="s">
        <v>2316</v>
      </c>
      <c r="D1175" s="87" t="s">
        <v>2350</v>
      </c>
      <c r="E1175" s="87" t="s">
        <v>2351</v>
      </c>
      <c r="F1175" s="87">
        <v>33.481430742000001</v>
      </c>
      <c r="G1175" s="87">
        <v>44.525376363100001</v>
      </c>
      <c r="H1175" s="86">
        <v>13</v>
      </c>
      <c r="I1175" s="86">
        <v>78</v>
      </c>
      <c r="J1175" s="87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>
        <v>13</v>
      </c>
      <c r="Y1175" s="87"/>
      <c r="Z1175" s="87"/>
      <c r="AA1175" s="87"/>
      <c r="AB1175" s="87"/>
      <c r="AC1175" s="87">
        <v>5</v>
      </c>
      <c r="AD1175" s="87"/>
      <c r="AE1175" s="87"/>
      <c r="AF1175" s="87"/>
      <c r="AG1175" s="87"/>
      <c r="AH1175" s="87">
        <v>8</v>
      </c>
      <c r="AI1175" s="87"/>
      <c r="AJ1175" s="87"/>
      <c r="AK1175" s="87"/>
      <c r="AL1175" s="87"/>
      <c r="AM1175" s="87"/>
      <c r="AN1175" s="87"/>
      <c r="AO1175" s="87"/>
      <c r="AP1175" s="87"/>
      <c r="AQ1175" s="87">
        <v>13</v>
      </c>
      <c r="AR1175" s="87"/>
      <c r="AS1175" s="87"/>
      <c r="AT1175" s="87"/>
      <c r="AU1175" s="87"/>
      <c r="AV1175" s="87"/>
      <c r="AW1175" s="88" t="str">
        <f>HYPERLINK("http://www.openstreetmap.org/?mlat=33.4814&amp;mlon=44.5254&amp;zoom=12#map=12/33.4814/44.5254","Maplink1")</f>
        <v>Maplink1</v>
      </c>
      <c r="AX1175" s="88" t="str">
        <f>HYPERLINK("https://www.google.iq/maps/search/+33.4814,44.5254/@33.4814,44.5254,14z?hl=en","Maplink2")</f>
        <v>Maplink2</v>
      </c>
      <c r="AY1175" s="88" t="str">
        <f>HYPERLINK("http://www.bing.com/maps/?lvl=14&amp;sty=h&amp;cp=33.4814~44.5254&amp;sp=point.33.4814_44.5254","Maplink3")</f>
        <v>Maplink3</v>
      </c>
      <c r="AZ1175" s="76"/>
    </row>
    <row r="1176" spans="1:52" x14ac:dyDescent="0.25">
      <c r="A1176" s="86">
        <v>25046</v>
      </c>
      <c r="B1176" s="87" t="s">
        <v>17</v>
      </c>
      <c r="C1176" s="87" t="s">
        <v>2316</v>
      </c>
      <c r="D1176" s="87" t="s">
        <v>2352</v>
      </c>
      <c r="E1176" s="87" t="s">
        <v>518</v>
      </c>
      <c r="F1176" s="87">
        <v>33.697499984499999</v>
      </c>
      <c r="G1176" s="87">
        <v>44.789794739400001</v>
      </c>
      <c r="H1176" s="86">
        <v>20</v>
      </c>
      <c r="I1176" s="86">
        <v>120</v>
      </c>
      <c r="J1176" s="87"/>
      <c r="K1176" s="87"/>
      <c r="L1176" s="87"/>
      <c r="M1176" s="87"/>
      <c r="N1176" s="87"/>
      <c r="O1176" s="87">
        <v>20</v>
      </c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>
        <v>20</v>
      </c>
      <c r="AI1176" s="87"/>
      <c r="AJ1176" s="87"/>
      <c r="AK1176" s="87"/>
      <c r="AL1176" s="87"/>
      <c r="AM1176" s="87"/>
      <c r="AN1176" s="87"/>
      <c r="AO1176" s="87"/>
      <c r="AP1176" s="87"/>
      <c r="AQ1176" s="87">
        <v>20</v>
      </c>
      <c r="AR1176" s="87"/>
      <c r="AS1176" s="87"/>
      <c r="AT1176" s="87"/>
      <c r="AU1176" s="87"/>
      <c r="AV1176" s="87"/>
      <c r="AW1176" s="88" t="str">
        <f>HYPERLINK("http://www.openstreetmap.org/?mlat=33.6975&amp;mlon=44.7898&amp;zoom=12#map=12/33.6975/44.7898","Maplink1")</f>
        <v>Maplink1</v>
      </c>
      <c r="AX1176" s="88" t="str">
        <f>HYPERLINK("https://www.google.iq/maps/search/+33.6975,44.7898/@33.6975,44.7898,14z?hl=en","Maplink2")</f>
        <v>Maplink2</v>
      </c>
      <c r="AY1176" s="88" t="str">
        <f>HYPERLINK("http://www.bing.com/maps/?lvl=14&amp;sty=h&amp;cp=33.6975~44.7898&amp;sp=point.33.6975_44.7898","Maplink3")</f>
        <v>Maplink3</v>
      </c>
      <c r="AZ1176" s="76"/>
    </row>
    <row r="1177" spans="1:52" x14ac:dyDescent="0.25">
      <c r="A1177" s="86">
        <v>11251</v>
      </c>
      <c r="B1177" s="87" t="s">
        <v>17</v>
      </c>
      <c r="C1177" s="87" t="s">
        <v>2316</v>
      </c>
      <c r="D1177" s="87" t="s">
        <v>2353</v>
      </c>
      <c r="E1177" s="87" t="s">
        <v>74</v>
      </c>
      <c r="F1177" s="87">
        <v>33.714262961099998</v>
      </c>
      <c r="G1177" s="87">
        <v>44.653552456600003</v>
      </c>
      <c r="H1177" s="86">
        <v>50</v>
      </c>
      <c r="I1177" s="86">
        <v>300</v>
      </c>
      <c r="J1177" s="87"/>
      <c r="K1177" s="87"/>
      <c r="L1177" s="87"/>
      <c r="M1177" s="87"/>
      <c r="N1177" s="87"/>
      <c r="O1177" s="87">
        <v>50</v>
      </c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>
        <v>50</v>
      </c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>
        <v>2</v>
      </c>
      <c r="AQ1177" s="87">
        <v>48</v>
      </c>
      <c r="AR1177" s="87"/>
      <c r="AS1177" s="87"/>
      <c r="AT1177" s="87"/>
      <c r="AU1177" s="87"/>
      <c r="AV1177" s="87"/>
      <c r="AW1177" s="88" t="str">
        <f>HYPERLINK("http://www.openstreetmap.org/?mlat=33.7143&amp;mlon=44.6536&amp;zoom=12#map=12/33.7143/44.6536","Maplink1")</f>
        <v>Maplink1</v>
      </c>
      <c r="AX1177" s="88" t="str">
        <f>HYPERLINK("https://www.google.iq/maps/search/+33.7143,44.6536/@33.7143,44.6536,14z?hl=en","Maplink2")</f>
        <v>Maplink2</v>
      </c>
      <c r="AY1177" s="88" t="str">
        <f>HYPERLINK("http://www.bing.com/maps/?lvl=14&amp;sty=h&amp;cp=33.7143~44.6536&amp;sp=point.33.7143_44.6536","Maplink3")</f>
        <v>Maplink3</v>
      </c>
      <c r="AZ1177" s="76"/>
    </row>
    <row r="1178" spans="1:52" x14ac:dyDescent="0.25">
      <c r="A1178" s="86">
        <v>11420</v>
      </c>
      <c r="B1178" s="87" t="s">
        <v>17</v>
      </c>
      <c r="C1178" s="87" t="s">
        <v>2316</v>
      </c>
      <c r="D1178" s="87" t="s">
        <v>2354</v>
      </c>
      <c r="E1178" s="87" t="s">
        <v>2355</v>
      </c>
      <c r="F1178" s="87">
        <v>33.565151430999997</v>
      </c>
      <c r="G1178" s="87">
        <v>44.558067941099999</v>
      </c>
      <c r="H1178" s="86">
        <v>23</v>
      </c>
      <c r="I1178" s="86">
        <v>138</v>
      </c>
      <c r="J1178" s="87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>
        <v>23</v>
      </c>
      <c r="Y1178" s="87"/>
      <c r="Z1178" s="87"/>
      <c r="AA1178" s="87"/>
      <c r="AB1178" s="87"/>
      <c r="AC1178" s="87">
        <v>13</v>
      </c>
      <c r="AD1178" s="87"/>
      <c r="AE1178" s="87"/>
      <c r="AF1178" s="87"/>
      <c r="AG1178" s="87"/>
      <c r="AH1178" s="87">
        <v>10</v>
      </c>
      <c r="AI1178" s="87"/>
      <c r="AJ1178" s="87"/>
      <c r="AK1178" s="87"/>
      <c r="AL1178" s="87"/>
      <c r="AM1178" s="87"/>
      <c r="AN1178" s="87"/>
      <c r="AO1178" s="87"/>
      <c r="AP1178" s="87"/>
      <c r="AQ1178" s="87">
        <v>23</v>
      </c>
      <c r="AR1178" s="87"/>
      <c r="AS1178" s="87"/>
      <c r="AT1178" s="87"/>
      <c r="AU1178" s="87"/>
      <c r="AV1178" s="87"/>
      <c r="AW1178" s="88" t="str">
        <f>HYPERLINK("http://www.openstreetmap.org/?mlat=33.5652&amp;mlon=44.5581&amp;zoom=12#map=12/33.5652/44.5581","Maplink1")</f>
        <v>Maplink1</v>
      </c>
      <c r="AX1178" s="88" t="str">
        <f>HYPERLINK("https://www.google.iq/maps/search/+33.5652,44.5581/@33.5652,44.5581,14z?hl=en","Maplink2")</f>
        <v>Maplink2</v>
      </c>
      <c r="AY1178" s="88" t="str">
        <f>HYPERLINK("http://www.bing.com/maps/?lvl=14&amp;sty=h&amp;cp=33.5652~44.5581&amp;sp=point.33.5652_44.5581","Maplink3")</f>
        <v>Maplink3</v>
      </c>
      <c r="AZ1178" s="76"/>
    </row>
    <row r="1179" spans="1:52" x14ac:dyDescent="0.25">
      <c r="A1179" s="86">
        <v>25055</v>
      </c>
      <c r="B1179" s="87" t="s">
        <v>17</v>
      </c>
      <c r="C1179" s="87" t="s">
        <v>2316</v>
      </c>
      <c r="D1179" s="87" t="s">
        <v>2356</v>
      </c>
      <c r="E1179" s="87" t="s">
        <v>2357</v>
      </c>
      <c r="F1179" s="87">
        <v>33.689375356900001</v>
      </c>
      <c r="G1179" s="87">
        <v>44.793868559700002</v>
      </c>
      <c r="H1179" s="86">
        <v>13</v>
      </c>
      <c r="I1179" s="86">
        <v>78</v>
      </c>
      <c r="J1179" s="87"/>
      <c r="K1179" s="87"/>
      <c r="L1179" s="87"/>
      <c r="M1179" s="87"/>
      <c r="N1179" s="87"/>
      <c r="O1179" s="87">
        <v>13</v>
      </c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>
        <v>13</v>
      </c>
      <c r="AI1179" s="87"/>
      <c r="AJ1179" s="87"/>
      <c r="AK1179" s="87"/>
      <c r="AL1179" s="87"/>
      <c r="AM1179" s="87"/>
      <c r="AN1179" s="87"/>
      <c r="AO1179" s="87"/>
      <c r="AP1179" s="87"/>
      <c r="AQ1179" s="87">
        <v>13</v>
      </c>
      <c r="AR1179" s="87"/>
      <c r="AS1179" s="87"/>
      <c r="AT1179" s="87"/>
      <c r="AU1179" s="87"/>
      <c r="AV1179" s="87"/>
      <c r="AW1179" s="88" t="str">
        <f>HYPERLINK("http://www.openstreetmap.org/?mlat=33.6894&amp;mlon=44.7939&amp;zoom=12#map=12/33.6894/44.7939","Maplink1")</f>
        <v>Maplink1</v>
      </c>
      <c r="AX1179" s="88" t="str">
        <f>HYPERLINK("https://www.google.iq/maps/search/+33.6894,44.7939/@33.6894,44.7939,14z?hl=en","Maplink2")</f>
        <v>Maplink2</v>
      </c>
      <c r="AY1179" s="88" t="str">
        <f>HYPERLINK("http://www.bing.com/maps/?lvl=14&amp;sty=h&amp;cp=33.6894~44.7939&amp;sp=point.33.6894_44.7939","Maplink3")</f>
        <v>Maplink3</v>
      </c>
      <c r="AZ1179" s="76"/>
    </row>
    <row r="1180" spans="1:52" x14ac:dyDescent="0.25">
      <c r="A1180" s="86">
        <v>11178</v>
      </c>
      <c r="B1180" s="87" t="s">
        <v>17</v>
      </c>
      <c r="C1180" s="87" t="s">
        <v>2316</v>
      </c>
      <c r="D1180" s="87" t="s">
        <v>2358</v>
      </c>
      <c r="E1180" s="87" t="s">
        <v>2359</v>
      </c>
      <c r="F1180" s="87">
        <v>33.738565550499999</v>
      </c>
      <c r="G1180" s="87">
        <v>44.649681075499998</v>
      </c>
      <c r="H1180" s="86">
        <v>381</v>
      </c>
      <c r="I1180" s="86">
        <v>2286</v>
      </c>
      <c r="J1180" s="87"/>
      <c r="K1180" s="87"/>
      <c r="L1180" s="87"/>
      <c r="M1180" s="87"/>
      <c r="N1180" s="87"/>
      <c r="O1180" s="87">
        <v>381</v>
      </c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>
        <v>381</v>
      </c>
      <c r="AI1180" s="87"/>
      <c r="AJ1180" s="87"/>
      <c r="AK1180" s="87"/>
      <c r="AL1180" s="87"/>
      <c r="AM1180" s="87"/>
      <c r="AN1180" s="87"/>
      <c r="AO1180" s="87">
        <v>41</v>
      </c>
      <c r="AP1180" s="87">
        <v>181</v>
      </c>
      <c r="AQ1180" s="87">
        <v>159</v>
      </c>
      <c r="AR1180" s="87"/>
      <c r="AS1180" s="87"/>
      <c r="AT1180" s="87"/>
      <c r="AU1180" s="87"/>
      <c r="AV1180" s="87"/>
      <c r="AW1180" s="88" t="str">
        <f>HYPERLINK("http://www.openstreetmap.org/?mlat=33.7386&amp;mlon=44.6497&amp;zoom=12#map=12/33.7386/44.6497","Maplink1")</f>
        <v>Maplink1</v>
      </c>
      <c r="AX1180" s="88" t="str">
        <f>HYPERLINK("https://www.google.iq/maps/search/+33.7386,44.6497/@33.7386,44.6497,14z?hl=en","Maplink2")</f>
        <v>Maplink2</v>
      </c>
      <c r="AY1180" s="88" t="str">
        <f>HYPERLINK("http://www.bing.com/maps/?lvl=14&amp;sty=h&amp;cp=33.7386~44.6497&amp;sp=point.33.7386_44.6497","Maplink3")</f>
        <v>Maplink3</v>
      </c>
      <c r="AZ1180" s="76"/>
    </row>
    <row r="1181" spans="1:52" x14ac:dyDescent="0.25">
      <c r="A1181" s="86">
        <v>11213</v>
      </c>
      <c r="B1181" s="87" t="s">
        <v>17</v>
      </c>
      <c r="C1181" s="87" t="s">
        <v>2316</v>
      </c>
      <c r="D1181" s="87" t="s">
        <v>2360</v>
      </c>
      <c r="E1181" s="87" t="s">
        <v>2361</v>
      </c>
      <c r="F1181" s="87">
        <v>33.749491937400002</v>
      </c>
      <c r="G1181" s="87">
        <v>44.647866304300003</v>
      </c>
      <c r="H1181" s="86">
        <v>29</v>
      </c>
      <c r="I1181" s="86">
        <v>174</v>
      </c>
      <c r="J1181" s="87"/>
      <c r="K1181" s="87"/>
      <c r="L1181" s="87"/>
      <c r="M1181" s="87"/>
      <c r="N1181" s="87"/>
      <c r="O1181" s="87">
        <v>24</v>
      </c>
      <c r="P1181" s="87"/>
      <c r="Q1181" s="87"/>
      <c r="R1181" s="87"/>
      <c r="S1181" s="87"/>
      <c r="T1181" s="87"/>
      <c r="U1181" s="87"/>
      <c r="V1181" s="87"/>
      <c r="W1181" s="87"/>
      <c r="X1181" s="87">
        <v>5</v>
      </c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>
        <v>29</v>
      </c>
      <c r="AI1181" s="87"/>
      <c r="AJ1181" s="87"/>
      <c r="AK1181" s="87"/>
      <c r="AL1181" s="87"/>
      <c r="AM1181" s="87"/>
      <c r="AN1181" s="87"/>
      <c r="AO1181" s="87"/>
      <c r="AP1181" s="87"/>
      <c r="AQ1181" s="87">
        <v>29</v>
      </c>
      <c r="AR1181" s="87"/>
      <c r="AS1181" s="87"/>
      <c r="AT1181" s="87"/>
      <c r="AU1181" s="87"/>
      <c r="AV1181" s="87"/>
      <c r="AW1181" s="88" t="str">
        <f>HYPERLINK("http://www.openstreetmap.org/?mlat=33.7495&amp;mlon=44.6479&amp;zoom=12#map=12/33.7495/44.6479","Maplink1")</f>
        <v>Maplink1</v>
      </c>
      <c r="AX1181" s="88" t="str">
        <f>HYPERLINK("https://www.google.iq/maps/search/+33.7495,44.6479/@33.7495,44.6479,14z?hl=en","Maplink2")</f>
        <v>Maplink2</v>
      </c>
      <c r="AY1181" s="88" t="str">
        <f>HYPERLINK("http://www.bing.com/maps/?lvl=14&amp;sty=h&amp;cp=33.7495~44.6479&amp;sp=point.33.7495_44.6479","Maplink3")</f>
        <v>Maplink3</v>
      </c>
      <c r="AZ1181" s="76"/>
    </row>
    <row r="1182" spans="1:52" x14ac:dyDescent="0.25">
      <c r="A1182" s="86">
        <v>25465</v>
      </c>
      <c r="B1182" s="87" t="s">
        <v>17</v>
      </c>
      <c r="C1182" s="87" t="s">
        <v>2316</v>
      </c>
      <c r="D1182" s="87" t="s">
        <v>2362</v>
      </c>
      <c r="E1182" s="87" t="s">
        <v>2363</v>
      </c>
      <c r="F1182" s="87">
        <v>33.754945977299997</v>
      </c>
      <c r="G1182" s="87">
        <v>44.640578244399997</v>
      </c>
      <c r="H1182" s="86">
        <v>12</v>
      </c>
      <c r="I1182" s="86">
        <v>72</v>
      </c>
      <c r="J1182" s="87"/>
      <c r="K1182" s="87"/>
      <c r="L1182" s="87"/>
      <c r="M1182" s="87"/>
      <c r="N1182" s="87"/>
      <c r="O1182" s="87">
        <v>12</v>
      </c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>
        <v>12</v>
      </c>
      <c r="AI1182" s="87"/>
      <c r="AJ1182" s="87"/>
      <c r="AK1182" s="87"/>
      <c r="AL1182" s="87"/>
      <c r="AM1182" s="87"/>
      <c r="AN1182" s="87"/>
      <c r="AO1182" s="87">
        <v>12</v>
      </c>
      <c r="AP1182" s="87"/>
      <c r="AQ1182" s="87"/>
      <c r="AR1182" s="87"/>
      <c r="AS1182" s="87"/>
      <c r="AT1182" s="87"/>
      <c r="AU1182" s="87"/>
      <c r="AV1182" s="87"/>
      <c r="AW1182" s="88" t="str">
        <f>HYPERLINK("http://www.openstreetmap.org/?mlat=33.7549&amp;mlon=44.6406&amp;zoom=12#map=12/33.7549/44.6406","Maplink1")</f>
        <v>Maplink1</v>
      </c>
      <c r="AX1182" s="88" t="str">
        <f>HYPERLINK("https://www.google.iq/maps/search/+33.7549,44.6406/@33.7549,44.6406,14z?hl=en","Maplink2")</f>
        <v>Maplink2</v>
      </c>
      <c r="AY1182" s="88" t="str">
        <f>HYPERLINK("http://www.bing.com/maps/?lvl=14&amp;sty=h&amp;cp=33.7549~44.6406&amp;sp=point.33.7549_44.6406","Maplink3")</f>
        <v>Maplink3</v>
      </c>
      <c r="AZ1182" s="76"/>
    </row>
    <row r="1183" spans="1:52" x14ac:dyDescent="0.25">
      <c r="A1183" s="86">
        <v>21413</v>
      </c>
      <c r="B1183" s="87" t="s">
        <v>17</v>
      </c>
      <c r="C1183" s="87" t="s">
        <v>2316</v>
      </c>
      <c r="D1183" s="87" t="s">
        <v>2364</v>
      </c>
      <c r="E1183" s="87" t="s">
        <v>2365</v>
      </c>
      <c r="F1183" s="87">
        <v>33.728401607000002</v>
      </c>
      <c r="G1183" s="87">
        <v>44.611321932999999</v>
      </c>
      <c r="H1183" s="86">
        <v>100</v>
      </c>
      <c r="I1183" s="86">
        <v>600</v>
      </c>
      <c r="J1183" s="87">
        <v>6</v>
      </c>
      <c r="K1183" s="87"/>
      <c r="L1183" s="87"/>
      <c r="M1183" s="87"/>
      <c r="N1183" s="87"/>
      <c r="O1183" s="87">
        <v>70</v>
      </c>
      <c r="P1183" s="87"/>
      <c r="Q1183" s="87"/>
      <c r="R1183" s="87"/>
      <c r="S1183" s="87"/>
      <c r="T1183" s="87"/>
      <c r="U1183" s="87"/>
      <c r="V1183" s="87">
        <v>10</v>
      </c>
      <c r="W1183" s="87"/>
      <c r="X1183" s="87">
        <v>14</v>
      </c>
      <c r="Y1183" s="87"/>
      <c r="Z1183" s="87"/>
      <c r="AA1183" s="87"/>
      <c r="AB1183" s="87"/>
      <c r="AC1183" s="87">
        <v>10</v>
      </c>
      <c r="AD1183" s="87"/>
      <c r="AE1183" s="87"/>
      <c r="AF1183" s="87"/>
      <c r="AG1183" s="87"/>
      <c r="AH1183" s="87">
        <v>75</v>
      </c>
      <c r="AI1183" s="87"/>
      <c r="AJ1183" s="87"/>
      <c r="AK1183" s="87">
        <v>15</v>
      </c>
      <c r="AL1183" s="87"/>
      <c r="AM1183" s="87"/>
      <c r="AN1183" s="87">
        <v>6</v>
      </c>
      <c r="AO1183" s="87"/>
      <c r="AP1183" s="87"/>
      <c r="AQ1183" s="87">
        <v>94</v>
      </c>
      <c r="AR1183" s="87"/>
      <c r="AS1183" s="87"/>
      <c r="AT1183" s="87"/>
      <c r="AU1183" s="87"/>
      <c r="AV1183" s="87"/>
      <c r="AW1183" s="88" t="str">
        <f>HYPERLINK("http://www.openstreetmap.org/?mlat=33.7284&amp;mlon=44.6113&amp;zoom=12#map=12/33.7284/44.6113","Maplink1")</f>
        <v>Maplink1</v>
      </c>
      <c r="AX1183" s="88" t="str">
        <f>HYPERLINK("https://www.google.iq/maps/search/+33.7284,44.6113/@33.7284,44.6113,14z?hl=en","Maplink2")</f>
        <v>Maplink2</v>
      </c>
      <c r="AY1183" s="88" t="str">
        <f>HYPERLINK("http://www.bing.com/maps/?lvl=14&amp;sty=h&amp;cp=33.7284~44.6113&amp;sp=point.33.7284_44.6113","Maplink3")</f>
        <v>Maplink3</v>
      </c>
      <c r="AZ1183" s="76"/>
    </row>
    <row r="1184" spans="1:52" x14ac:dyDescent="0.25">
      <c r="A1184" s="86">
        <v>11328</v>
      </c>
      <c r="B1184" s="87" t="s">
        <v>17</v>
      </c>
      <c r="C1184" s="87" t="s">
        <v>2316</v>
      </c>
      <c r="D1184" s="87" t="s">
        <v>2366</v>
      </c>
      <c r="E1184" s="87" t="s">
        <v>2367</v>
      </c>
      <c r="F1184" s="87">
        <v>33.732008170100002</v>
      </c>
      <c r="G1184" s="87">
        <v>44.6111029542</v>
      </c>
      <c r="H1184" s="86">
        <v>57</v>
      </c>
      <c r="I1184" s="86">
        <v>342</v>
      </c>
      <c r="J1184" s="87"/>
      <c r="K1184" s="87"/>
      <c r="L1184" s="87"/>
      <c r="M1184" s="87"/>
      <c r="N1184" s="87"/>
      <c r="O1184" s="87">
        <v>57</v>
      </c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>
        <v>57</v>
      </c>
      <c r="AI1184" s="87"/>
      <c r="AJ1184" s="87"/>
      <c r="AK1184" s="87"/>
      <c r="AL1184" s="87"/>
      <c r="AM1184" s="87"/>
      <c r="AN1184" s="87"/>
      <c r="AO1184" s="87">
        <v>47</v>
      </c>
      <c r="AP1184" s="87"/>
      <c r="AQ1184" s="87">
        <v>10</v>
      </c>
      <c r="AR1184" s="87"/>
      <c r="AS1184" s="87"/>
      <c r="AT1184" s="87"/>
      <c r="AU1184" s="87"/>
      <c r="AV1184" s="87"/>
      <c r="AW1184" s="88" t="str">
        <f>HYPERLINK("http://www.openstreetmap.org/?mlat=33.732&amp;mlon=44.6111&amp;zoom=12#map=12/33.732/44.6111","Maplink1")</f>
        <v>Maplink1</v>
      </c>
      <c r="AX1184" s="88" t="str">
        <f>HYPERLINK("https://www.google.iq/maps/search/+33.732,44.6111/@33.732,44.6111,14z?hl=en","Maplink2")</f>
        <v>Maplink2</v>
      </c>
      <c r="AY1184" s="88" t="str">
        <f>HYPERLINK("http://www.bing.com/maps/?lvl=14&amp;sty=h&amp;cp=33.732~44.6111&amp;sp=point.33.732_44.6111","Maplink3")</f>
        <v>Maplink3</v>
      </c>
      <c r="AZ1184" s="76"/>
    </row>
    <row r="1185" spans="1:52" x14ac:dyDescent="0.25">
      <c r="A1185" s="86">
        <v>24964</v>
      </c>
      <c r="B1185" s="87" t="s">
        <v>17</v>
      </c>
      <c r="C1185" s="87" t="s">
        <v>2316</v>
      </c>
      <c r="D1185" s="87" t="s">
        <v>2368</v>
      </c>
      <c r="E1185" s="87" t="s">
        <v>296</v>
      </c>
      <c r="F1185" s="87">
        <v>33.740256284600001</v>
      </c>
      <c r="G1185" s="87">
        <v>44.621581215200003</v>
      </c>
      <c r="H1185" s="86">
        <v>45</v>
      </c>
      <c r="I1185" s="86">
        <v>270</v>
      </c>
      <c r="J1185" s="87"/>
      <c r="K1185" s="87"/>
      <c r="L1185" s="87"/>
      <c r="M1185" s="87"/>
      <c r="N1185" s="87"/>
      <c r="O1185" s="87">
        <v>45</v>
      </c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>
        <v>45</v>
      </c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>
        <v>45</v>
      </c>
      <c r="AR1185" s="87"/>
      <c r="AS1185" s="87"/>
      <c r="AT1185" s="87"/>
      <c r="AU1185" s="87"/>
      <c r="AV1185" s="87"/>
      <c r="AW1185" s="88" t="str">
        <f>HYPERLINK("http://www.openstreetmap.org/?mlat=33.7403&amp;mlon=44.6216&amp;zoom=12#map=12/33.7403/44.6216","Maplink1")</f>
        <v>Maplink1</v>
      </c>
      <c r="AX1185" s="88" t="str">
        <f>HYPERLINK("https://www.google.iq/maps/search/+33.7403,44.6216/@33.7403,44.6216,14z?hl=en","Maplink2")</f>
        <v>Maplink2</v>
      </c>
      <c r="AY1185" s="88" t="str">
        <f>HYPERLINK("http://www.bing.com/maps/?lvl=14&amp;sty=h&amp;cp=33.7403~44.6216&amp;sp=point.33.7403_44.6216","Maplink3")</f>
        <v>Maplink3</v>
      </c>
      <c r="AZ1185" s="76"/>
    </row>
    <row r="1186" spans="1:52" x14ac:dyDescent="0.25">
      <c r="A1186" s="86">
        <v>21273</v>
      </c>
      <c r="B1186" s="87" t="s">
        <v>17</v>
      </c>
      <c r="C1186" s="87" t="s">
        <v>2316</v>
      </c>
      <c r="D1186" s="87" t="s">
        <v>2369</v>
      </c>
      <c r="E1186" s="87" t="s">
        <v>2370</v>
      </c>
      <c r="F1186" s="87">
        <v>33.7384030268</v>
      </c>
      <c r="G1186" s="87">
        <v>44.596472135799999</v>
      </c>
      <c r="H1186" s="86">
        <v>72</v>
      </c>
      <c r="I1186" s="86">
        <v>432</v>
      </c>
      <c r="J1186" s="87"/>
      <c r="K1186" s="87"/>
      <c r="L1186" s="87"/>
      <c r="M1186" s="87"/>
      <c r="N1186" s="87"/>
      <c r="O1186" s="87">
        <v>72</v>
      </c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>
        <v>6</v>
      </c>
      <c r="AD1186" s="87"/>
      <c r="AE1186" s="87"/>
      <c r="AF1186" s="87"/>
      <c r="AG1186" s="87"/>
      <c r="AH1186" s="87">
        <v>60</v>
      </c>
      <c r="AI1186" s="87">
        <v>6</v>
      </c>
      <c r="AJ1186" s="87"/>
      <c r="AK1186" s="87"/>
      <c r="AL1186" s="87"/>
      <c r="AM1186" s="87"/>
      <c r="AN1186" s="87"/>
      <c r="AO1186" s="87"/>
      <c r="AP1186" s="87"/>
      <c r="AQ1186" s="87">
        <v>27</v>
      </c>
      <c r="AR1186" s="87"/>
      <c r="AS1186" s="87"/>
      <c r="AT1186" s="87">
        <v>45</v>
      </c>
      <c r="AU1186" s="87"/>
      <c r="AV1186" s="87"/>
      <c r="AW1186" s="88" t="str">
        <f>HYPERLINK("http://www.openstreetmap.org/?mlat=33.7384&amp;mlon=44.5965&amp;zoom=12#map=12/33.7384/44.5965","Maplink1")</f>
        <v>Maplink1</v>
      </c>
      <c r="AX1186" s="88" t="str">
        <f>HYPERLINK("https://www.google.iq/maps/search/+33.7384,44.5965/@33.7384,44.5965,14z?hl=en","Maplink2")</f>
        <v>Maplink2</v>
      </c>
      <c r="AY1186" s="88" t="str">
        <f>HYPERLINK("http://www.bing.com/maps/?lvl=14&amp;sty=h&amp;cp=33.7384~44.5965&amp;sp=point.33.7384_44.5965","Maplink3")</f>
        <v>Maplink3</v>
      </c>
      <c r="AZ1186" s="76"/>
    </row>
    <row r="1187" spans="1:52" x14ac:dyDescent="0.25">
      <c r="A1187" s="86">
        <v>21271</v>
      </c>
      <c r="B1187" s="87" t="s">
        <v>17</v>
      </c>
      <c r="C1187" s="87" t="s">
        <v>2316</v>
      </c>
      <c r="D1187" s="87" t="s">
        <v>2371</v>
      </c>
      <c r="E1187" s="87" t="s">
        <v>208</v>
      </c>
      <c r="F1187" s="87">
        <v>33.729515858100001</v>
      </c>
      <c r="G1187" s="87">
        <v>44.652489315700002</v>
      </c>
      <c r="H1187" s="86">
        <v>4</v>
      </c>
      <c r="I1187" s="86">
        <v>24</v>
      </c>
      <c r="J1187" s="87"/>
      <c r="K1187" s="87"/>
      <c r="L1187" s="87"/>
      <c r="M1187" s="87"/>
      <c r="N1187" s="87"/>
      <c r="O1187" s="87">
        <v>4</v>
      </c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>
        <v>4</v>
      </c>
      <c r="AI1187" s="87"/>
      <c r="AJ1187" s="87"/>
      <c r="AK1187" s="87"/>
      <c r="AL1187" s="87"/>
      <c r="AM1187" s="87"/>
      <c r="AN1187" s="87"/>
      <c r="AO1187" s="87"/>
      <c r="AP1187" s="87">
        <v>4</v>
      </c>
      <c r="AQ1187" s="87"/>
      <c r="AR1187" s="87"/>
      <c r="AS1187" s="87"/>
      <c r="AT1187" s="87"/>
      <c r="AU1187" s="87"/>
      <c r="AV1187" s="87"/>
      <c r="AW1187" s="88" t="str">
        <f>HYPERLINK("http://www.openstreetmap.org/?mlat=33.7295&amp;mlon=44.6525&amp;zoom=12#map=12/33.7295/44.6525","Maplink1")</f>
        <v>Maplink1</v>
      </c>
      <c r="AX1187" s="88" t="str">
        <f>HYPERLINK("https://www.google.iq/maps/search/+33.7295,44.6525/@33.7295,44.6525,14z?hl=en","Maplink2")</f>
        <v>Maplink2</v>
      </c>
      <c r="AY1187" s="88" t="str">
        <f>HYPERLINK("http://www.bing.com/maps/?lvl=14&amp;sty=h&amp;cp=33.7295~44.6525&amp;sp=point.33.7295_44.6525","Maplink3")</f>
        <v>Maplink3</v>
      </c>
      <c r="AZ1187" s="76"/>
    </row>
    <row r="1188" spans="1:52" x14ac:dyDescent="0.25">
      <c r="A1188" s="86">
        <v>25464</v>
      </c>
      <c r="B1188" s="87" t="s">
        <v>17</v>
      </c>
      <c r="C1188" s="87" t="s">
        <v>2316</v>
      </c>
      <c r="D1188" s="87" t="s">
        <v>2372</v>
      </c>
      <c r="E1188" s="87" t="s">
        <v>2373</v>
      </c>
      <c r="F1188" s="87">
        <v>33.758013567799999</v>
      </c>
      <c r="G1188" s="87">
        <v>44.638777295899999</v>
      </c>
      <c r="H1188" s="86">
        <v>10</v>
      </c>
      <c r="I1188" s="86">
        <v>60</v>
      </c>
      <c r="J1188" s="87"/>
      <c r="K1188" s="87"/>
      <c r="L1188" s="87"/>
      <c r="M1188" s="87"/>
      <c r="N1188" s="87"/>
      <c r="O1188" s="87">
        <v>10</v>
      </c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>
        <v>10</v>
      </c>
      <c r="AI1188" s="87"/>
      <c r="AJ1188" s="87"/>
      <c r="AK1188" s="87"/>
      <c r="AL1188" s="87"/>
      <c r="AM1188" s="87"/>
      <c r="AN1188" s="87"/>
      <c r="AO1188" s="87">
        <v>10</v>
      </c>
      <c r="AP1188" s="87"/>
      <c r="AQ1188" s="87"/>
      <c r="AR1188" s="87"/>
      <c r="AS1188" s="87"/>
      <c r="AT1188" s="87"/>
      <c r="AU1188" s="87"/>
      <c r="AV1188" s="87"/>
      <c r="AW1188" s="88" t="str">
        <f>HYPERLINK("http://www.openstreetmap.org/?mlat=33.758&amp;mlon=44.6388&amp;zoom=12#map=12/33.758/44.6388","Maplink1")</f>
        <v>Maplink1</v>
      </c>
      <c r="AX1188" s="88" t="str">
        <f>HYPERLINK("https://www.google.iq/maps/search/+33.758,44.6388/@33.758,44.6388,14z?hl=en","Maplink2")</f>
        <v>Maplink2</v>
      </c>
      <c r="AY1188" s="88" t="str">
        <f>HYPERLINK("http://www.bing.com/maps/?lvl=14&amp;sty=h&amp;cp=33.758~44.6388&amp;sp=point.33.758_44.6388","Maplink3")</f>
        <v>Maplink3</v>
      </c>
      <c r="AZ1188" s="76"/>
    </row>
    <row r="1189" spans="1:52" x14ac:dyDescent="0.25">
      <c r="A1189" s="86">
        <v>11432</v>
      </c>
      <c r="B1189" s="87" t="s">
        <v>17</v>
      </c>
      <c r="C1189" s="87" t="s">
        <v>2316</v>
      </c>
      <c r="D1189" s="87" t="s">
        <v>2374</v>
      </c>
      <c r="E1189" s="87" t="s">
        <v>2375</v>
      </c>
      <c r="F1189" s="87">
        <v>33.761520683699999</v>
      </c>
      <c r="G1189" s="87">
        <v>44.652718019600002</v>
      </c>
      <c r="H1189" s="86">
        <v>65</v>
      </c>
      <c r="I1189" s="86">
        <v>390</v>
      </c>
      <c r="J1189" s="87"/>
      <c r="K1189" s="87"/>
      <c r="L1189" s="87"/>
      <c r="M1189" s="87"/>
      <c r="N1189" s="87"/>
      <c r="O1189" s="87">
        <v>52</v>
      </c>
      <c r="P1189" s="87"/>
      <c r="Q1189" s="87"/>
      <c r="R1189" s="87"/>
      <c r="S1189" s="87"/>
      <c r="T1189" s="87"/>
      <c r="U1189" s="87"/>
      <c r="V1189" s="87"/>
      <c r="W1189" s="87"/>
      <c r="X1189" s="87">
        <v>13</v>
      </c>
      <c r="Y1189" s="87"/>
      <c r="Z1189" s="87"/>
      <c r="AA1189" s="87"/>
      <c r="AB1189" s="87"/>
      <c r="AC1189" s="87">
        <v>7</v>
      </c>
      <c r="AD1189" s="87"/>
      <c r="AE1189" s="87"/>
      <c r="AF1189" s="87"/>
      <c r="AG1189" s="87"/>
      <c r="AH1189" s="87">
        <v>58</v>
      </c>
      <c r="AI1189" s="87"/>
      <c r="AJ1189" s="87"/>
      <c r="AK1189" s="87"/>
      <c r="AL1189" s="87"/>
      <c r="AM1189" s="87"/>
      <c r="AN1189" s="87"/>
      <c r="AO1189" s="87"/>
      <c r="AP1189" s="87">
        <v>65</v>
      </c>
      <c r="AQ1189" s="87"/>
      <c r="AR1189" s="87"/>
      <c r="AS1189" s="87"/>
      <c r="AT1189" s="87"/>
      <c r="AU1189" s="87"/>
      <c r="AV1189" s="87"/>
      <c r="AW1189" s="88" t="str">
        <f>HYPERLINK("http://www.openstreetmap.org/?mlat=33.7615&amp;mlon=44.6527&amp;zoom=12#map=12/33.7615/44.6527","Maplink1")</f>
        <v>Maplink1</v>
      </c>
      <c r="AX1189" s="88" t="str">
        <f>HYPERLINK("https://www.google.iq/maps/search/+33.7615,44.6527/@33.7615,44.6527,14z?hl=en","Maplink2")</f>
        <v>Maplink2</v>
      </c>
      <c r="AY1189" s="88" t="str">
        <f>HYPERLINK("http://www.bing.com/maps/?lvl=14&amp;sty=h&amp;cp=33.7615~44.6527&amp;sp=point.33.7615_44.6527","Maplink3")</f>
        <v>Maplink3</v>
      </c>
      <c r="AZ1189" s="76"/>
    </row>
    <row r="1190" spans="1:52" x14ac:dyDescent="0.25">
      <c r="A1190" s="86">
        <v>24916</v>
      </c>
      <c r="B1190" s="87" t="s">
        <v>17</v>
      </c>
      <c r="C1190" s="87" t="s">
        <v>2316</v>
      </c>
      <c r="D1190" s="87" t="s">
        <v>2376</v>
      </c>
      <c r="E1190" s="87" t="s">
        <v>2240</v>
      </c>
      <c r="F1190" s="87">
        <v>33.573650095600001</v>
      </c>
      <c r="G1190" s="87">
        <v>44.543607676100002</v>
      </c>
      <c r="H1190" s="86">
        <v>4</v>
      </c>
      <c r="I1190" s="86">
        <v>24</v>
      </c>
      <c r="J1190" s="87"/>
      <c r="K1190" s="87"/>
      <c r="L1190" s="87"/>
      <c r="M1190" s="87"/>
      <c r="N1190" s="87"/>
      <c r="O1190" s="87">
        <v>4</v>
      </c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>
        <v>4</v>
      </c>
      <c r="AI1190" s="87"/>
      <c r="AJ1190" s="87"/>
      <c r="AK1190" s="87"/>
      <c r="AL1190" s="87"/>
      <c r="AM1190" s="87"/>
      <c r="AN1190" s="87"/>
      <c r="AO1190" s="87"/>
      <c r="AP1190" s="87">
        <v>4</v>
      </c>
      <c r="AQ1190" s="87"/>
      <c r="AR1190" s="87"/>
      <c r="AS1190" s="87"/>
      <c r="AT1190" s="87"/>
      <c r="AU1190" s="87"/>
      <c r="AV1190" s="87"/>
      <c r="AW1190" s="88" t="str">
        <f>HYPERLINK("http://www.openstreetmap.org/?mlat=33.5737&amp;mlon=44.5436&amp;zoom=12#map=12/33.5737/44.5436","Maplink1")</f>
        <v>Maplink1</v>
      </c>
      <c r="AX1190" s="88" t="str">
        <f>HYPERLINK("https://www.google.iq/maps/search/+33.5737,44.5436/@33.5737,44.5436,14z?hl=en","Maplink2")</f>
        <v>Maplink2</v>
      </c>
      <c r="AY1190" s="88" t="str">
        <f>HYPERLINK("http://www.bing.com/maps/?lvl=14&amp;sty=h&amp;cp=33.5737~44.5436&amp;sp=point.33.5737_44.5436","Maplink3")</f>
        <v>Maplink3</v>
      </c>
      <c r="AZ1190" s="76"/>
    </row>
    <row r="1191" spans="1:52" x14ac:dyDescent="0.25">
      <c r="A1191" s="86">
        <v>24574</v>
      </c>
      <c r="B1191" s="87" t="s">
        <v>17</v>
      </c>
      <c r="C1191" s="87" t="s">
        <v>2316</v>
      </c>
      <c r="D1191" s="87" t="s">
        <v>2377</v>
      </c>
      <c r="E1191" s="87" t="s">
        <v>2378</v>
      </c>
      <c r="F1191" s="87">
        <v>33.5727865255</v>
      </c>
      <c r="G1191" s="87">
        <v>44.527793625100003</v>
      </c>
      <c r="H1191" s="86">
        <v>6</v>
      </c>
      <c r="I1191" s="86">
        <v>36</v>
      </c>
      <c r="J1191" s="87"/>
      <c r="K1191" s="87"/>
      <c r="L1191" s="87"/>
      <c r="M1191" s="87"/>
      <c r="N1191" s="87"/>
      <c r="O1191" s="87">
        <v>6</v>
      </c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>
        <v>6</v>
      </c>
      <c r="AI1191" s="87"/>
      <c r="AJ1191" s="87"/>
      <c r="AK1191" s="87"/>
      <c r="AL1191" s="87"/>
      <c r="AM1191" s="87"/>
      <c r="AN1191" s="87"/>
      <c r="AO1191" s="87"/>
      <c r="AP1191" s="87">
        <v>6</v>
      </c>
      <c r="AQ1191" s="87"/>
      <c r="AR1191" s="87"/>
      <c r="AS1191" s="87"/>
      <c r="AT1191" s="87"/>
      <c r="AU1191" s="87"/>
      <c r="AV1191" s="87"/>
      <c r="AW1191" s="88" t="str">
        <f>HYPERLINK("http://www.openstreetmap.org/?mlat=33.5728&amp;mlon=44.5278&amp;zoom=12#map=12/33.5728/44.5278","Maplink1")</f>
        <v>Maplink1</v>
      </c>
      <c r="AX1191" s="88" t="str">
        <f>HYPERLINK("https://www.google.iq/maps/search/+33.5728,44.5278/@33.5728,44.5278,14z?hl=en","Maplink2")</f>
        <v>Maplink2</v>
      </c>
      <c r="AY1191" s="88" t="str">
        <f>HYPERLINK("http://www.bing.com/maps/?lvl=14&amp;sty=h&amp;cp=33.5728~44.5278&amp;sp=point.33.5728_44.5278","Maplink3")</f>
        <v>Maplink3</v>
      </c>
      <c r="AZ1191" s="76"/>
    </row>
    <row r="1192" spans="1:52" x14ac:dyDescent="0.25">
      <c r="A1192" s="86">
        <v>24576</v>
      </c>
      <c r="B1192" s="87" t="s">
        <v>17</v>
      </c>
      <c r="C1192" s="87" t="s">
        <v>2316</v>
      </c>
      <c r="D1192" s="87" t="s">
        <v>2379</v>
      </c>
      <c r="E1192" s="87" t="s">
        <v>2380</v>
      </c>
      <c r="F1192" s="87">
        <v>33.571606789900002</v>
      </c>
      <c r="G1192" s="87">
        <v>44.545486834400002</v>
      </c>
      <c r="H1192" s="86">
        <v>8</v>
      </c>
      <c r="I1192" s="86">
        <v>48</v>
      </c>
      <c r="J1192" s="87"/>
      <c r="K1192" s="87"/>
      <c r="L1192" s="87"/>
      <c r="M1192" s="87"/>
      <c r="N1192" s="87"/>
      <c r="O1192" s="87">
        <v>8</v>
      </c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>
        <v>8</v>
      </c>
      <c r="AI1192" s="87"/>
      <c r="AJ1192" s="87"/>
      <c r="AK1192" s="87"/>
      <c r="AL1192" s="87"/>
      <c r="AM1192" s="87"/>
      <c r="AN1192" s="87"/>
      <c r="AO1192" s="87"/>
      <c r="AP1192" s="87">
        <v>8</v>
      </c>
      <c r="AQ1192" s="87"/>
      <c r="AR1192" s="87"/>
      <c r="AS1192" s="87"/>
      <c r="AT1192" s="87"/>
      <c r="AU1192" s="87"/>
      <c r="AV1192" s="87"/>
      <c r="AW1192" s="88" t="str">
        <f>HYPERLINK("http://www.openstreetmap.org/?mlat=33.5716&amp;mlon=44.5455&amp;zoom=12#map=12/33.5716/44.5455","Maplink1")</f>
        <v>Maplink1</v>
      </c>
      <c r="AX1192" s="88" t="str">
        <f>HYPERLINK("https://www.google.iq/maps/search/+33.5716,44.5455/@33.5716,44.5455,14z?hl=en","Maplink2")</f>
        <v>Maplink2</v>
      </c>
      <c r="AY1192" s="88" t="str">
        <f>HYPERLINK("http://www.bing.com/maps/?lvl=14&amp;sty=h&amp;cp=33.5716~44.5455&amp;sp=point.33.5716_44.5455","Maplink3")</f>
        <v>Maplink3</v>
      </c>
      <c r="AZ1192" s="76"/>
    </row>
    <row r="1193" spans="1:52" x14ac:dyDescent="0.25">
      <c r="A1193" s="86">
        <v>24918</v>
      </c>
      <c r="B1193" s="87" t="s">
        <v>17</v>
      </c>
      <c r="C1193" s="87" t="s">
        <v>2316</v>
      </c>
      <c r="D1193" s="87" t="s">
        <v>2381</v>
      </c>
      <c r="E1193" s="87" t="s">
        <v>2382</v>
      </c>
      <c r="F1193" s="87">
        <v>33.706500026000001</v>
      </c>
      <c r="G1193" s="87">
        <v>44.647257043899998</v>
      </c>
      <c r="H1193" s="86">
        <v>15</v>
      </c>
      <c r="I1193" s="86">
        <v>90</v>
      </c>
      <c r="J1193" s="87"/>
      <c r="K1193" s="87"/>
      <c r="L1193" s="87"/>
      <c r="M1193" s="87"/>
      <c r="N1193" s="87"/>
      <c r="O1193" s="87">
        <v>15</v>
      </c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>
        <v>15</v>
      </c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>
        <v>15</v>
      </c>
      <c r="AR1193" s="87"/>
      <c r="AS1193" s="87"/>
      <c r="AT1193" s="87"/>
      <c r="AU1193" s="87"/>
      <c r="AV1193" s="87"/>
      <c r="AW1193" s="88" t="str">
        <f>HYPERLINK("http://www.openstreetmap.org/?mlat=33.7065&amp;mlon=44.6473&amp;zoom=12#map=12/33.7065/44.6473","Maplink1")</f>
        <v>Maplink1</v>
      </c>
      <c r="AX1193" s="88" t="str">
        <f>HYPERLINK("https://www.google.iq/maps/search/+33.7065,44.6473/@33.7065,44.6473,14z?hl=en","Maplink2")</f>
        <v>Maplink2</v>
      </c>
      <c r="AY1193" s="88" t="str">
        <f>HYPERLINK("http://www.bing.com/maps/?lvl=14&amp;sty=h&amp;cp=33.7065~44.6473&amp;sp=point.33.7065_44.6473","Maplink3")</f>
        <v>Maplink3</v>
      </c>
      <c r="AZ1193" s="76"/>
    </row>
    <row r="1194" spans="1:52" x14ac:dyDescent="0.25">
      <c r="A1194" s="86">
        <v>11376</v>
      </c>
      <c r="B1194" s="87" t="s">
        <v>17</v>
      </c>
      <c r="C1194" s="87" t="s">
        <v>2316</v>
      </c>
      <c r="D1194" s="87" t="s">
        <v>2383</v>
      </c>
      <c r="E1194" s="87" t="s">
        <v>2384</v>
      </c>
      <c r="F1194" s="87">
        <v>33.713635991499999</v>
      </c>
      <c r="G1194" s="87">
        <v>44.650380777800002</v>
      </c>
      <c r="H1194" s="86">
        <v>13</v>
      </c>
      <c r="I1194" s="86">
        <v>78</v>
      </c>
      <c r="J1194" s="87"/>
      <c r="K1194" s="87"/>
      <c r="L1194" s="87"/>
      <c r="M1194" s="87"/>
      <c r="N1194" s="87"/>
      <c r="O1194" s="87">
        <v>13</v>
      </c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>
        <v>13</v>
      </c>
      <c r="AI1194" s="87"/>
      <c r="AJ1194" s="87"/>
      <c r="AK1194" s="87"/>
      <c r="AL1194" s="87"/>
      <c r="AM1194" s="87"/>
      <c r="AN1194" s="87"/>
      <c r="AO1194" s="87"/>
      <c r="AP1194" s="87"/>
      <c r="AQ1194" s="87">
        <v>13</v>
      </c>
      <c r="AR1194" s="87"/>
      <c r="AS1194" s="87"/>
      <c r="AT1194" s="87"/>
      <c r="AU1194" s="87"/>
      <c r="AV1194" s="87"/>
      <c r="AW1194" s="88" t="str">
        <f>HYPERLINK("http://www.openstreetmap.org/?mlat=33.7136&amp;mlon=44.6504&amp;zoom=12#map=12/33.7136/44.6504","Maplink1")</f>
        <v>Maplink1</v>
      </c>
      <c r="AX1194" s="88" t="str">
        <f>HYPERLINK("https://www.google.iq/maps/search/+33.7136,44.6504/@33.7136,44.6504,14z?hl=en","Maplink2")</f>
        <v>Maplink2</v>
      </c>
      <c r="AY1194" s="88" t="str">
        <f>HYPERLINK("http://www.bing.com/maps/?lvl=14&amp;sty=h&amp;cp=33.7136~44.6504&amp;sp=point.33.7136_44.6504","Maplink3")</f>
        <v>Maplink3</v>
      </c>
      <c r="AZ1194" s="76"/>
    </row>
    <row r="1195" spans="1:52" x14ac:dyDescent="0.25">
      <c r="A1195" s="86">
        <v>11368</v>
      </c>
      <c r="B1195" s="87" t="s">
        <v>17</v>
      </c>
      <c r="C1195" s="87" t="s">
        <v>2316</v>
      </c>
      <c r="D1195" s="87" t="s">
        <v>2385</v>
      </c>
      <c r="E1195" s="87" t="s">
        <v>2386</v>
      </c>
      <c r="F1195" s="87">
        <v>33.727778894300002</v>
      </c>
      <c r="G1195" s="87">
        <v>44.658541908700002</v>
      </c>
      <c r="H1195" s="86">
        <v>12</v>
      </c>
      <c r="I1195" s="86">
        <v>72</v>
      </c>
      <c r="J1195" s="87"/>
      <c r="K1195" s="87"/>
      <c r="L1195" s="87"/>
      <c r="M1195" s="87"/>
      <c r="N1195" s="87"/>
      <c r="O1195" s="87">
        <v>12</v>
      </c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>
        <v>12</v>
      </c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>
        <v>12</v>
      </c>
      <c r="AR1195" s="87"/>
      <c r="AS1195" s="87"/>
      <c r="AT1195" s="87"/>
      <c r="AU1195" s="87"/>
      <c r="AV1195" s="87"/>
      <c r="AW1195" s="88" t="str">
        <f>HYPERLINK("http://www.openstreetmap.org/?mlat=33.7278&amp;mlon=44.6585&amp;zoom=12#map=12/33.7278/44.6585","Maplink1")</f>
        <v>Maplink1</v>
      </c>
      <c r="AX1195" s="88" t="str">
        <f>HYPERLINK("https://www.google.iq/maps/search/+33.7278,44.6585/@33.7278,44.6585,14z?hl=en","Maplink2")</f>
        <v>Maplink2</v>
      </c>
      <c r="AY1195" s="88" t="str">
        <f>HYPERLINK("http://www.bing.com/maps/?lvl=14&amp;sty=h&amp;cp=33.7278~44.6585&amp;sp=point.33.7278_44.6585","Maplink3")</f>
        <v>Maplink3</v>
      </c>
      <c r="AZ1195" s="76"/>
    </row>
    <row r="1196" spans="1:52" x14ac:dyDescent="0.25">
      <c r="A1196" s="86">
        <v>25045</v>
      </c>
      <c r="B1196" s="87" t="s">
        <v>17</v>
      </c>
      <c r="C1196" s="87" t="s">
        <v>2316</v>
      </c>
      <c r="D1196" s="87" t="s">
        <v>2387</v>
      </c>
      <c r="E1196" s="87" t="s">
        <v>2388</v>
      </c>
      <c r="F1196" s="87">
        <v>33.700701424000002</v>
      </c>
      <c r="G1196" s="87">
        <v>44.794255043900002</v>
      </c>
      <c r="H1196" s="86">
        <v>28</v>
      </c>
      <c r="I1196" s="86">
        <v>168</v>
      </c>
      <c r="J1196" s="87"/>
      <c r="K1196" s="87"/>
      <c r="L1196" s="87"/>
      <c r="M1196" s="87"/>
      <c r="N1196" s="87"/>
      <c r="O1196" s="87">
        <v>28</v>
      </c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>
        <v>13</v>
      </c>
      <c r="AD1196" s="87"/>
      <c r="AE1196" s="87"/>
      <c r="AF1196" s="87"/>
      <c r="AG1196" s="87"/>
      <c r="AH1196" s="87">
        <v>15</v>
      </c>
      <c r="AI1196" s="87"/>
      <c r="AJ1196" s="87"/>
      <c r="AK1196" s="87"/>
      <c r="AL1196" s="87"/>
      <c r="AM1196" s="87"/>
      <c r="AN1196" s="87"/>
      <c r="AO1196" s="87"/>
      <c r="AP1196" s="87"/>
      <c r="AQ1196" s="87">
        <v>15</v>
      </c>
      <c r="AR1196" s="87"/>
      <c r="AS1196" s="87"/>
      <c r="AT1196" s="87"/>
      <c r="AU1196" s="87">
        <v>13</v>
      </c>
      <c r="AV1196" s="87"/>
      <c r="AW1196" s="88" t="str">
        <f>HYPERLINK("http://www.openstreetmap.org/?mlat=33.7007&amp;mlon=44.7943&amp;zoom=12#map=12/33.7007/44.7943","Maplink1")</f>
        <v>Maplink1</v>
      </c>
      <c r="AX1196" s="88" t="str">
        <f>HYPERLINK("https://www.google.iq/maps/search/+33.7007,44.7943/@33.7007,44.7943,14z?hl=en","Maplink2")</f>
        <v>Maplink2</v>
      </c>
      <c r="AY1196" s="88" t="str">
        <f>HYPERLINK("http://www.bing.com/maps/?lvl=14&amp;sty=h&amp;cp=33.7007~44.7943&amp;sp=point.33.7007_44.7943","Maplink3")</f>
        <v>Maplink3</v>
      </c>
      <c r="AZ1196" s="76"/>
    </row>
    <row r="1197" spans="1:52" x14ac:dyDescent="0.25">
      <c r="A1197" s="86">
        <v>11496</v>
      </c>
      <c r="B1197" s="87" t="s">
        <v>17</v>
      </c>
      <c r="C1197" s="87" t="s">
        <v>2316</v>
      </c>
      <c r="D1197" s="87" t="s">
        <v>2389</v>
      </c>
      <c r="E1197" s="87" t="s">
        <v>2390</v>
      </c>
      <c r="F1197" s="87">
        <v>33.769738910999997</v>
      </c>
      <c r="G1197" s="87">
        <v>44.644256929699999</v>
      </c>
      <c r="H1197" s="86">
        <v>15</v>
      </c>
      <c r="I1197" s="86">
        <v>90</v>
      </c>
      <c r="J1197" s="87"/>
      <c r="K1197" s="87"/>
      <c r="L1197" s="87"/>
      <c r="M1197" s="87"/>
      <c r="N1197" s="87"/>
      <c r="O1197" s="87">
        <v>15</v>
      </c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>
        <v>15</v>
      </c>
      <c r="AI1197" s="87"/>
      <c r="AJ1197" s="87"/>
      <c r="AK1197" s="87"/>
      <c r="AL1197" s="87"/>
      <c r="AM1197" s="87"/>
      <c r="AN1197" s="87"/>
      <c r="AO1197" s="87">
        <v>15</v>
      </c>
      <c r="AP1197" s="87"/>
      <c r="AQ1197" s="87"/>
      <c r="AR1197" s="87"/>
      <c r="AS1197" s="87"/>
      <c r="AT1197" s="87"/>
      <c r="AU1197" s="87"/>
      <c r="AV1197" s="87"/>
      <c r="AW1197" s="88" t="str">
        <f>HYPERLINK("http://www.openstreetmap.org/?mlat=33.7697&amp;mlon=44.6443&amp;zoom=12#map=12/33.7697/44.6443","Maplink1")</f>
        <v>Maplink1</v>
      </c>
      <c r="AX1197" s="88" t="str">
        <f>HYPERLINK("https://www.google.iq/maps/search/+33.7697,44.6443/@33.7697,44.6443,14z?hl=en","Maplink2")</f>
        <v>Maplink2</v>
      </c>
      <c r="AY1197" s="88" t="str">
        <f>HYPERLINK("http://www.bing.com/maps/?lvl=14&amp;sty=h&amp;cp=33.7697~44.6443&amp;sp=point.33.7697_44.6443","Maplink3")</f>
        <v>Maplink3</v>
      </c>
      <c r="AZ1197" s="76"/>
    </row>
    <row r="1198" spans="1:52" x14ac:dyDescent="0.25">
      <c r="A1198" s="86">
        <v>25050</v>
      </c>
      <c r="B1198" s="87" t="s">
        <v>17</v>
      </c>
      <c r="C1198" s="87" t="s">
        <v>2316</v>
      </c>
      <c r="D1198" s="87" t="s">
        <v>2391</v>
      </c>
      <c r="E1198" s="87" t="s">
        <v>2392</v>
      </c>
      <c r="F1198" s="87">
        <v>33.719604561600001</v>
      </c>
      <c r="G1198" s="87">
        <v>44.774496383200002</v>
      </c>
      <c r="H1198" s="86">
        <v>15</v>
      </c>
      <c r="I1198" s="86">
        <v>90</v>
      </c>
      <c r="J1198" s="87"/>
      <c r="K1198" s="87"/>
      <c r="L1198" s="87"/>
      <c r="M1198" s="87"/>
      <c r="N1198" s="87"/>
      <c r="O1198" s="87">
        <v>15</v>
      </c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>
        <v>15</v>
      </c>
      <c r="AI1198" s="87"/>
      <c r="AJ1198" s="87"/>
      <c r="AK1198" s="87"/>
      <c r="AL1198" s="87"/>
      <c r="AM1198" s="87"/>
      <c r="AN1198" s="87"/>
      <c r="AO1198" s="87"/>
      <c r="AP1198" s="87"/>
      <c r="AQ1198" s="87">
        <v>15</v>
      </c>
      <c r="AR1198" s="87"/>
      <c r="AS1198" s="87"/>
      <c r="AT1198" s="87"/>
      <c r="AU1198" s="87"/>
      <c r="AV1198" s="87"/>
      <c r="AW1198" s="88" t="str">
        <f>HYPERLINK("http://www.openstreetmap.org/?mlat=33.7196&amp;mlon=44.7745&amp;zoom=12#map=12/33.7196/44.7745","Maplink1")</f>
        <v>Maplink1</v>
      </c>
      <c r="AX1198" s="88" t="str">
        <f>HYPERLINK("https://www.google.iq/maps/search/+33.7196,44.7745/@33.7196,44.7745,14z?hl=en","Maplink2")</f>
        <v>Maplink2</v>
      </c>
      <c r="AY1198" s="88" t="str">
        <f>HYPERLINK("http://www.bing.com/maps/?lvl=14&amp;sty=h&amp;cp=33.7196~44.7745&amp;sp=point.33.7196_44.7745","Maplink3")</f>
        <v>Maplink3</v>
      </c>
      <c r="AZ1198" s="76"/>
    </row>
    <row r="1199" spans="1:52" x14ac:dyDescent="0.25">
      <c r="A1199" s="86">
        <v>11553</v>
      </c>
      <c r="B1199" s="87" t="s">
        <v>17</v>
      </c>
      <c r="C1199" s="87" t="s">
        <v>2316</v>
      </c>
      <c r="D1199" s="87" t="s">
        <v>2393</v>
      </c>
      <c r="E1199" s="87" t="s">
        <v>2394</v>
      </c>
      <c r="F1199" s="87">
        <v>33.828640712999999</v>
      </c>
      <c r="G1199" s="87">
        <v>44.673654090600003</v>
      </c>
      <c r="H1199" s="86">
        <v>5</v>
      </c>
      <c r="I1199" s="86">
        <v>30</v>
      </c>
      <c r="J1199" s="87"/>
      <c r="K1199" s="87"/>
      <c r="L1199" s="87"/>
      <c r="M1199" s="87"/>
      <c r="N1199" s="87"/>
      <c r="O1199" s="87">
        <v>5</v>
      </c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>
        <v>5</v>
      </c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>
        <v>5</v>
      </c>
      <c r="AR1199" s="87"/>
      <c r="AS1199" s="87"/>
      <c r="AT1199" s="87"/>
      <c r="AU1199" s="87"/>
      <c r="AV1199" s="87"/>
      <c r="AW1199" s="88" t="str">
        <f>HYPERLINK("http://www.openstreetmap.org/?mlat=33.8286&amp;mlon=44.6737&amp;zoom=12#map=12/33.8286/44.6737","Maplink1")</f>
        <v>Maplink1</v>
      </c>
      <c r="AX1199" s="88" t="str">
        <f>HYPERLINK("https://www.google.iq/maps/search/+33.8286,44.6737/@33.8286,44.6737,14z?hl=en","Maplink2")</f>
        <v>Maplink2</v>
      </c>
      <c r="AY1199" s="88" t="str">
        <f>HYPERLINK("http://www.bing.com/maps/?lvl=14&amp;sty=h&amp;cp=33.8286~44.6737&amp;sp=point.33.8286_44.6737","Maplink3")</f>
        <v>Maplink3</v>
      </c>
      <c r="AZ1199" s="76"/>
    </row>
    <row r="1200" spans="1:52" x14ac:dyDescent="0.25">
      <c r="A1200" s="86">
        <v>11463</v>
      </c>
      <c r="B1200" s="87" t="s">
        <v>17</v>
      </c>
      <c r="C1200" s="87" t="s">
        <v>2316</v>
      </c>
      <c r="D1200" s="87" t="s">
        <v>2395</v>
      </c>
      <c r="E1200" s="87" t="s">
        <v>2396</v>
      </c>
      <c r="F1200" s="87">
        <v>33.843657212399997</v>
      </c>
      <c r="G1200" s="87">
        <v>44.644396960999998</v>
      </c>
      <c r="H1200" s="86">
        <v>47</v>
      </c>
      <c r="I1200" s="86">
        <v>282</v>
      </c>
      <c r="J1200" s="87"/>
      <c r="K1200" s="87"/>
      <c r="L1200" s="87"/>
      <c r="M1200" s="87"/>
      <c r="N1200" s="87"/>
      <c r="O1200" s="87">
        <v>22</v>
      </c>
      <c r="P1200" s="87"/>
      <c r="Q1200" s="87"/>
      <c r="R1200" s="87"/>
      <c r="S1200" s="87"/>
      <c r="T1200" s="87"/>
      <c r="U1200" s="87"/>
      <c r="V1200" s="87"/>
      <c r="W1200" s="87"/>
      <c r="X1200" s="87">
        <v>25</v>
      </c>
      <c r="Y1200" s="87"/>
      <c r="Z1200" s="87"/>
      <c r="AA1200" s="87"/>
      <c r="AB1200" s="87"/>
      <c r="AC1200" s="87">
        <v>18</v>
      </c>
      <c r="AD1200" s="87"/>
      <c r="AE1200" s="87"/>
      <c r="AF1200" s="87"/>
      <c r="AG1200" s="87"/>
      <c r="AH1200" s="87">
        <v>27</v>
      </c>
      <c r="AI1200" s="87">
        <v>2</v>
      </c>
      <c r="AJ1200" s="87"/>
      <c r="AK1200" s="87"/>
      <c r="AL1200" s="87"/>
      <c r="AM1200" s="87"/>
      <c r="AN1200" s="87"/>
      <c r="AO1200" s="87"/>
      <c r="AP1200" s="87"/>
      <c r="AQ1200" s="87">
        <v>47</v>
      </c>
      <c r="AR1200" s="87"/>
      <c r="AS1200" s="87"/>
      <c r="AT1200" s="87"/>
      <c r="AU1200" s="87"/>
      <c r="AV1200" s="87"/>
      <c r="AW1200" s="88" t="str">
        <f>HYPERLINK("http://www.openstreetmap.org/?mlat=33.8437&amp;mlon=44.6444&amp;zoom=12#map=12/33.8437/44.6444","Maplink1")</f>
        <v>Maplink1</v>
      </c>
      <c r="AX1200" s="88" t="str">
        <f>HYPERLINK("https://www.google.iq/maps/search/+33.8437,44.6444/@33.8437,44.6444,14z?hl=en","Maplink2")</f>
        <v>Maplink2</v>
      </c>
      <c r="AY1200" s="88" t="str">
        <f>HYPERLINK("http://www.bing.com/maps/?lvl=14&amp;sty=h&amp;cp=33.8437~44.6444&amp;sp=point.33.8437_44.6444","Maplink3")</f>
        <v>Maplink3</v>
      </c>
      <c r="AZ1200" s="76"/>
    </row>
    <row r="1201" spans="1:52" x14ac:dyDescent="0.25">
      <c r="A1201" s="86">
        <v>11217</v>
      </c>
      <c r="B1201" s="87" t="s">
        <v>17</v>
      </c>
      <c r="C1201" s="87" t="s">
        <v>2316</v>
      </c>
      <c r="D1201" s="87" t="s">
        <v>2397</v>
      </c>
      <c r="E1201" s="87" t="s">
        <v>2398</v>
      </c>
      <c r="F1201" s="87">
        <v>33.754794395600001</v>
      </c>
      <c r="G1201" s="87">
        <v>44.658557281599997</v>
      </c>
      <c r="H1201" s="86">
        <v>47</v>
      </c>
      <c r="I1201" s="86">
        <v>282</v>
      </c>
      <c r="J1201" s="87"/>
      <c r="K1201" s="87"/>
      <c r="L1201" s="87"/>
      <c r="M1201" s="87"/>
      <c r="N1201" s="87"/>
      <c r="O1201" s="87">
        <v>47</v>
      </c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>
        <v>45</v>
      </c>
      <c r="AI1201" s="87">
        <v>2</v>
      </c>
      <c r="AJ1201" s="87"/>
      <c r="AK1201" s="87"/>
      <c r="AL1201" s="87"/>
      <c r="AM1201" s="87"/>
      <c r="AN1201" s="87"/>
      <c r="AO1201" s="87">
        <v>47</v>
      </c>
      <c r="AP1201" s="87"/>
      <c r="AQ1201" s="87"/>
      <c r="AR1201" s="87"/>
      <c r="AS1201" s="87"/>
      <c r="AT1201" s="87"/>
      <c r="AU1201" s="87"/>
      <c r="AV1201" s="87"/>
      <c r="AW1201" s="88" t="str">
        <f>HYPERLINK("http://www.openstreetmap.org/?mlat=33.7548&amp;mlon=44.6586&amp;zoom=12#map=12/33.7548/44.6586","Maplink1")</f>
        <v>Maplink1</v>
      </c>
      <c r="AX1201" s="88" t="str">
        <f>HYPERLINK("https://www.google.iq/maps/search/+33.7548,44.6586/@33.7548,44.6586,14z?hl=en","Maplink2")</f>
        <v>Maplink2</v>
      </c>
      <c r="AY1201" s="88" t="str">
        <f>HYPERLINK("http://www.bing.com/maps/?lvl=14&amp;sty=h&amp;cp=33.7548~44.6586&amp;sp=point.33.7548_44.6586","Maplink3")</f>
        <v>Maplink3</v>
      </c>
      <c r="AZ1201" s="76"/>
    </row>
    <row r="1202" spans="1:52" x14ac:dyDescent="0.25">
      <c r="A1202" s="86">
        <v>25048</v>
      </c>
      <c r="B1202" s="87" t="s">
        <v>17</v>
      </c>
      <c r="C1202" s="87" t="s">
        <v>2316</v>
      </c>
      <c r="D1202" s="87" t="s">
        <v>2399</v>
      </c>
      <c r="E1202" s="87" t="s">
        <v>2400</v>
      </c>
      <c r="F1202" s="87">
        <v>33.671727886200003</v>
      </c>
      <c r="G1202" s="87">
        <v>44.813191146900003</v>
      </c>
      <c r="H1202" s="86">
        <v>10</v>
      </c>
      <c r="I1202" s="86">
        <v>60</v>
      </c>
      <c r="J1202" s="87"/>
      <c r="K1202" s="87"/>
      <c r="L1202" s="87"/>
      <c r="M1202" s="87"/>
      <c r="N1202" s="87"/>
      <c r="O1202" s="87">
        <v>10</v>
      </c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>
        <v>10</v>
      </c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>
        <v>10</v>
      </c>
      <c r="AR1202" s="87"/>
      <c r="AS1202" s="87"/>
      <c r="AT1202" s="87"/>
      <c r="AU1202" s="87"/>
      <c r="AV1202" s="87"/>
      <c r="AW1202" s="88" t="str">
        <f>HYPERLINK("http://www.openstreetmap.org/?mlat=33.6717&amp;mlon=44.8132&amp;zoom=12#map=12/33.6717/44.8132","Maplink1")</f>
        <v>Maplink1</v>
      </c>
      <c r="AX1202" s="88" t="str">
        <f>HYPERLINK("https://www.google.iq/maps/search/+33.6717,44.8132/@33.6717,44.8132,14z?hl=en","Maplink2")</f>
        <v>Maplink2</v>
      </c>
      <c r="AY1202" s="88" t="str">
        <f>HYPERLINK("http://www.bing.com/maps/?lvl=14&amp;sty=h&amp;cp=33.6717~44.8132&amp;sp=point.33.6717_44.8132","Maplink3")</f>
        <v>Maplink3</v>
      </c>
      <c r="AZ1202" s="76"/>
    </row>
    <row r="1203" spans="1:52" x14ac:dyDescent="0.25">
      <c r="A1203" s="86">
        <v>11200</v>
      </c>
      <c r="B1203" s="87" t="s">
        <v>17</v>
      </c>
      <c r="C1203" s="87" t="s">
        <v>2316</v>
      </c>
      <c r="D1203" s="87" t="s">
        <v>2401</v>
      </c>
      <c r="E1203" s="87" t="s">
        <v>2402</v>
      </c>
      <c r="F1203" s="87">
        <v>33.804017595700003</v>
      </c>
      <c r="G1203" s="87">
        <v>44.634013059700003</v>
      </c>
      <c r="H1203" s="86">
        <v>40</v>
      </c>
      <c r="I1203" s="86">
        <v>240</v>
      </c>
      <c r="J1203" s="87"/>
      <c r="K1203" s="87"/>
      <c r="L1203" s="87"/>
      <c r="M1203" s="87"/>
      <c r="N1203" s="87"/>
      <c r="O1203" s="87">
        <v>40</v>
      </c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>
        <v>20</v>
      </c>
      <c r="AD1203" s="87"/>
      <c r="AE1203" s="87"/>
      <c r="AF1203" s="87"/>
      <c r="AG1203" s="87"/>
      <c r="AH1203" s="87">
        <v>20</v>
      </c>
      <c r="AI1203" s="87"/>
      <c r="AJ1203" s="87"/>
      <c r="AK1203" s="87"/>
      <c r="AL1203" s="87"/>
      <c r="AM1203" s="87"/>
      <c r="AN1203" s="87"/>
      <c r="AO1203" s="87"/>
      <c r="AP1203" s="87"/>
      <c r="AQ1203" s="87">
        <v>40</v>
      </c>
      <c r="AR1203" s="87"/>
      <c r="AS1203" s="87"/>
      <c r="AT1203" s="87"/>
      <c r="AU1203" s="87"/>
      <c r="AV1203" s="87"/>
      <c r="AW1203" s="88" t="str">
        <f>HYPERLINK("http://www.openstreetmap.org/?mlat=33.804&amp;mlon=44.634&amp;zoom=12#map=12/33.804/44.634","Maplink1")</f>
        <v>Maplink1</v>
      </c>
      <c r="AX1203" s="88" t="str">
        <f>HYPERLINK("https://www.google.iq/maps/search/+33.804,44.634/@33.804,44.634,14z?hl=en","Maplink2")</f>
        <v>Maplink2</v>
      </c>
      <c r="AY1203" s="88" t="str">
        <f>HYPERLINK("http://www.bing.com/maps/?lvl=14&amp;sty=h&amp;cp=33.804~44.634&amp;sp=point.33.804_44.634","Maplink3")</f>
        <v>Maplink3</v>
      </c>
      <c r="AZ1203" s="76"/>
    </row>
    <row r="1204" spans="1:52" x14ac:dyDescent="0.25">
      <c r="A1204" s="86">
        <v>11193</v>
      </c>
      <c r="B1204" s="87" t="s">
        <v>17</v>
      </c>
      <c r="C1204" s="87" t="s">
        <v>2316</v>
      </c>
      <c r="D1204" s="87" t="s">
        <v>2403</v>
      </c>
      <c r="E1204" s="87" t="s">
        <v>2404</v>
      </c>
      <c r="F1204" s="87">
        <v>33.814191911800002</v>
      </c>
      <c r="G1204" s="87">
        <v>44.657431670900003</v>
      </c>
      <c r="H1204" s="86">
        <v>81</v>
      </c>
      <c r="I1204" s="86">
        <v>486</v>
      </c>
      <c r="J1204" s="87"/>
      <c r="K1204" s="87"/>
      <c r="L1204" s="87"/>
      <c r="M1204" s="87"/>
      <c r="N1204" s="87"/>
      <c r="O1204" s="87">
        <v>81</v>
      </c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>
        <v>53</v>
      </c>
      <c r="AD1204" s="87"/>
      <c r="AE1204" s="87"/>
      <c r="AF1204" s="87"/>
      <c r="AG1204" s="87"/>
      <c r="AH1204" s="87">
        <v>28</v>
      </c>
      <c r="AI1204" s="87"/>
      <c r="AJ1204" s="87"/>
      <c r="AK1204" s="87"/>
      <c r="AL1204" s="87"/>
      <c r="AM1204" s="87"/>
      <c r="AN1204" s="87"/>
      <c r="AO1204" s="87"/>
      <c r="AP1204" s="87">
        <v>81</v>
      </c>
      <c r="AQ1204" s="87"/>
      <c r="AR1204" s="87"/>
      <c r="AS1204" s="87"/>
      <c r="AT1204" s="87"/>
      <c r="AU1204" s="87"/>
      <c r="AV1204" s="87"/>
      <c r="AW1204" s="88" t="str">
        <f>HYPERLINK("http://www.openstreetmap.org/?mlat=33.8142&amp;mlon=44.6574&amp;zoom=12#map=12/33.8142/44.6574","Maplink1")</f>
        <v>Maplink1</v>
      </c>
      <c r="AX1204" s="88" t="str">
        <f>HYPERLINK("https://www.google.iq/maps/search/+33.8142,44.6574/@33.8142,44.6574,14z?hl=en","Maplink2")</f>
        <v>Maplink2</v>
      </c>
      <c r="AY1204" s="88" t="str">
        <f>HYPERLINK("http://www.bing.com/maps/?lvl=14&amp;sty=h&amp;cp=33.8142~44.6574&amp;sp=point.33.8142_44.6574","Maplink3")</f>
        <v>Maplink3</v>
      </c>
      <c r="AZ1204" s="76"/>
    </row>
    <row r="1205" spans="1:52" x14ac:dyDescent="0.25">
      <c r="A1205" s="86">
        <v>11363</v>
      </c>
      <c r="B1205" s="87" t="s">
        <v>17</v>
      </c>
      <c r="C1205" s="87" t="s">
        <v>2316</v>
      </c>
      <c r="D1205" s="87" t="s">
        <v>2405</v>
      </c>
      <c r="E1205" s="87" t="s">
        <v>2406</v>
      </c>
      <c r="F1205" s="87">
        <v>33.690907279400001</v>
      </c>
      <c r="G1205" s="87">
        <v>44.798416552699997</v>
      </c>
      <c r="H1205" s="86">
        <v>50</v>
      </c>
      <c r="I1205" s="86">
        <v>300</v>
      </c>
      <c r="J1205" s="87"/>
      <c r="K1205" s="87"/>
      <c r="L1205" s="87"/>
      <c r="M1205" s="87"/>
      <c r="N1205" s="87"/>
      <c r="O1205" s="87">
        <v>50</v>
      </c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>
        <v>35</v>
      </c>
      <c r="AD1205" s="87"/>
      <c r="AE1205" s="87"/>
      <c r="AF1205" s="87"/>
      <c r="AG1205" s="87"/>
      <c r="AH1205" s="87">
        <v>15</v>
      </c>
      <c r="AI1205" s="87"/>
      <c r="AJ1205" s="87"/>
      <c r="AK1205" s="87"/>
      <c r="AL1205" s="87"/>
      <c r="AM1205" s="87"/>
      <c r="AN1205" s="87"/>
      <c r="AO1205" s="87"/>
      <c r="AP1205" s="87">
        <v>43</v>
      </c>
      <c r="AQ1205" s="87"/>
      <c r="AR1205" s="87"/>
      <c r="AS1205" s="87"/>
      <c r="AT1205" s="87"/>
      <c r="AU1205" s="87">
        <v>7</v>
      </c>
      <c r="AV1205" s="87"/>
      <c r="AW1205" s="88" t="str">
        <f>HYPERLINK("http://www.openstreetmap.org/?mlat=33.6909&amp;mlon=44.7984&amp;zoom=12#map=12/33.6909/44.7984","Maplink1")</f>
        <v>Maplink1</v>
      </c>
      <c r="AX1205" s="88" t="str">
        <f>HYPERLINK("https://www.google.iq/maps/search/+33.6909,44.7984/@33.6909,44.7984,14z?hl=en","Maplink2")</f>
        <v>Maplink2</v>
      </c>
      <c r="AY1205" s="88" t="str">
        <f>HYPERLINK("http://www.bing.com/maps/?lvl=14&amp;sty=h&amp;cp=33.6909~44.7984&amp;sp=point.33.6909_44.7984","Maplink3")</f>
        <v>Maplink3</v>
      </c>
      <c r="AZ1205" s="76"/>
    </row>
    <row r="1206" spans="1:52" x14ac:dyDescent="0.25">
      <c r="A1206" s="86">
        <v>23709</v>
      </c>
      <c r="B1206" s="87" t="s">
        <v>17</v>
      </c>
      <c r="C1206" s="87" t="s">
        <v>2316</v>
      </c>
      <c r="D1206" s="87" t="s">
        <v>2407</v>
      </c>
      <c r="E1206" s="87" t="s">
        <v>2408</v>
      </c>
      <c r="F1206" s="87">
        <v>33.564540699200002</v>
      </c>
      <c r="G1206" s="87">
        <v>44.4322712142</v>
      </c>
      <c r="H1206" s="86">
        <v>25</v>
      </c>
      <c r="I1206" s="86">
        <v>150</v>
      </c>
      <c r="J1206" s="87">
        <v>5</v>
      </c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>
        <v>20</v>
      </c>
      <c r="Y1206" s="87"/>
      <c r="Z1206" s="87"/>
      <c r="AA1206" s="87"/>
      <c r="AB1206" s="87"/>
      <c r="AC1206" s="87">
        <v>5</v>
      </c>
      <c r="AD1206" s="87"/>
      <c r="AE1206" s="87"/>
      <c r="AF1206" s="87"/>
      <c r="AG1206" s="87"/>
      <c r="AH1206" s="87">
        <v>20</v>
      </c>
      <c r="AI1206" s="87"/>
      <c r="AJ1206" s="87"/>
      <c r="AK1206" s="87"/>
      <c r="AL1206" s="87"/>
      <c r="AM1206" s="87"/>
      <c r="AN1206" s="87">
        <v>25</v>
      </c>
      <c r="AO1206" s="87"/>
      <c r="AP1206" s="87"/>
      <c r="AQ1206" s="87"/>
      <c r="AR1206" s="87"/>
      <c r="AS1206" s="87"/>
      <c r="AT1206" s="87"/>
      <c r="AU1206" s="87"/>
      <c r="AV1206" s="87"/>
      <c r="AW1206" s="88" t="str">
        <f>HYPERLINK("http://www.openstreetmap.org/?mlat=33.5645&amp;mlon=44.4323&amp;zoom=12#map=12/33.5645/44.4323","Maplink1")</f>
        <v>Maplink1</v>
      </c>
      <c r="AX1206" s="88" t="str">
        <f>HYPERLINK("https://www.google.iq/maps/search/+33.5645,44.4323/@33.5645,44.4323,14z?hl=en","Maplink2")</f>
        <v>Maplink2</v>
      </c>
      <c r="AY1206" s="88" t="str">
        <f>HYPERLINK("http://www.bing.com/maps/?lvl=14&amp;sty=h&amp;cp=33.5645~44.4323&amp;sp=point.33.5645_44.4323","Maplink3")</f>
        <v>Maplink3</v>
      </c>
      <c r="AZ1206" s="76"/>
    </row>
    <row r="1207" spans="1:52" x14ac:dyDescent="0.25">
      <c r="A1207" s="86">
        <v>24776</v>
      </c>
      <c r="B1207" s="87" t="s">
        <v>17</v>
      </c>
      <c r="C1207" s="87" t="s">
        <v>2316</v>
      </c>
      <c r="D1207" s="87" t="s">
        <v>2409</v>
      </c>
      <c r="E1207" s="87" t="s">
        <v>2410</v>
      </c>
      <c r="F1207" s="87">
        <v>33.749387564300001</v>
      </c>
      <c r="G1207" s="87">
        <v>44.663192457500003</v>
      </c>
      <c r="H1207" s="86">
        <v>122</v>
      </c>
      <c r="I1207" s="86">
        <v>732</v>
      </c>
      <c r="J1207" s="87"/>
      <c r="K1207" s="87"/>
      <c r="L1207" s="87"/>
      <c r="M1207" s="87"/>
      <c r="N1207" s="87"/>
      <c r="O1207" s="87">
        <v>116</v>
      </c>
      <c r="P1207" s="87"/>
      <c r="Q1207" s="87"/>
      <c r="R1207" s="87"/>
      <c r="S1207" s="87"/>
      <c r="T1207" s="87"/>
      <c r="U1207" s="87"/>
      <c r="V1207" s="87">
        <v>1</v>
      </c>
      <c r="W1207" s="87"/>
      <c r="X1207" s="87">
        <v>5</v>
      </c>
      <c r="Y1207" s="87"/>
      <c r="Z1207" s="87"/>
      <c r="AA1207" s="87"/>
      <c r="AB1207" s="87">
        <v>122</v>
      </c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>
        <v>1</v>
      </c>
      <c r="AO1207" s="87">
        <v>38</v>
      </c>
      <c r="AP1207" s="87"/>
      <c r="AQ1207" s="87">
        <v>83</v>
      </c>
      <c r="AR1207" s="87"/>
      <c r="AS1207" s="87"/>
      <c r="AT1207" s="87"/>
      <c r="AU1207" s="87"/>
      <c r="AV1207" s="87"/>
      <c r="AW1207" s="88" t="str">
        <f>HYPERLINK("http://www.openstreetmap.org/?mlat=33.7494&amp;mlon=44.6632&amp;zoom=12#map=12/33.7494/44.6632","Maplink1")</f>
        <v>Maplink1</v>
      </c>
      <c r="AX1207" s="88" t="str">
        <f>HYPERLINK("https://www.google.iq/maps/search/+33.7494,44.6632/@33.7494,44.6632,14z?hl=en","Maplink2")</f>
        <v>Maplink2</v>
      </c>
      <c r="AY1207" s="88" t="str">
        <f>HYPERLINK("http://www.bing.com/maps/?lvl=14&amp;sty=h&amp;cp=33.7494~44.6632&amp;sp=point.33.7494_44.6632","Maplink3")</f>
        <v>Maplink3</v>
      </c>
      <c r="AZ1207" s="76"/>
    </row>
    <row r="1208" spans="1:52" x14ac:dyDescent="0.25">
      <c r="A1208" s="86">
        <v>11208</v>
      </c>
      <c r="B1208" s="87" t="s">
        <v>17</v>
      </c>
      <c r="C1208" s="87" t="s">
        <v>2316</v>
      </c>
      <c r="D1208" s="87" t="s">
        <v>2411</v>
      </c>
      <c r="E1208" s="87" t="s">
        <v>2412</v>
      </c>
      <c r="F1208" s="87">
        <v>33.752339612699998</v>
      </c>
      <c r="G1208" s="87">
        <v>44.666497351700002</v>
      </c>
      <c r="H1208" s="86">
        <v>63</v>
      </c>
      <c r="I1208" s="86">
        <v>378</v>
      </c>
      <c r="J1208" s="87"/>
      <c r="K1208" s="87"/>
      <c r="L1208" s="87"/>
      <c r="M1208" s="87"/>
      <c r="N1208" s="87"/>
      <c r="O1208" s="87">
        <v>63</v>
      </c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>
        <v>20</v>
      </c>
      <c r="AD1208" s="87"/>
      <c r="AE1208" s="87"/>
      <c r="AF1208" s="87"/>
      <c r="AG1208" s="87"/>
      <c r="AH1208" s="87">
        <v>30</v>
      </c>
      <c r="AI1208" s="87">
        <v>13</v>
      </c>
      <c r="AJ1208" s="87"/>
      <c r="AK1208" s="87"/>
      <c r="AL1208" s="87"/>
      <c r="AM1208" s="87"/>
      <c r="AN1208" s="87"/>
      <c r="AO1208" s="87"/>
      <c r="AP1208" s="87"/>
      <c r="AQ1208" s="87">
        <v>63</v>
      </c>
      <c r="AR1208" s="87"/>
      <c r="AS1208" s="87"/>
      <c r="AT1208" s="87"/>
      <c r="AU1208" s="87"/>
      <c r="AV1208" s="87"/>
      <c r="AW1208" s="88" t="str">
        <f>HYPERLINK("http://www.openstreetmap.org/?mlat=33.7523&amp;mlon=44.6665&amp;zoom=12#map=12/33.7523/44.6665","Maplink1")</f>
        <v>Maplink1</v>
      </c>
      <c r="AX1208" s="88" t="str">
        <f>HYPERLINK("https://www.google.iq/maps/search/+33.7523,44.6665/@33.7523,44.6665,14z?hl=en","Maplink2")</f>
        <v>Maplink2</v>
      </c>
      <c r="AY1208" s="88" t="str">
        <f>HYPERLINK("http://www.bing.com/maps/?lvl=14&amp;sty=h&amp;cp=33.7523~44.6665&amp;sp=point.33.7523_44.6665","Maplink3")</f>
        <v>Maplink3</v>
      </c>
      <c r="AZ1208" s="76"/>
    </row>
    <row r="1209" spans="1:52" x14ac:dyDescent="0.25">
      <c r="A1209" s="86">
        <v>24919</v>
      </c>
      <c r="B1209" s="87" t="s">
        <v>17</v>
      </c>
      <c r="C1209" s="87" t="s">
        <v>2316</v>
      </c>
      <c r="D1209" s="87" t="s">
        <v>2413</v>
      </c>
      <c r="E1209" s="87" t="s">
        <v>2414</v>
      </c>
      <c r="F1209" s="87">
        <v>33.801934233499999</v>
      </c>
      <c r="G1209" s="87">
        <v>44.651283546099997</v>
      </c>
      <c r="H1209" s="86">
        <v>15</v>
      </c>
      <c r="I1209" s="86">
        <v>90</v>
      </c>
      <c r="J1209" s="87"/>
      <c r="K1209" s="87"/>
      <c r="L1209" s="87"/>
      <c r="M1209" s="87"/>
      <c r="N1209" s="87"/>
      <c r="O1209" s="87">
        <v>15</v>
      </c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>
        <v>15</v>
      </c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>
        <v>15</v>
      </c>
      <c r="AR1209" s="87"/>
      <c r="AS1209" s="87"/>
      <c r="AT1209" s="87"/>
      <c r="AU1209" s="87"/>
      <c r="AV1209" s="87"/>
      <c r="AW1209" s="88" t="str">
        <f>HYPERLINK("http://www.openstreetmap.org/?mlat=33.8019&amp;mlon=44.6513&amp;zoom=12#map=12/33.8019/44.6513","Maplink1")</f>
        <v>Maplink1</v>
      </c>
      <c r="AX1209" s="88" t="str">
        <f>HYPERLINK("https://www.google.iq/maps/search/+33.8019,44.6513/@33.8019,44.6513,14z?hl=en","Maplink2")</f>
        <v>Maplink2</v>
      </c>
      <c r="AY1209" s="88" t="str">
        <f>HYPERLINK("http://www.bing.com/maps/?lvl=14&amp;sty=h&amp;cp=33.8019~44.6513&amp;sp=point.33.8019_44.6513","Maplink3")</f>
        <v>Maplink3</v>
      </c>
      <c r="AZ1209" s="76"/>
    </row>
    <row r="1210" spans="1:52" x14ac:dyDescent="0.25">
      <c r="A1210" s="86">
        <v>25043</v>
      </c>
      <c r="B1210" s="87" t="s">
        <v>17</v>
      </c>
      <c r="C1210" s="87" t="s">
        <v>2316</v>
      </c>
      <c r="D1210" s="87" t="s">
        <v>2415</v>
      </c>
      <c r="E1210" s="87" t="s">
        <v>2416</v>
      </c>
      <c r="F1210" s="87">
        <v>33.719448010400001</v>
      </c>
      <c r="G1210" s="87">
        <v>44.774007046199998</v>
      </c>
      <c r="H1210" s="86">
        <v>20</v>
      </c>
      <c r="I1210" s="86">
        <v>120</v>
      </c>
      <c r="J1210" s="87"/>
      <c r="K1210" s="87"/>
      <c r="L1210" s="87"/>
      <c r="M1210" s="87"/>
      <c r="N1210" s="87"/>
      <c r="O1210" s="87">
        <v>20</v>
      </c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>
        <v>15</v>
      </c>
      <c r="AD1210" s="87"/>
      <c r="AE1210" s="87"/>
      <c r="AF1210" s="87"/>
      <c r="AG1210" s="87"/>
      <c r="AH1210" s="87">
        <v>5</v>
      </c>
      <c r="AI1210" s="87"/>
      <c r="AJ1210" s="87"/>
      <c r="AK1210" s="87"/>
      <c r="AL1210" s="87"/>
      <c r="AM1210" s="87"/>
      <c r="AN1210" s="87"/>
      <c r="AO1210" s="87"/>
      <c r="AP1210" s="87"/>
      <c r="AQ1210" s="87">
        <v>20</v>
      </c>
      <c r="AR1210" s="87"/>
      <c r="AS1210" s="87"/>
      <c r="AT1210" s="87"/>
      <c r="AU1210" s="87"/>
      <c r="AV1210" s="87"/>
      <c r="AW1210" s="88" t="str">
        <f>HYPERLINK("http://www.openstreetmap.org/?mlat=33.7194&amp;mlon=44.774&amp;zoom=12#map=12/33.7194/44.774","Maplink1")</f>
        <v>Maplink1</v>
      </c>
      <c r="AX1210" s="88" t="str">
        <f>HYPERLINK("https://www.google.iq/maps/search/+33.7194,44.774/@33.7194,44.774,14z?hl=en","Maplink2")</f>
        <v>Maplink2</v>
      </c>
      <c r="AY1210" s="88" t="str">
        <f>HYPERLINK("http://www.bing.com/maps/?lvl=14&amp;sty=h&amp;cp=33.7194~44.774&amp;sp=point.33.7194_44.774","Maplink3")</f>
        <v>Maplink3</v>
      </c>
      <c r="AZ1210" s="76"/>
    </row>
    <row r="1211" spans="1:52" x14ac:dyDescent="0.25">
      <c r="A1211" s="86">
        <v>25466</v>
      </c>
      <c r="B1211" s="87" t="s">
        <v>17</v>
      </c>
      <c r="C1211" s="87" t="s">
        <v>2316</v>
      </c>
      <c r="D1211" s="87" t="s">
        <v>2417</v>
      </c>
      <c r="E1211" s="87" t="s">
        <v>2418</v>
      </c>
      <c r="F1211" s="87">
        <v>33.746960851799997</v>
      </c>
      <c r="G1211" s="87">
        <v>44.629396220899999</v>
      </c>
      <c r="H1211" s="86">
        <v>15</v>
      </c>
      <c r="I1211" s="86">
        <v>90</v>
      </c>
      <c r="J1211" s="87"/>
      <c r="K1211" s="87"/>
      <c r="L1211" s="87"/>
      <c r="M1211" s="87"/>
      <c r="N1211" s="87"/>
      <c r="O1211" s="87">
        <v>15</v>
      </c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>
        <v>15</v>
      </c>
      <c r="AI1211" s="87"/>
      <c r="AJ1211" s="87"/>
      <c r="AK1211" s="87"/>
      <c r="AL1211" s="87"/>
      <c r="AM1211" s="87"/>
      <c r="AN1211" s="87"/>
      <c r="AO1211" s="87">
        <v>15</v>
      </c>
      <c r="AP1211" s="87"/>
      <c r="AQ1211" s="87"/>
      <c r="AR1211" s="87"/>
      <c r="AS1211" s="87"/>
      <c r="AT1211" s="87"/>
      <c r="AU1211" s="87"/>
      <c r="AV1211" s="87"/>
      <c r="AW1211" s="88" t="str">
        <f>HYPERLINK("http://www.openstreetmap.org/?mlat=33.747&amp;mlon=44.6294&amp;zoom=12#map=12/33.747/44.6294","Maplink1")</f>
        <v>Maplink1</v>
      </c>
      <c r="AX1211" s="88" t="str">
        <f>HYPERLINK("https://www.google.iq/maps/search/+33.747,44.6294/@33.747,44.6294,14z?hl=en","Maplink2")</f>
        <v>Maplink2</v>
      </c>
      <c r="AY1211" s="88" t="str">
        <f>HYPERLINK("http://www.bing.com/maps/?lvl=14&amp;sty=h&amp;cp=33.747~44.6294&amp;sp=point.33.747_44.6294","Maplink3")</f>
        <v>Maplink3</v>
      </c>
      <c r="AZ1211" s="76"/>
    </row>
    <row r="1212" spans="1:52" x14ac:dyDescent="0.25">
      <c r="A1212" s="86">
        <v>25042</v>
      </c>
      <c r="B1212" s="87" t="s">
        <v>17</v>
      </c>
      <c r="C1212" s="87" t="s">
        <v>2316</v>
      </c>
      <c r="D1212" s="87" t="s">
        <v>2419</v>
      </c>
      <c r="E1212" s="87" t="s">
        <v>2420</v>
      </c>
      <c r="F1212" s="87">
        <v>33.6887723866</v>
      </c>
      <c r="G1212" s="87">
        <v>44.828645611200002</v>
      </c>
      <c r="H1212" s="86">
        <v>18</v>
      </c>
      <c r="I1212" s="86">
        <v>108</v>
      </c>
      <c r="J1212" s="87"/>
      <c r="K1212" s="87"/>
      <c r="L1212" s="87"/>
      <c r="M1212" s="87"/>
      <c r="N1212" s="87"/>
      <c r="O1212" s="87">
        <v>18</v>
      </c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>
        <v>14</v>
      </c>
      <c r="AI1212" s="87">
        <v>4</v>
      </c>
      <c r="AJ1212" s="87"/>
      <c r="AK1212" s="87"/>
      <c r="AL1212" s="87"/>
      <c r="AM1212" s="87"/>
      <c r="AN1212" s="87"/>
      <c r="AO1212" s="87"/>
      <c r="AP1212" s="87"/>
      <c r="AQ1212" s="87">
        <v>18</v>
      </c>
      <c r="AR1212" s="87"/>
      <c r="AS1212" s="87"/>
      <c r="AT1212" s="87"/>
      <c r="AU1212" s="87"/>
      <c r="AV1212" s="87"/>
      <c r="AW1212" s="88" t="str">
        <f>HYPERLINK("http://www.openstreetmap.org/?mlat=33.6888&amp;mlon=44.8286&amp;zoom=12#map=12/33.6888/44.8286","Maplink1")</f>
        <v>Maplink1</v>
      </c>
      <c r="AX1212" s="88" t="str">
        <f>HYPERLINK("https://www.google.iq/maps/search/+33.6888,44.8286/@33.6888,44.8286,14z?hl=en","Maplink2")</f>
        <v>Maplink2</v>
      </c>
      <c r="AY1212" s="88" t="str">
        <f>HYPERLINK("http://www.bing.com/maps/?lvl=14&amp;sty=h&amp;cp=33.6888~44.8286&amp;sp=point.33.6888_44.8286","Maplink3")</f>
        <v>Maplink3</v>
      </c>
      <c r="AZ1212" s="76"/>
    </row>
    <row r="1213" spans="1:52" x14ac:dyDescent="0.25">
      <c r="A1213" s="86">
        <v>11212</v>
      </c>
      <c r="B1213" s="87" t="s">
        <v>17</v>
      </c>
      <c r="C1213" s="87" t="s">
        <v>2316</v>
      </c>
      <c r="D1213" s="87" t="s">
        <v>2421</v>
      </c>
      <c r="E1213" s="87" t="s">
        <v>2422</v>
      </c>
      <c r="F1213" s="87">
        <v>33.740250644100001</v>
      </c>
      <c r="G1213" s="87">
        <v>44.634293042899998</v>
      </c>
      <c r="H1213" s="86">
        <v>5</v>
      </c>
      <c r="I1213" s="86">
        <v>30</v>
      </c>
      <c r="J1213" s="87"/>
      <c r="K1213" s="87"/>
      <c r="L1213" s="87"/>
      <c r="M1213" s="87"/>
      <c r="N1213" s="87"/>
      <c r="O1213" s="87">
        <v>5</v>
      </c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>
        <v>5</v>
      </c>
      <c r="AI1213" s="87"/>
      <c r="AJ1213" s="87"/>
      <c r="AK1213" s="87"/>
      <c r="AL1213" s="87"/>
      <c r="AM1213" s="87"/>
      <c r="AN1213" s="87"/>
      <c r="AO1213" s="87"/>
      <c r="AP1213" s="87"/>
      <c r="AQ1213" s="87">
        <v>5</v>
      </c>
      <c r="AR1213" s="87"/>
      <c r="AS1213" s="87"/>
      <c r="AT1213" s="87"/>
      <c r="AU1213" s="87"/>
      <c r="AV1213" s="87"/>
      <c r="AW1213" s="88" t="str">
        <f>HYPERLINK("http://www.openstreetmap.org/?mlat=33.7403&amp;mlon=44.6343&amp;zoom=12#map=12/33.7403/44.6343","Maplink1")</f>
        <v>Maplink1</v>
      </c>
      <c r="AX1213" s="88" t="str">
        <f>HYPERLINK("https://www.google.iq/maps/search/+33.7403,44.6343/@33.7403,44.6343,14z?hl=en","Maplink2")</f>
        <v>Maplink2</v>
      </c>
      <c r="AY1213" s="88" t="str">
        <f>HYPERLINK("http://www.bing.com/maps/?lvl=14&amp;sty=h&amp;cp=33.7403~44.6343&amp;sp=point.33.7403_44.6343","Maplink3")</f>
        <v>Maplink3</v>
      </c>
      <c r="AZ1213" s="76"/>
    </row>
    <row r="1214" spans="1:52" x14ac:dyDescent="0.25">
      <c r="A1214" s="86">
        <v>24914</v>
      </c>
      <c r="B1214" s="87" t="s">
        <v>17</v>
      </c>
      <c r="C1214" s="87" t="s">
        <v>2316</v>
      </c>
      <c r="D1214" s="87" t="s">
        <v>2423</v>
      </c>
      <c r="E1214" s="87" t="s">
        <v>2424</v>
      </c>
      <c r="F1214" s="87">
        <v>33.718958329700001</v>
      </c>
      <c r="G1214" s="87">
        <v>44.6223111575</v>
      </c>
      <c r="H1214" s="86">
        <v>31</v>
      </c>
      <c r="I1214" s="86">
        <v>186</v>
      </c>
      <c r="J1214" s="87"/>
      <c r="K1214" s="87"/>
      <c r="L1214" s="87"/>
      <c r="M1214" s="87"/>
      <c r="N1214" s="87"/>
      <c r="O1214" s="87">
        <v>31</v>
      </c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>
        <v>31</v>
      </c>
      <c r="AI1214" s="87"/>
      <c r="AJ1214" s="87"/>
      <c r="AK1214" s="87"/>
      <c r="AL1214" s="87"/>
      <c r="AM1214" s="87"/>
      <c r="AN1214" s="87"/>
      <c r="AO1214" s="87"/>
      <c r="AP1214" s="87"/>
      <c r="AQ1214" s="87">
        <v>31</v>
      </c>
      <c r="AR1214" s="87"/>
      <c r="AS1214" s="87"/>
      <c r="AT1214" s="87"/>
      <c r="AU1214" s="87"/>
      <c r="AV1214" s="87"/>
      <c r="AW1214" s="88" t="str">
        <f>HYPERLINK("http://www.openstreetmap.org/?mlat=33.719&amp;mlon=44.6223&amp;zoom=12#map=12/33.719/44.6223","Maplink1")</f>
        <v>Maplink1</v>
      </c>
      <c r="AX1214" s="88" t="str">
        <f>HYPERLINK("https://www.google.iq/maps/search/+33.719,44.6223/@33.719,44.6223,14z?hl=en","Maplink2")</f>
        <v>Maplink2</v>
      </c>
      <c r="AY1214" s="88" t="str">
        <f>HYPERLINK("http://www.bing.com/maps/?lvl=14&amp;sty=h&amp;cp=33.719~44.6223&amp;sp=point.33.719_44.6223","Maplink3")</f>
        <v>Maplink3</v>
      </c>
      <c r="AZ1214" s="76"/>
    </row>
    <row r="1215" spans="1:52" x14ac:dyDescent="0.25">
      <c r="A1215" s="86">
        <v>11214</v>
      </c>
      <c r="B1215" s="87" t="s">
        <v>17</v>
      </c>
      <c r="C1215" s="87" t="s">
        <v>2316</v>
      </c>
      <c r="D1215" s="87" t="s">
        <v>2425</v>
      </c>
      <c r="E1215" s="87" t="s">
        <v>2426</v>
      </c>
      <c r="F1215" s="87">
        <v>33.812166200500002</v>
      </c>
      <c r="G1215" s="87">
        <v>44.6761615534</v>
      </c>
      <c r="H1215" s="86">
        <v>50</v>
      </c>
      <c r="I1215" s="86">
        <v>300</v>
      </c>
      <c r="J1215" s="87"/>
      <c r="K1215" s="87"/>
      <c r="L1215" s="87"/>
      <c r="M1215" s="87"/>
      <c r="N1215" s="87"/>
      <c r="O1215" s="87">
        <v>50</v>
      </c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>
        <v>50</v>
      </c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>
        <v>50</v>
      </c>
      <c r="AR1215" s="87"/>
      <c r="AS1215" s="87"/>
      <c r="AT1215" s="87"/>
      <c r="AU1215" s="87"/>
      <c r="AV1215" s="87"/>
      <c r="AW1215" s="88" t="str">
        <f>HYPERLINK("http://www.openstreetmap.org/?mlat=33.8122&amp;mlon=44.6762&amp;zoom=12#map=12/33.8122/44.6762","Maplink1")</f>
        <v>Maplink1</v>
      </c>
      <c r="AX1215" s="88" t="str">
        <f>HYPERLINK("https://www.google.iq/maps/search/+33.8122,44.6762/@33.8122,44.6762,14z?hl=en","Maplink2")</f>
        <v>Maplink2</v>
      </c>
      <c r="AY1215" s="88" t="str">
        <f>HYPERLINK("http://www.bing.com/maps/?lvl=14&amp;sty=h&amp;cp=33.8122~44.6762&amp;sp=point.33.8122_44.6762","Maplink3")</f>
        <v>Maplink3</v>
      </c>
      <c r="AZ1215" s="76"/>
    </row>
    <row r="1216" spans="1:52" x14ac:dyDescent="0.25">
      <c r="A1216" s="86">
        <v>11338</v>
      </c>
      <c r="B1216" s="87" t="s">
        <v>17</v>
      </c>
      <c r="C1216" s="87" t="s">
        <v>2427</v>
      </c>
      <c r="D1216" s="87" t="s">
        <v>2428</v>
      </c>
      <c r="E1216" s="87" t="s">
        <v>2318</v>
      </c>
      <c r="F1216" s="87">
        <v>33.692349220399997</v>
      </c>
      <c r="G1216" s="87">
        <v>45.0648730184</v>
      </c>
      <c r="H1216" s="86">
        <v>2</v>
      </c>
      <c r="I1216" s="86">
        <v>12</v>
      </c>
      <c r="J1216" s="87"/>
      <c r="K1216" s="87"/>
      <c r="L1216" s="87"/>
      <c r="M1216" s="87"/>
      <c r="N1216" s="87"/>
      <c r="O1216" s="87">
        <v>2</v>
      </c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>
        <v>2</v>
      </c>
      <c r="AI1216" s="87"/>
      <c r="AJ1216" s="87"/>
      <c r="AK1216" s="87"/>
      <c r="AL1216" s="87"/>
      <c r="AM1216" s="87"/>
      <c r="AN1216" s="87"/>
      <c r="AO1216" s="87">
        <v>2</v>
      </c>
      <c r="AP1216" s="87"/>
      <c r="AQ1216" s="87"/>
      <c r="AR1216" s="87"/>
      <c r="AS1216" s="87"/>
      <c r="AT1216" s="87"/>
      <c r="AU1216" s="87"/>
      <c r="AV1216" s="87"/>
      <c r="AW1216" s="88" t="str">
        <f>HYPERLINK("http://www.openstreetmap.org/?mlat=33.6923&amp;mlon=45.0649&amp;zoom=12#map=12/33.6923/45.0649","Maplink1")</f>
        <v>Maplink1</v>
      </c>
      <c r="AX1216" s="88" t="str">
        <f>HYPERLINK("https://www.google.iq/maps/search/+33.6923,45.0649/@33.6923,45.0649,14z?hl=en","Maplink2")</f>
        <v>Maplink2</v>
      </c>
      <c r="AY1216" s="88" t="str">
        <f>HYPERLINK("http://www.bing.com/maps/?lvl=14&amp;sty=h&amp;cp=33.6923~45.0649&amp;sp=point.33.6923_45.0649","Maplink3")</f>
        <v>Maplink3</v>
      </c>
      <c r="AZ1216" s="76"/>
    </row>
    <row r="1217" spans="1:52" x14ac:dyDescent="0.25">
      <c r="A1217" s="86">
        <v>25238</v>
      </c>
      <c r="B1217" s="87" t="s">
        <v>17</v>
      </c>
      <c r="C1217" s="87" t="s">
        <v>2427</v>
      </c>
      <c r="D1217" s="87" t="s">
        <v>2429</v>
      </c>
      <c r="E1217" s="87" t="s">
        <v>2430</v>
      </c>
      <c r="F1217" s="87">
        <v>33.6953051522</v>
      </c>
      <c r="G1217" s="87">
        <v>45.077389303799997</v>
      </c>
      <c r="H1217" s="86">
        <v>7</v>
      </c>
      <c r="I1217" s="86">
        <v>42</v>
      </c>
      <c r="J1217" s="87"/>
      <c r="K1217" s="87"/>
      <c r="L1217" s="87"/>
      <c r="M1217" s="87"/>
      <c r="N1217" s="87"/>
      <c r="O1217" s="87">
        <v>7</v>
      </c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>
        <v>1</v>
      </c>
      <c r="AD1217" s="87"/>
      <c r="AE1217" s="87"/>
      <c r="AF1217" s="87"/>
      <c r="AG1217" s="87"/>
      <c r="AH1217" s="87">
        <v>6</v>
      </c>
      <c r="AI1217" s="87"/>
      <c r="AJ1217" s="87"/>
      <c r="AK1217" s="87"/>
      <c r="AL1217" s="87"/>
      <c r="AM1217" s="87"/>
      <c r="AN1217" s="87"/>
      <c r="AO1217" s="87">
        <v>7</v>
      </c>
      <c r="AP1217" s="87"/>
      <c r="AQ1217" s="87"/>
      <c r="AR1217" s="87"/>
      <c r="AS1217" s="87"/>
      <c r="AT1217" s="87"/>
      <c r="AU1217" s="87"/>
      <c r="AV1217" s="87"/>
      <c r="AW1217" s="88" t="str">
        <f>HYPERLINK("http://www.openstreetmap.org/?mlat=33.6953&amp;mlon=45.0774&amp;zoom=12#map=12/33.6953/45.0774","Maplink1")</f>
        <v>Maplink1</v>
      </c>
      <c r="AX1217" s="88" t="str">
        <f>HYPERLINK("https://www.google.iq/maps/search/+33.6953,45.0774/@33.6953,45.0774,14z?hl=en","Maplink2")</f>
        <v>Maplink2</v>
      </c>
      <c r="AY1217" s="88" t="str">
        <f>HYPERLINK("http://www.bing.com/maps/?lvl=14&amp;sty=h&amp;cp=33.6953~45.0774&amp;sp=point.33.6953_45.0774","Maplink3")</f>
        <v>Maplink3</v>
      </c>
      <c r="AZ1217" s="76"/>
    </row>
    <row r="1218" spans="1:52" x14ac:dyDescent="0.25">
      <c r="A1218" s="86">
        <v>11231</v>
      </c>
      <c r="B1218" s="87" t="s">
        <v>17</v>
      </c>
      <c r="C1218" s="87" t="s">
        <v>2427</v>
      </c>
      <c r="D1218" s="87" t="s">
        <v>2431</v>
      </c>
      <c r="E1218" s="87" t="s">
        <v>2432</v>
      </c>
      <c r="F1218" s="87">
        <v>33.698964479600001</v>
      </c>
      <c r="G1218" s="87">
        <v>45.078145425999999</v>
      </c>
      <c r="H1218" s="86">
        <v>3</v>
      </c>
      <c r="I1218" s="86">
        <v>18</v>
      </c>
      <c r="J1218" s="87"/>
      <c r="K1218" s="87"/>
      <c r="L1218" s="87"/>
      <c r="M1218" s="87"/>
      <c r="N1218" s="87"/>
      <c r="O1218" s="87">
        <v>3</v>
      </c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>
        <v>3</v>
      </c>
      <c r="AI1218" s="87"/>
      <c r="AJ1218" s="87"/>
      <c r="AK1218" s="87"/>
      <c r="AL1218" s="87"/>
      <c r="AM1218" s="87"/>
      <c r="AN1218" s="87"/>
      <c r="AO1218" s="87">
        <v>3</v>
      </c>
      <c r="AP1218" s="87"/>
      <c r="AQ1218" s="87"/>
      <c r="AR1218" s="87"/>
      <c r="AS1218" s="87"/>
      <c r="AT1218" s="87"/>
      <c r="AU1218" s="87"/>
      <c r="AV1218" s="87"/>
      <c r="AW1218" s="88" t="str">
        <f>HYPERLINK("http://www.openstreetmap.org/?mlat=33.699&amp;mlon=45.0781&amp;zoom=12#map=12/33.699/45.0781","Maplink1")</f>
        <v>Maplink1</v>
      </c>
      <c r="AX1218" s="88" t="str">
        <f>HYPERLINK("https://www.google.iq/maps/search/+33.699,45.0781/@33.699,45.0781,14z?hl=en","Maplink2")</f>
        <v>Maplink2</v>
      </c>
      <c r="AY1218" s="88" t="str">
        <f>HYPERLINK("http://www.bing.com/maps/?lvl=14&amp;sty=h&amp;cp=33.699~45.0781&amp;sp=point.33.699_45.0781","Maplink3")</f>
        <v>Maplink3</v>
      </c>
      <c r="AZ1218" s="76"/>
    </row>
    <row r="1219" spans="1:52" x14ac:dyDescent="0.25">
      <c r="A1219" s="86">
        <v>11226</v>
      </c>
      <c r="B1219" s="87" t="s">
        <v>17</v>
      </c>
      <c r="C1219" s="87" t="s">
        <v>2427</v>
      </c>
      <c r="D1219" s="87" t="s">
        <v>2433</v>
      </c>
      <c r="E1219" s="87" t="s">
        <v>2388</v>
      </c>
      <c r="F1219" s="87">
        <v>33.686790688899997</v>
      </c>
      <c r="G1219" s="87">
        <v>45.065959569599997</v>
      </c>
      <c r="H1219" s="86">
        <v>5</v>
      </c>
      <c r="I1219" s="86">
        <v>30</v>
      </c>
      <c r="J1219" s="87"/>
      <c r="K1219" s="87"/>
      <c r="L1219" s="87"/>
      <c r="M1219" s="87"/>
      <c r="N1219" s="87"/>
      <c r="O1219" s="87">
        <v>5</v>
      </c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>
        <v>5</v>
      </c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>
        <v>5</v>
      </c>
      <c r="AP1219" s="87"/>
      <c r="AQ1219" s="87"/>
      <c r="AR1219" s="87"/>
      <c r="AS1219" s="87"/>
      <c r="AT1219" s="87"/>
      <c r="AU1219" s="87"/>
      <c r="AV1219" s="87"/>
      <c r="AW1219" s="88" t="str">
        <f>HYPERLINK("http://www.openstreetmap.org/?mlat=33.6868&amp;mlon=45.066&amp;zoom=12#map=12/33.6868/45.066","Maplink1")</f>
        <v>Maplink1</v>
      </c>
      <c r="AX1219" s="88" t="str">
        <f>HYPERLINK("https://www.google.iq/maps/search/+33.6868,45.066/@33.6868,45.066,14z?hl=en","Maplink2")</f>
        <v>Maplink2</v>
      </c>
      <c r="AY1219" s="88" t="str">
        <f>HYPERLINK("http://www.bing.com/maps/?lvl=14&amp;sty=h&amp;cp=33.6868~45.066&amp;sp=point.33.6868_45.066","Maplink3")</f>
        <v>Maplink3</v>
      </c>
      <c r="AZ1219" s="76"/>
    </row>
    <row r="1220" spans="1:52" x14ac:dyDescent="0.25">
      <c r="A1220" s="86">
        <v>11547</v>
      </c>
      <c r="B1220" s="87" t="s">
        <v>17</v>
      </c>
      <c r="C1220" s="87" t="s">
        <v>2427</v>
      </c>
      <c r="D1220" s="87" t="s">
        <v>2434</v>
      </c>
      <c r="E1220" s="87" t="s">
        <v>2435</v>
      </c>
      <c r="F1220" s="87">
        <v>33.697558209900002</v>
      </c>
      <c r="G1220" s="87">
        <v>45.063118467400002</v>
      </c>
      <c r="H1220" s="86">
        <v>4</v>
      </c>
      <c r="I1220" s="86">
        <v>24</v>
      </c>
      <c r="J1220" s="87"/>
      <c r="K1220" s="87"/>
      <c r="L1220" s="87"/>
      <c r="M1220" s="87"/>
      <c r="N1220" s="87"/>
      <c r="O1220" s="87">
        <v>4</v>
      </c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>
        <v>4</v>
      </c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>
        <v>4</v>
      </c>
      <c r="AP1220" s="87"/>
      <c r="AQ1220" s="87"/>
      <c r="AR1220" s="87"/>
      <c r="AS1220" s="87"/>
      <c r="AT1220" s="87"/>
      <c r="AU1220" s="87"/>
      <c r="AV1220" s="87"/>
      <c r="AW1220" s="88" t="str">
        <f>HYPERLINK("http://www.openstreetmap.org/?mlat=33.6976&amp;mlon=45.0631&amp;zoom=12#map=12/33.6976/45.0631","Maplink1")</f>
        <v>Maplink1</v>
      </c>
      <c r="AX1220" s="88" t="str">
        <f>HYPERLINK("https://www.google.iq/maps/search/+33.6976,45.0631/@33.6976,45.0631,14z?hl=en","Maplink2")</f>
        <v>Maplink2</v>
      </c>
      <c r="AY1220" s="88" t="str">
        <f>HYPERLINK("http://www.bing.com/maps/?lvl=14&amp;sty=h&amp;cp=33.6976~45.0631&amp;sp=point.33.6976_45.0631","Maplink3")</f>
        <v>Maplink3</v>
      </c>
      <c r="AZ1220" s="76"/>
    </row>
    <row r="1221" spans="1:52" x14ac:dyDescent="0.25">
      <c r="A1221" s="86">
        <v>11257</v>
      </c>
      <c r="B1221" s="87" t="s">
        <v>17</v>
      </c>
      <c r="C1221" s="87" t="s">
        <v>2427</v>
      </c>
      <c r="D1221" s="87" t="s">
        <v>2436</v>
      </c>
      <c r="E1221" s="87" t="s">
        <v>2437</v>
      </c>
      <c r="F1221" s="87">
        <v>33.743075835200003</v>
      </c>
      <c r="G1221" s="87">
        <v>45.534067526400001</v>
      </c>
      <c r="H1221" s="86">
        <v>55</v>
      </c>
      <c r="I1221" s="86">
        <v>330</v>
      </c>
      <c r="J1221" s="87"/>
      <c r="K1221" s="87"/>
      <c r="L1221" s="87"/>
      <c r="M1221" s="87"/>
      <c r="N1221" s="87"/>
      <c r="O1221" s="87">
        <v>55</v>
      </c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>
        <v>55</v>
      </c>
      <c r="AI1221" s="87"/>
      <c r="AJ1221" s="87"/>
      <c r="AK1221" s="87"/>
      <c r="AL1221" s="87"/>
      <c r="AM1221" s="87"/>
      <c r="AN1221" s="87"/>
      <c r="AO1221" s="87"/>
      <c r="AP1221" s="87">
        <v>17</v>
      </c>
      <c r="AQ1221" s="87">
        <v>38</v>
      </c>
      <c r="AR1221" s="87"/>
      <c r="AS1221" s="87"/>
      <c r="AT1221" s="87"/>
      <c r="AU1221" s="87"/>
      <c r="AV1221" s="87"/>
      <c r="AW1221" s="88" t="str">
        <f>HYPERLINK("http://www.openstreetmap.org/?mlat=33.7431&amp;mlon=45.5341&amp;zoom=12#map=12/33.7431/45.5341","Maplink1")</f>
        <v>Maplink1</v>
      </c>
      <c r="AX1221" s="88" t="str">
        <f>HYPERLINK("https://www.google.iq/maps/search/+33.7431,45.5341/@33.7431,45.5341,14z?hl=en","Maplink2")</f>
        <v>Maplink2</v>
      </c>
      <c r="AY1221" s="88" t="str">
        <f>HYPERLINK("http://www.bing.com/maps/?lvl=14&amp;sty=h&amp;cp=33.7431~45.5341&amp;sp=point.33.7431_45.5341","Maplink3")</f>
        <v>Maplink3</v>
      </c>
      <c r="AZ1221" s="76"/>
    </row>
    <row r="1222" spans="1:52" x14ac:dyDescent="0.25">
      <c r="A1222" s="86">
        <v>10894</v>
      </c>
      <c r="B1222" s="87" t="s">
        <v>17</v>
      </c>
      <c r="C1222" s="87" t="s">
        <v>2427</v>
      </c>
      <c r="D1222" s="87" t="s">
        <v>2438</v>
      </c>
      <c r="E1222" s="87" t="s">
        <v>2439</v>
      </c>
      <c r="F1222" s="87">
        <v>33.7464420246</v>
      </c>
      <c r="G1222" s="87">
        <v>45.5503109681</v>
      </c>
      <c r="H1222" s="86">
        <v>73</v>
      </c>
      <c r="I1222" s="86">
        <v>438</v>
      </c>
      <c r="J1222" s="87"/>
      <c r="K1222" s="87"/>
      <c r="L1222" s="87"/>
      <c r="M1222" s="87"/>
      <c r="N1222" s="87"/>
      <c r="O1222" s="87">
        <v>73</v>
      </c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>
        <v>38</v>
      </c>
      <c r="AD1222" s="87"/>
      <c r="AE1222" s="87"/>
      <c r="AF1222" s="87"/>
      <c r="AG1222" s="87"/>
      <c r="AH1222" s="87">
        <v>35</v>
      </c>
      <c r="AI1222" s="87"/>
      <c r="AJ1222" s="87"/>
      <c r="AK1222" s="87"/>
      <c r="AL1222" s="87"/>
      <c r="AM1222" s="87"/>
      <c r="AN1222" s="87"/>
      <c r="AO1222" s="87"/>
      <c r="AP1222" s="87">
        <v>61</v>
      </c>
      <c r="AQ1222" s="87"/>
      <c r="AR1222" s="87"/>
      <c r="AS1222" s="87"/>
      <c r="AT1222" s="87"/>
      <c r="AU1222" s="87">
        <v>12</v>
      </c>
      <c r="AV1222" s="87"/>
      <c r="AW1222" s="88" t="str">
        <f>HYPERLINK("http://www.openstreetmap.org/?mlat=33.7464&amp;mlon=45.5503&amp;zoom=12#map=12/33.7464/45.5503","Maplink1")</f>
        <v>Maplink1</v>
      </c>
      <c r="AX1222" s="88" t="str">
        <f>HYPERLINK("https://www.google.iq/maps/search/+33.7464,45.5503/@33.7464,45.5503,14z?hl=en","Maplink2")</f>
        <v>Maplink2</v>
      </c>
      <c r="AY1222" s="88" t="str">
        <f>HYPERLINK("http://www.bing.com/maps/?lvl=14&amp;sty=h&amp;cp=33.7464~45.5503&amp;sp=point.33.7464_45.5503","Maplink3")</f>
        <v>Maplink3</v>
      </c>
      <c r="AZ1222" s="76"/>
    </row>
    <row r="1223" spans="1:52" x14ac:dyDescent="0.25">
      <c r="A1223" s="86">
        <v>10419</v>
      </c>
      <c r="B1223" s="87" t="s">
        <v>17</v>
      </c>
      <c r="C1223" s="87" t="s">
        <v>2440</v>
      </c>
      <c r="D1223" s="87" t="s">
        <v>2441</v>
      </c>
      <c r="E1223" s="87" t="s">
        <v>2442</v>
      </c>
      <c r="F1223" s="87">
        <v>34.3396863344</v>
      </c>
      <c r="G1223" s="87">
        <v>45.377703006700003</v>
      </c>
      <c r="H1223" s="86">
        <v>30</v>
      </c>
      <c r="I1223" s="86">
        <v>180</v>
      </c>
      <c r="J1223" s="87"/>
      <c r="K1223" s="87"/>
      <c r="L1223" s="87"/>
      <c r="M1223" s="87"/>
      <c r="N1223" s="87"/>
      <c r="O1223" s="87">
        <v>30</v>
      </c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>
        <v>30</v>
      </c>
      <c r="AI1223" s="87"/>
      <c r="AJ1223" s="87"/>
      <c r="AK1223" s="87"/>
      <c r="AL1223" s="87"/>
      <c r="AM1223" s="87"/>
      <c r="AN1223" s="87"/>
      <c r="AO1223" s="87">
        <v>15</v>
      </c>
      <c r="AP1223" s="87">
        <v>15</v>
      </c>
      <c r="AQ1223" s="87"/>
      <c r="AR1223" s="87"/>
      <c r="AS1223" s="87"/>
      <c r="AT1223" s="87"/>
      <c r="AU1223" s="87"/>
      <c r="AV1223" s="87"/>
      <c r="AW1223" s="88" t="str">
        <f>HYPERLINK("http://www.openstreetmap.org/?mlat=34.3397&amp;mlon=45.3777&amp;zoom=12#map=12/34.3397/45.3777","Maplink1")</f>
        <v>Maplink1</v>
      </c>
      <c r="AX1223" s="88" t="str">
        <f>HYPERLINK("https://www.google.iq/maps/search/+34.3397,45.3777/@34.3397,45.3777,14z?hl=en","Maplink2")</f>
        <v>Maplink2</v>
      </c>
      <c r="AY1223" s="88" t="str">
        <f>HYPERLINK("http://www.bing.com/maps/?lvl=14&amp;sty=h&amp;cp=34.3397~45.3777&amp;sp=point.34.3397_45.3777","Maplink3")</f>
        <v>Maplink3</v>
      </c>
      <c r="AZ1223" s="76"/>
    </row>
    <row r="1224" spans="1:52" x14ac:dyDescent="0.25">
      <c r="A1224" s="86">
        <v>11145</v>
      </c>
      <c r="B1224" s="87" t="s">
        <v>17</v>
      </c>
      <c r="C1224" s="87" t="s">
        <v>2440</v>
      </c>
      <c r="D1224" s="87" t="s">
        <v>2443</v>
      </c>
      <c r="E1224" s="87" t="s">
        <v>2444</v>
      </c>
      <c r="F1224" s="87">
        <v>34.376829097700004</v>
      </c>
      <c r="G1224" s="87">
        <v>45.327781965600003</v>
      </c>
      <c r="H1224" s="86">
        <v>7</v>
      </c>
      <c r="I1224" s="86">
        <v>42</v>
      </c>
      <c r="J1224" s="87"/>
      <c r="K1224" s="87"/>
      <c r="L1224" s="87"/>
      <c r="M1224" s="87"/>
      <c r="N1224" s="87"/>
      <c r="O1224" s="87">
        <v>7</v>
      </c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>
        <v>3</v>
      </c>
      <c r="AD1224" s="87"/>
      <c r="AE1224" s="87"/>
      <c r="AF1224" s="87"/>
      <c r="AG1224" s="87"/>
      <c r="AH1224" s="87">
        <v>4</v>
      </c>
      <c r="AI1224" s="87"/>
      <c r="AJ1224" s="87"/>
      <c r="AK1224" s="87"/>
      <c r="AL1224" s="87"/>
      <c r="AM1224" s="87"/>
      <c r="AN1224" s="87"/>
      <c r="AO1224" s="87">
        <v>3</v>
      </c>
      <c r="AP1224" s="87">
        <v>4</v>
      </c>
      <c r="AQ1224" s="87"/>
      <c r="AR1224" s="87"/>
      <c r="AS1224" s="87"/>
      <c r="AT1224" s="87"/>
      <c r="AU1224" s="87"/>
      <c r="AV1224" s="87"/>
      <c r="AW1224" s="88" t="str">
        <f>HYPERLINK("http://www.openstreetmap.org/?mlat=34.3768&amp;mlon=45.3278&amp;zoom=12#map=12/34.3768/45.3278","Maplink1")</f>
        <v>Maplink1</v>
      </c>
      <c r="AX1224" s="88" t="str">
        <f>HYPERLINK("https://www.google.iq/maps/search/+34.3768,45.3278/@34.3768,45.3278,14z?hl=en","Maplink2")</f>
        <v>Maplink2</v>
      </c>
      <c r="AY1224" s="88" t="str">
        <f>HYPERLINK("http://www.bing.com/maps/?lvl=14&amp;sty=h&amp;cp=34.3768~45.3278&amp;sp=point.34.3768_45.3278","Maplink3")</f>
        <v>Maplink3</v>
      </c>
      <c r="AZ1224" s="76"/>
    </row>
    <row r="1225" spans="1:52" x14ac:dyDescent="0.25">
      <c r="A1225" s="86">
        <v>24388</v>
      </c>
      <c r="B1225" s="87" t="s">
        <v>17</v>
      </c>
      <c r="C1225" s="87" t="s">
        <v>2440</v>
      </c>
      <c r="D1225" s="87" t="s">
        <v>2445</v>
      </c>
      <c r="E1225" s="87" t="s">
        <v>2446</v>
      </c>
      <c r="F1225" s="87">
        <v>34.316662666399999</v>
      </c>
      <c r="G1225" s="87">
        <v>45.321139028300003</v>
      </c>
      <c r="H1225" s="86">
        <v>5</v>
      </c>
      <c r="I1225" s="86">
        <v>30</v>
      </c>
      <c r="J1225" s="87"/>
      <c r="K1225" s="87"/>
      <c r="L1225" s="87"/>
      <c r="M1225" s="87"/>
      <c r="N1225" s="87"/>
      <c r="O1225" s="87">
        <v>5</v>
      </c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>
        <v>5</v>
      </c>
      <c r="AI1225" s="87"/>
      <c r="AJ1225" s="87"/>
      <c r="AK1225" s="87"/>
      <c r="AL1225" s="87"/>
      <c r="AM1225" s="87"/>
      <c r="AN1225" s="87"/>
      <c r="AO1225" s="87">
        <v>5</v>
      </c>
      <c r="AP1225" s="87"/>
      <c r="AQ1225" s="87"/>
      <c r="AR1225" s="87"/>
      <c r="AS1225" s="87"/>
      <c r="AT1225" s="87"/>
      <c r="AU1225" s="87"/>
      <c r="AV1225" s="87"/>
      <c r="AW1225" s="88" t="str">
        <f>HYPERLINK("http://www.openstreetmap.org/?mlat=34.3167&amp;mlon=45.3211&amp;zoom=12#map=12/34.3167/45.3211","Maplink1")</f>
        <v>Maplink1</v>
      </c>
      <c r="AX1225" s="88" t="str">
        <f>HYPERLINK("https://www.google.iq/maps/search/+34.3167,45.3211/@34.3167,45.3211,14z?hl=en","Maplink2")</f>
        <v>Maplink2</v>
      </c>
      <c r="AY1225" s="88" t="str">
        <f>HYPERLINK("http://www.bing.com/maps/?lvl=14&amp;sty=h&amp;cp=34.3167~45.3211&amp;sp=point.34.3167_45.3211","Maplink3")</f>
        <v>Maplink3</v>
      </c>
      <c r="AZ1225" s="76"/>
    </row>
    <row r="1226" spans="1:52" x14ac:dyDescent="0.25">
      <c r="A1226" s="86">
        <v>24354</v>
      </c>
      <c r="B1226" s="87" t="s">
        <v>17</v>
      </c>
      <c r="C1226" s="87" t="s">
        <v>2440</v>
      </c>
      <c r="D1226" s="87" t="s">
        <v>2447</v>
      </c>
      <c r="E1226" s="87" t="s">
        <v>2448</v>
      </c>
      <c r="F1226" s="87">
        <v>34.340249724400003</v>
      </c>
      <c r="G1226" s="87">
        <v>45.400244310399998</v>
      </c>
      <c r="H1226" s="86">
        <v>50</v>
      </c>
      <c r="I1226" s="86">
        <v>300</v>
      </c>
      <c r="J1226" s="87"/>
      <c r="K1226" s="87"/>
      <c r="L1226" s="87"/>
      <c r="M1226" s="87"/>
      <c r="N1226" s="87"/>
      <c r="O1226" s="87">
        <v>50</v>
      </c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>
        <v>10</v>
      </c>
      <c r="AD1226" s="87"/>
      <c r="AE1226" s="87"/>
      <c r="AF1226" s="87"/>
      <c r="AG1226" s="87"/>
      <c r="AH1226" s="87">
        <v>40</v>
      </c>
      <c r="AI1226" s="87"/>
      <c r="AJ1226" s="87"/>
      <c r="AK1226" s="87"/>
      <c r="AL1226" s="87"/>
      <c r="AM1226" s="87"/>
      <c r="AN1226" s="87"/>
      <c r="AO1226" s="87">
        <v>30</v>
      </c>
      <c r="AP1226" s="87">
        <v>20</v>
      </c>
      <c r="AQ1226" s="87"/>
      <c r="AR1226" s="87"/>
      <c r="AS1226" s="87"/>
      <c r="AT1226" s="87"/>
      <c r="AU1226" s="87"/>
      <c r="AV1226" s="87"/>
      <c r="AW1226" s="88" t="str">
        <f>HYPERLINK("http://www.openstreetmap.org/?mlat=34.3402&amp;mlon=45.4002&amp;zoom=12#map=12/34.3402/45.4002","Maplink1")</f>
        <v>Maplink1</v>
      </c>
      <c r="AX1226" s="88" t="str">
        <f>HYPERLINK("https://www.google.iq/maps/search/+34.3402,45.4002/@34.3402,45.4002,14z?hl=en","Maplink2")</f>
        <v>Maplink2</v>
      </c>
      <c r="AY1226" s="88" t="str">
        <f>HYPERLINK("http://www.bing.com/maps/?lvl=14&amp;sty=h&amp;cp=34.3402~45.4002&amp;sp=point.34.3402_45.4002","Maplink3")</f>
        <v>Maplink3</v>
      </c>
      <c r="AZ1226" s="76"/>
    </row>
    <row r="1227" spans="1:52" x14ac:dyDescent="0.25">
      <c r="A1227" s="86">
        <v>31755</v>
      </c>
      <c r="B1227" s="87" t="s">
        <v>17</v>
      </c>
      <c r="C1227" s="87" t="s">
        <v>2440</v>
      </c>
      <c r="D1227" s="87" t="s">
        <v>5882</v>
      </c>
      <c r="E1227" s="87" t="s">
        <v>5883</v>
      </c>
      <c r="F1227" s="87">
        <v>34.268611</v>
      </c>
      <c r="G1227" s="87">
        <v>45.1730338777</v>
      </c>
      <c r="H1227" s="86">
        <v>3</v>
      </c>
      <c r="I1227" s="86">
        <v>18</v>
      </c>
      <c r="J1227" s="87"/>
      <c r="K1227" s="87"/>
      <c r="L1227" s="87"/>
      <c r="M1227" s="87"/>
      <c r="N1227" s="87"/>
      <c r="O1227" s="87">
        <v>3</v>
      </c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87"/>
      <c r="AE1227" s="87"/>
      <c r="AF1227" s="87"/>
      <c r="AG1227" s="87"/>
      <c r="AH1227" s="87">
        <v>3</v>
      </c>
      <c r="AI1227" s="87"/>
      <c r="AJ1227" s="87"/>
      <c r="AK1227" s="87"/>
      <c r="AL1227" s="87"/>
      <c r="AM1227" s="87"/>
      <c r="AN1227" s="87"/>
      <c r="AO1227" s="87">
        <v>3</v>
      </c>
      <c r="AP1227" s="87"/>
      <c r="AQ1227" s="87"/>
      <c r="AR1227" s="87"/>
      <c r="AS1227" s="87"/>
      <c r="AT1227" s="87"/>
      <c r="AU1227" s="87"/>
      <c r="AV1227" s="87"/>
      <c r="AW1227" s="88" t="str">
        <f>HYPERLINK("http://www.openstreetmap.org/?mlat=34.2686&amp;mlon=45.173&amp;zoom=12#map=12/34.2686/45.173","Maplink1")</f>
        <v>Maplink1</v>
      </c>
      <c r="AX1227" s="88" t="str">
        <f>HYPERLINK("https://www.google.iq/maps/search/+34.2686,45.173/@34.2686,45.173,14z?hl=en","Maplink2")</f>
        <v>Maplink2</v>
      </c>
      <c r="AY1227" s="88" t="str">
        <f>HYPERLINK("http://www.bing.com/maps/?lvl=14&amp;sty=h&amp;cp=34.2686~45.173&amp;sp=point.34.2686_45.173","Maplink3")</f>
        <v>Maplink3</v>
      </c>
      <c r="AZ1227" s="76"/>
    </row>
    <row r="1228" spans="1:52" x14ac:dyDescent="0.25">
      <c r="A1228" s="86">
        <v>31756</v>
      </c>
      <c r="B1228" s="87" t="s">
        <v>17</v>
      </c>
      <c r="C1228" s="87" t="s">
        <v>2440</v>
      </c>
      <c r="D1228" s="87" t="s">
        <v>5884</v>
      </c>
      <c r="E1228" s="87" t="s">
        <v>5885</v>
      </c>
      <c r="F1228" s="87">
        <v>34.267778</v>
      </c>
      <c r="G1228" s="87">
        <v>45.175651903800002</v>
      </c>
      <c r="H1228" s="86">
        <v>4</v>
      </c>
      <c r="I1228" s="86">
        <v>24</v>
      </c>
      <c r="J1228" s="87"/>
      <c r="K1228" s="87"/>
      <c r="L1228" s="87"/>
      <c r="M1228" s="87"/>
      <c r="N1228" s="87"/>
      <c r="O1228" s="87">
        <v>4</v>
      </c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87"/>
      <c r="AE1228" s="87"/>
      <c r="AF1228" s="87"/>
      <c r="AG1228" s="87"/>
      <c r="AH1228" s="87">
        <v>4</v>
      </c>
      <c r="AI1228" s="87"/>
      <c r="AJ1228" s="87"/>
      <c r="AK1228" s="87"/>
      <c r="AL1228" s="87"/>
      <c r="AM1228" s="87"/>
      <c r="AN1228" s="87"/>
      <c r="AO1228" s="87">
        <v>4</v>
      </c>
      <c r="AP1228" s="87"/>
      <c r="AQ1228" s="87"/>
      <c r="AR1228" s="87"/>
      <c r="AS1228" s="87"/>
      <c r="AT1228" s="87"/>
      <c r="AU1228" s="87"/>
      <c r="AV1228" s="87"/>
      <c r="AW1228" s="88" t="str">
        <f>HYPERLINK("http://www.openstreetmap.org/?mlat=34.2678&amp;mlon=45.1757&amp;zoom=12#map=12/34.2678/45.1757","Maplink1")</f>
        <v>Maplink1</v>
      </c>
      <c r="AX1228" s="88" t="str">
        <f>HYPERLINK("https://www.google.iq/maps/search/+34.2678,45.1757/@34.2678,45.1757,14z?hl=en","Maplink2")</f>
        <v>Maplink2</v>
      </c>
      <c r="AY1228" s="88" t="str">
        <f>HYPERLINK("http://www.bing.com/maps/?lvl=14&amp;sty=h&amp;cp=34.2678~45.1757&amp;sp=point.34.2678_45.1757","Maplink3")</f>
        <v>Maplink3</v>
      </c>
      <c r="AZ1228" s="76"/>
    </row>
    <row r="1229" spans="1:52" x14ac:dyDescent="0.25">
      <c r="A1229" s="86">
        <v>31757</v>
      </c>
      <c r="B1229" s="87" t="s">
        <v>17</v>
      </c>
      <c r="C1229" s="87" t="s">
        <v>2440</v>
      </c>
      <c r="D1229" s="87" t="s">
        <v>5886</v>
      </c>
      <c r="E1229" s="87" t="s">
        <v>5887</v>
      </c>
      <c r="F1229" s="87">
        <v>34.268332999999998</v>
      </c>
      <c r="G1229" s="87">
        <v>45.169117680600003</v>
      </c>
      <c r="H1229" s="86">
        <v>6</v>
      </c>
      <c r="I1229" s="86">
        <v>36</v>
      </c>
      <c r="J1229" s="87"/>
      <c r="K1229" s="87"/>
      <c r="L1229" s="87"/>
      <c r="M1229" s="87"/>
      <c r="N1229" s="87"/>
      <c r="O1229" s="87">
        <v>4</v>
      </c>
      <c r="P1229" s="87"/>
      <c r="Q1229" s="87"/>
      <c r="R1229" s="87"/>
      <c r="S1229" s="87"/>
      <c r="T1229" s="87"/>
      <c r="U1229" s="87"/>
      <c r="V1229" s="87">
        <v>1</v>
      </c>
      <c r="W1229" s="87"/>
      <c r="X1229" s="87">
        <v>1</v>
      </c>
      <c r="Y1229" s="87"/>
      <c r="Z1229" s="87"/>
      <c r="AA1229" s="87"/>
      <c r="AB1229" s="87"/>
      <c r="AC1229" s="87"/>
      <c r="AD1229" s="87"/>
      <c r="AE1229" s="87"/>
      <c r="AF1229" s="87"/>
      <c r="AG1229" s="87"/>
      <c r="AH1229" s="87">
        <v>6</v>
      </c>
      <c r="AI1229" s="87"/>
      <c r="AJ1229" s="87"/>
      <c r="AK1229" s="87"/>
      <c r="AL1229" s="87"/>
      <c r="AM1229" s="87"/>
      <c r="AN1229" s="87"/>
      <c r="AO1229" s="87">
        <v>6</v>
      </c>
      <c r="AP1229" s="87"/>
      <c r="AQ1229" s="87"/>
      <c r="AR1229" s="87"/>
      <c r="AS1229" s="87"/>
      <c r="AT1229" s="87"/>
      <c r="AU1229" s="87"/>
      <c r="AV1229" s="87"/>
      <c r="AW1229" s="88" t="str">
        <f>HYPERLINK("http://www.openstreetmap.org/?mlat=34.2683&amp;mlon=45.1691&amp;zoom=12#map=12/34.2683/45.1691","Maplink1")</f>
        <v>Maplink1</v>
      </c>
      <c r="AX1229" s="88" t="str">
        <f>HYPERLINK("https://www.google.iq/maps/search/+34.2683,45.1691/@34.2683,45.1691,14z?hl=en","Maplink2")</f>
        <v>Maplink2</v>
      </c>
      <c r="AY1229" s="88" t="str">
        <f>HYPERLINK("http://www.bing.com/maps/?lvl=14&amp;sty=h&amp;cp=34.2683~45.1691&amp;sp=point.34.2683_45.1691","Maplink3")</f>
        <v>Maplink3</v>
      </c>
      <c r="AZ1229" s="76"/>
    </row>
    <row r="1230" spans="1:52" x14ac:dyDescent="0.25">
      <c r="A1230" s="86">
        <v>29570</v>
      </c>
      <c r="B1230" s="87" t="s">
        <v>17</v>
      </c>
      <c r="C1230" s="87" t="s">
        <v>2440</v>
      </c>
      <c r="D1230" s="87" t="s">
        <v>5888</v>
      </c>
      <c r="E1230" s="87" t="s">
        <v>5889</v>
      </c>
      <c r="F1230" s="87">
        <v>34.279488600000001</v>
      </c>
      <c r="G1230" s="87">
        <v>45.169234502999998</v>
      </c>
      <c r="H1230" s="86">
        <v>3</v>
      </c>
      <c r="I1230" s="86">
        <v>18</v>
      </c>
      <c r="J1230" s="87"/>
      <c r="K1230" s="87"/>
      <c r="L1230" s="87"/>
      <c r="M1230" s="87"/>
      <c r="N1230" s="87"/>
      <c r="O1230" s="87">
        <v>3</v>
      </c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87"/>
      <c r="AE1230" s="87"/>
      <c r="AF1230" s="87"/>
      <c r="AG1230" s="87"/>
      <c r="AH1230" s="87">
        <v>3</v>
      </c>
      <c r="AI1230" s="87"/>
      <c r="AJ1230" s="87"/>
      <c r="AK1230" s="87"/>
      <c r="AL1230" s="87"/>
      <c r="AM1230" s="87"/>
      <c r="AN1230" s="87"/>
      <c r="AO1230" s="87">
        <v>3</v>
      </c>
      <c r="AP1230" s="87"/>
      <c r="AQ1230" s="87"/>
      <c r="AR1230" s="87"/>
      <c r="AS1230" s="87"/>
      <c r="AT1230" s="87"/>
      <c r="AU1230" s="87"/>
      <c r="AV1230" s="87"/>
      <c r="AW1230" s="88" t="str">
        <f>HYPERLINK("http://www.openstreetmap.org/?mlat=34.2795&amp;mlon=45.1692&amp;zoom=12#map=12/34.2795/45.1692","Maplink1")</f>
        <v>Maplink1</v>
      </c>
      <c r="AX1230" s="88" t="str">
        <f>HYPERLINK("https://www.google.iq/maps/search/+34.2795,45.1692/@34.2795,45.1692,14z?hl=en","Maplink2")</f>
        <v>Maplink2</v>
      </c>
      <c r="AY1230" s="88" t="str">
        <f>HYPERLINK("http://www.bing.com/maps/?lvl=14&amp;sty=h&amp;cp=34.2795~45.1692&amp;sp=point.34.2795_45.1692","Maplink3")</f>
        <v>Maplink3</v>
      </c>
      <c r="AZ1230" s="76"/>
    </row>
    <row r="1231" spans="1:52" x14ac:dyDescent="0.25">
      <c r="A1231" s="86">
        <v>31758</v>
      </c>
      <c r="B1231" s="87" t="s">
        <v>17</v>
      </c>
      <c r="C1231" s="87" t="s">
        <v>2440</v>
      </c>
      <c r="D1231" s="87" t="s">
        <v>5890</v>
      </c>
      <c r="E1231" s="87" t="s">
        <v>5891</v>
      </c>
      <c r="F1231" s="87">
        <v>34.278610999999998</v>
      </c>
      <c r="G1231" s="87">
        <v>45.175426289900003</v>
      </c>
      <c r="H1231" s="86">
        <v>4</v>
      </c>
      <c r="I1231" s="86">
        <v>24</v>
      </c>
      <c r="J1231" s="87"/>
      <c r="K1231" s="87"/>
      <c r="L1231" s="87"/>
      <c r="M1231" s="87"/>
      <c r="N1231" s="87"/>
      <c r="O1231" s="87">
        <v>4</v>
      </c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87"/>
      <c r="AE1231" s="87"/>
      <c r="AF1231" s="87"/>
      <c r="AG1231" s="87"/>
      <c r="AH1231" s="87">
        <v>4</v>
      </c>
      <c r="AI1231" s="87"/>
      <c r="AJ1231" s="87"/>
      <c r="AK1231" s="87"/>
      <c r="AL1231" s="87"/>
      <c r="AM1231" s="87"/>
      <c r="AN1231" s="87"/>
      <c r="AO1231" s="87">
        <v>4</v>
      </c>
      <c r="AP1231" s="87"/>
      <c r="AQ1231" s="87"/>
      <c r="AR1231" s="87"/>
      <c r="AS1231" s="87"/>
      <c r="AT1231" s="87"/>
      <c r="AU1231" s="87"/>
      <c r="AV1231" s="87"/>
      <c r="AW1231" s="88" t="str">
        <f>HYPERLINK("http://www.openstreetmap.org/?mlat=34.2786&amp;mlon=45.1754&amp;zoom=12#map=12/34.2786/45.1754","Maplink1")</f>
        <v>Maplink1</v>
      </c>
      <c r="AX1231" s="88" t="str">
        <f>HYPERLINK("https://www.google.iq/maps/search/+34.2786,45.1754/@34.2786,45.1754,14z?hl=en","Maplink2")</f>
        <v>Maplink2</v>
      </c>
      <c r="AY1231" s="88" t="str">
        <f>HYPERLINK("http://www.bing.com/maps/?lvl=14&amp;sty=h&amp;cp=34.2786~45.1754&amp;sp=point.34.2786_45.1754","Maplink3")</f>
        <v>Maplink3</v>
      </c>
      <c r="AZ1231" s="76"/>
    </row>
    <row r="1232" spans="1:52" x14ac:dyDescent="0.25">
      <c r="A1232" s="86">
        <v>31759</v>
      </c>
      <c r="B1232" s="87" t="s">
        <v>17</v>
      </c>
      <c r="C1232" s="87" t="s">
        <v>2440</v>
      </c>
      <c r="D1232" s="87" t="s">
        <v>5892</v>
      </c>
      <c r="E1232" s="87" t="s">
        <v>5893</v>
      </c>
      <c r="F1232" s="87">
        <v>34.284166999999997</v>
      </c>
      <c r="G1232" s="87">
        <v>45.173379669299997</v>
      </c>
      <c r="H1232" s="86">
        <v>5</v>
      </c>
      <c r="I1232" s="86">
        <v>30</v>
      </c>
      <c r="J1232" s="87"/>
      <c r="K1232" s="87"/>
      <c r="L1232" s="87"/>
      <c r="M1232" s="87"/>
      <c r="N1232" s="87"/>
      <c r="O1232" s="87">
        <v>5</v>
      </c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87"/>
      <c r="AE1232" s="87"/>
      <c r="AF1232" s="87"/>
      <c r="AG1232" s="87"/>
      <c r="AH1232" s="87">
        <v>5</v>
      </c>
      <c r="AI1232" s="87"/>
      <c r="AJ1232" s="87"/>
      <c r="AK1232" s="87"/>
      <c r="AL1232" s="87"/>
      <c r="AM1232" s="87"/>
      <c r="AN1232" s="87"/>
      <c r="AO1232" s="87">
        <v>5</v>
      </c>
      <c r="AP1232" s="87"/>
      <c r="AQ1232" s="87"/>
      <c r="AR1232" s="87"/>
      <c r="AS1232" s="87"/>
      <c r="AT1232" s="87"/>
      <c r="AU1232" s="87"/>
      <c r="AV1232" s="87"/>
      <c r="AW1232" s="88" t="str">
        <f>HYPERLINK("http://www.openstreetmap.org/?mlat=34.2842&amp;mlon=45.1734&amp;zoom=12#map=12/34.2842/45.1734","Maplink1")</f>
        <v>Maplink1</v>
      </c>
      <c r="AX1232" s="88" t="str">
        <f>HYPERLINK("https://www.google.iq/maps/search/+34.2842,45.1734/@34.2842,45.1734,14z?hl=en","Maplink2")</f>
        <v>Maplink2</v>
      </c>
      <c r="AY1232" s="88" t="str">
        <f>HYPERLINK("http://www.bing.com/maps/?lvl=14&amp;sty=h&amp;cp=34.2842~45.1734&amp;sp=point.34.2842_45.1734","Maplink3")</f>
        <v>Maplink3</v>
      </c>
      <c r="AZ1232" s="76"/>
    </row>
    <row r="1233" spans="1:52" x14ac:dyDescent="0.25">
      <c r="A1233" s="86">
        <v>31760</v>
      </c>
      <c r="B1233" s="87" t="s">
        <v>17</v>
      </c>
      <c r="C1233" s="87" t="s">
        <v>2440</v>
      </c>
      <c r="D1233" s="87" t="s">
        <v>5894</v>
      </c>
      <c r="E1233" s="87" t="s">
        <v>5895</v>
      </c>
      <c r="F1233" s="87">
        <v>34.276111</v>
      </c>
      <c r="G1233" s="87">
        <v>45.176121452099999</v>
      </c>
      <c r="H1233" s="86">
        <v>2</v>
      </c>
      <c r="I1233" s="86">
        <v>12</v>
      </c>
      <c r="J1233" s="87"/>
      <c r="K1233" s="87"/>
      <c r="L1233" s="87"/>
      <c r="M1233" s="87"/>
      <c r="N1233" s="87"/>
      <c r="O1233" s="87">
        <v>2</v>
      </c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87"/>
      <c r="AE1233" s="87"/>
      <c r="AF1233" s="87"/>
      <c r="AG1233" s="87"/>
      <c r="AH1233" s="87">
        <v>2</v>
      </c>
      <c r="AI1233" s="87"/>
      <c r="AJ1233" s="87"/>
      <c r="AK1233" s="87"/>
      <c r="AL1233" s="87"/>
      <c r="AM1233" s="87"/>
      <c r="AN1233" s="87"/>
      <c r="AO1233" s="87">
        <v>2</v>
      </c>
      <c r="AP1233" s="87"/>
      <c r="AQ1233" s="87"/>
      <c r="AR1233" s="87"/>
      <c r="AS1233" s="87"/>
      <c r="AT1233" s="87"/>
      <c r="AU1233" s="87"/>
      <c r="AV1233" s="87"/>
      <c r="AW1233" s="88" t="str">
        <f>HYPERLINK("http://www.openstreetmap.org/?mlat=34.2761&amp;mlon=45.1761&amp;zoom=12#map=12/34.2761/45.1761","Maplink1")</f>
        <v>Maplink1</v>
      </c>
      <c r="AX1233" s="88" t="str">
        <f>HYPERLINK("https://www.google.iq/maps/search/+34.2761,45.1761/@34.2761,45.1761,14z?hl=en","Maplink2")</f>
        <v>Maplink2</v>
      </c>
      <c r="AY1233" s="88" t="str">
        <f>HYPERLINK("http://www.bing.com/maps/?lvl=14&amp;sty=h&amp;cp=34.2761~45.1761&amp;sp=point.34.2761_45.1761","Maplink3")</f>
        <v>Maplink3</v>
      </c>
      <c r="AZ1233" s="76"/>
    </row>
    <row r="1234" spans="1:52" x14ac:dyDescent="0.25">
      <c r="A1234" s="86">
        <v>31761</v>
      </c>
      <c r="B1234" s="87" t="s">
        <v>17</v>
      </c>
      <c r="C1234" s="87" t="s">
        <v>2440</v>
      </c>
      <c r="D1234" s="87" t="s">
        <v>5896</v>
      </c>
      <c r="E1234" s="87" t="s">
        <v>5897</v>
      </c>
      <c r="F1234" s="87">
        <v>34.274999999999999</v>
      </c>
      <c r="G1234" s="87">
        <v>45.170778369899999</v>
      </c>
      <c r="H1234" s="86">
        <v>4</v>
      </c>
      <c r="I1234" s="86">
        <v>24</v>
      </c>
      <c r="J1234" s="87"/>
      <c r="K1234" s="87"/>
      <c r="L1234" s="87"/>
      <c r="M1234" s="87"/>
      <c r="N1234" s="87"/>
      <c r="O1234" s="87">
        <v>4</v>
      </c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87"/>
      <c r="AE1234" s="87"/>
      <c r="AF1234" s="87"/>
      <c r="AG1234" s="87"/>
      <c r="AH1234" s="87">
        <v>4</v>
      </c>
      <c r="AI1234" s="87"/>
      <c r="AJ1234" s="87"/>
      <c r="AK1234" s="87"/>
      <c r="AL1234" s="87"/>
      <c r="AM1234" s="87"/>
      <c r="AN1234" s="87"/>
      <c r="AO1234" s="87">
        <v>4</v>
      </c>
      <c r="AP1234" s="87"/>
      <c r="AQ1234" s="87"/>
      <c r="AR1234" s="87"/>
      <c r="AS1234" s="87"/>
      <c r="AT1234" s="87"/>
      <c r="AU1234" s="87"/>
      <c r="AV1234" s="87"/>
      <c r="AW1234" s="88" t="str">
        <f>HYPERLINK("http://www.openstreetmap.org/?mlat=34.275&amp;mlon=45.1708&amp;zoom=12#map=12/34.275/45.1708","Maplink1")</f>
        <v>Maplink1</v>
      </c>
      <c r="AX1234" s="88" t="str">
        <f>HYPERLINK("https://www.google.iq/maps/search/+34.275,45.1708/@34.275,45.1708,14z?hl=en","Maplink2")</f>
        <v>Maplink2</v>
      </c>
      <c r="AY1234" s="88" t="str">
        <f>HYPERLINK("http://www.bing.com/maps/?lvl=14&amp;sty=h&amp;cp=34.275~45.1708&amp;sp=point.34.275_45.1708","Maplink3")</f>
        <v>Maplink3</v>
      </c>
      <c r="AZ1234" s="76"/>
    </row>
    <row r="1235" spans="1:52" x14ac:dyDescent="0.25">
      <c r="A1235" s="86">
        <v>24510</v>
      </c>
      <c r="B1235" s="87" t="s">
        <v>17</v>
      </c>
      <c r="C1235" s="87" t="s">
        <v>2440</v>
      </c>
      <c r="D1235" s="87" t="s">
        <v>2449</v>
      </c>
      <c r="E1235" s="87" t="s">
        <v>2450</v>
      </c>
      <c r="F1235" s="87">
        <v>34.325332708799998</v>
      </c>
      <c r="G1235" s="87">
        <v>45.277981681200004</v>
      </c>
      <c r="H1235" s="86">
        <v>2</v>
      </c>
      <c r="I1235" s="86">
        <v>12</v>
      </c>
      <c r="J1235" s="87"/>
      <c r="K1235" s="87"/>
      <c r="L1235" s="87"/>
      <c r="M1235" s="87"/>
      <c r="N1235" s="87"/>
      <c r="O1235" s="87">
        <v>2</v>
      </c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>
        <v>2</v>
      </c>
      <c r="AD1235" s="87"/>
      <c r="AE1235" s="87"/>
      <c r="AF1235" s="87"/>
      <c r="AG1235" s="87"/>
      <c r="AH1235" s="87"/>
      <c r="AI1235" s="87"/>
      <c r="AJ1235" s="87"/>
      <c r="AK1235" s="87"/>
      <c r="AL1235" s="87"/>
      <c r="AM1235" s="87"/>
      <c r="AN1235" s="87"/>
      <c r="AO1235" s="87">
        <v>2</v>
      </c>
      <c r="AP1235" s="87"/>
      <c r="AQ1235" s="87"/>
      <c r="AR1235" s="87"/>
      <c r="AS1235" s="87"/>
      <c r="AT1235" s="87"/>
      <c r="AU1235" s="87"/>
      <c r="AV1235" s="87"/>
      <c r="AW1235" s="88" t="str">
        <f>HYPERLINK("http://www.openstreetmap.org/?mlat=34.3253&amp;mlon=45.278&amp;zoom=12#map=12/34.3253/45.278","Maplink1")</f>
        <v>Maplink1</v>
      </c>
      <c r="AX1235" s="88" t="str">
        <f>HYPERLINK("https://www.google.iq/maps/search/+34.3253,45.278/@34.3253,45.278,14z?hl=en","Maplink2")</f>
        <v>Maplink2</v>
      </c>
      <c r="AY1235" s="88" t="str">
        <f>HYPERLINK("http://www.bing.com/maps/?lvl=14&amp;sty=h&amp;cp=34.3253~45.278&amp;sp=point.34.3253_45.278","Maplink3")</f>
        <v>Maplink3</v>
      </c>
      <c r="AZ1235" s="76"/>
    </row>
    <row r="1236" spans="1:52" x14ac:dyDescent="0.25">
      <c r="A1236" s="86">
        <v>33443</v>
      </c>
      <c r="B1236" s="87" t="s">
        <v>17</v>
      </c>
      <c r="C1236" s="87" t="s">
        <v>2440</v>
      </c>
      <c r="D1236" s="87" t="s">
        <v>2451</v>
      </c>
      <c r="E1236" s="87" t="s">
        <v>2452</v>
      </c>
      <c r="F1236" s="87">
        <v>34.347297094799998</v>
      </c>
      <c r="G1236" s="87">
        <v>45.395881539000001</v>
      </c>
      <c r="H1236" s="86">
        <v>7</v>
      </c>
      <c r="I1236" s="86">
        <v>42</v>
      </c>
      <c r="J1236" s="87"/>
      <c r="K1236" s="87"/>
      <c r="L1236" s="87"/>
      <c r="M1236" s="87"/>
      <c r="N1236" s="87"/>
      <c r="O1236" s="87">
        <v>7</v>
      </c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87"/>
      <c r="AE1236" s="87"/>
      <c r="AF1236" s="87"/>
      <c r="AG1236" s="87"/>
      <c r="AH1236" s="87">
        <v>7</v>
      </c>
      <c r="AI1236" s="87"/>
      <c r="AJ1236" s="87"/>
      <c r="AK1236" s="87"/>
      <c r="AL1236" s="87"/>
      <c r="AM1236" s="87"/>
      <c r="AN1236" s="87"/>
      <c r="AO1236" s="87">
        <v>5</v>
      </c>
      <c r="AP1236" s="87">
        <v>2</v>
      </c>
      <c r="AQ1236" s="87"/>
      <c r="AR1236" s="87"/>
      <c r="AS1236" s="87"/>
      <c r="AT1236" s="87"/>
      <c r="AU1236" s="87"/>
      <c r="AV1236" s="87"/>
      <c r="AW1236" s="88" t="str">
        <f>HYPERLINK("http://www.openstreetmap.org/?mlat=34.3473&amp;mlon=45.3959&amp;zoom=12#map=12/34.3473/45.3959","Maplink1")</f>
        <v>Maplink1</v>
      </c>
      <c r="AX1236" s="88" t="str">
        <f>HYPERLINK("https://www.google.iq/maps/search/+34.3473,45.3959/@34.3473,45.3959,14z?hl=en","Maplink2")</f>
        <v>Maplink2</v>
      </c>
      <c r="AY1236" s="88" t="str">
        <f>HYPERLINK("http://www.bing.com/maps/?lvl=14&amp;sty=h&amp;cp=34.3473~45.3959&amp;sp=point.34.3473_45.3959","Maplink3")</f>
        <v>Maplink3</v>
      </c>
      <c r="AZ1236" s="76"/>
    </row>
    <row r="1237" spans="1:52" x14ac:dyDescent="0.25">
      <c r="A1237" s="86">
        <v>27286</v>
      </c>
      <c r="B1237" s="87" t="s">
        <v>17</v>
      </c>
      <c r="C1237" s="87" t="s">
        <v>2440</v>
      </c>
      <c r="D1237" s="87" t="s">
        <v>2453</v>
      </c>
      <c r="E1237" s="87" t="s">
        <v>2454</v>
      </c>
      <c r="F1237" s="87">
        <v>34.323759334800002</v>
      </c>
      <c r="G1237" s="87">
        <v>45.4541405748</v>
      </c>
      <c r="H1237" s="86">
        <v>204</v>
      </c>
      <c r="I1237" s="86">
        <v>1224</v>
      </c>
      <c r="J1237" s="87"/>
      <c r="K1237" s="87"/>
      <c r="L1237" s="87"/>
      <c r="M1237" s="87"/>
      <c r="N1237" s="87"/>
      <c r="O1237" s="87">
        <v>204</v>
      </c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>
        <v>204</v>
      </c>
      <c r="AC1237" s="87"/>
      <c r="AD1237" s="87"/>
      <c r="AE1237" s="87"/>
      <c r="AF1237" s="87"/>
      <c r="AG1237" s="87"/>
      <c r="AH1237" s="87"/>
      <c r="AI1237" s="87"/>
      <c r="AJ1237" s="87"/>
      <c r="AK1237" s="87"/>
      <c r="AL1237" s="87"/>
      <c r="AM1237" s="87"/>
      <c r="AN1237" s="87"/>
      <c r="AO1237" s="87">
        <v>100</v>
      </c>
      <c r="AP1237" s="87">
        <v>104</v>
      </c>
      <c r="AQ1237" s="87"/>
      <c r="AR1237" s="87"/>
      <c r="AS1237" s="87"/>
      <c r="AT1237" s="87"/>
      <c r="AU1237" s="87"/>
      <c r="AV1237" s="87"/>
      <c r="AW1237" s="88" t="str">
        <f>HYPERLINK("http://www.openstreetmap.org/?mlat=34.3238&amp;mlon=45.4541&amp;zoom=12#map=12/34.3238/45.4541","Maplink1")</f>
        <v>Maplink1</v>
      </c>
      <c r="AX1237" s="88" t="str">
        <f>HYPERLINK("https://www.google.iq/maps/search/+34.3238,45.4541/@34.3238,45.4541,14z?hl=en","Maplink2")</f>
        <v>Maplink2</v>
      </c>
      <c r="AY1237" s="88" t="str">
        <f>HYPERLINK("http://www.bing.com/maps/?lvl=14&amp;sty=h&amp;cp=34.3238~45.4541&amp;sp=point.34.3238_45.4541","Maplink3")</f>
        <v>Maplink3</v>
      </c>
      <c r="AZ1237" s="76"/>
    </row>
    <row r="1238" spans="1:52" x14ac:dyDescent="0.25">
      <c r="A1238" s="86">
        <v>24405</v>
      </c>
      <c r="B1238" s="87" t="s">
        <v>17</v>
      </c>
      <c r="C1238" s="87" t="s">
        <v>2440</v>
      </c>
      <c r="D1238" s="87" t="s">
        <v>2455</v>
      </c>
      <c r="E1238" s="87" t="s">
        <v>2456</v>
      </c>
      <c r="F1238" s="87">
        <v>34.360143745999999</v>
      </c>
      <c r="G1238" s="87">
        <v>45.220634112600003</v>
      </c>
      <c r="H1238" s="86">
        <v>8</v>
      </c>
      <c r="I1238" s="86">
        <v>48</v>
      </c>
      <c r="J1238" s="87"/>
      <c r="K1238" s="87"/>
      <c r="L1238" s="87"/>
      <c r="M1238" s="87"/>
      <c r="N1238" s="87"/>
      <c r="O1238" s="87">
        <v>8</v>
      </c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>
        <v>8</v>
      </c>
      <c r="AD1238" s="87"/>
      <c r="AE1238" s="87"/>
      <c r="AF1238" s="87"/>
      <c r="AG1238" s="87"/>
      <c r="AH1238" s="87"/>
      <c r="AI1238" s="87"/>
      <c r="AJ1238" s="87"/>
      <c r="AK1238" s="87"/>
      <c r="AL1238" s="87"/>
      <c r="AM1238" s="87"/>
      <c r="AN1238" s="87"/>
      <c r="AO1238" s="87">
        <v>2</v>
      </c>
      <c r="AP1238" s="87">
        <v>4</v>
      </c>
      <c r="AQ1238" s="87">
        <v>2</v>
      </c>
      <c r="AR1238" s="87"/>
      <c r="AS1238" s="87"/>
      <c r="AT1238" s="87"/>
      <c r="AU1238" s="87"/>
      <c r="AV1238" s="87"/>
      <c r="AW1238" s="88" t="str">
        <f>HYPERLINK("http://www.openstreetmap.org/?mlat=34.3601&amp;mlon=45.2206&amp;zoom=12#map=12/34.3601/45.2206","Maplink1")</f>
        <v>Maplink1</v>
      </c>
      <c r="AX1238" s="88" t="str">
        <f>HYPERLINK("https://www.google.iq/maps/search/+34.3601,45.2206/@34.3601,45.2206,14z?hl=en","Maplink2")</f>
        <v>Maplink2</v>
      </c>
      <c r="AY1238" s="88" t="str">
        <f>HYPERLINK("http://www.bing.com/maps/?lvl=14&amp;sty=h&amp;cp=34.3601~45.2206&amp;sp=point.34.3601_45.2206","Maplink3")</f>
        <v>Maplink3</v>
      </c>
      <c r="AZ1238" s="76"/>
    </row>
    <row r="1239" spans="1:52" x14ac:dyDescent="0.25">
      <c r="A1239" s="86">
        <v>25627</v>
      </c>
      <c r="B1239" s="87" t="s">
        <v>17</v>
      </c>
      <c r="C1239" s="87" t="s">
        <v>2440</v>
      </c>
      <c r="D1239" s="87" t="s">
        <v>2457</v>
      </c>
      <c r="E1239" s="87" t="s">
        <v>2458</v>
      </c>
      <c r="F1239" s="87">
        <v>34.351803371400003</v>
      </c>
      <c r="G1239" s="87">
        <v>45.239902666900001</v>
      </c>
      <c r="H1239" s="86">
        <v>5</v>
      </c>
      <c r="I1239" s="86">
        <v>30</v>
      </c>
      <c r="J1239" s="87"/>
      <c r="K1239" s="87"/>
      <c r="L1239" s="87"/>
      <c r="M1239" s="87"/>
      <c r="N1239" s="87"/>
      <c r="O1239" s="87">
        <v>5</v>
      </c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>
        <v>5</v>
      </c>
      <c r="AD1239" s="87"/>
      <c r="AE1239" s="87"/>
      <c r="AF1239" s="87"/>
      <c r="AG1239" s="87"/>
      <c r="AH1239" s="87"/>
      <c r="AI1239" s="87"/>
      <c r="AJ1239" s="87"/>
      <c r="AK1239" s="87"/>
      <c r="AL1239" s="87"/>
      <c r="AM1239" s="87"/>
      <c r="AN1239" s="87"/>
      <c r="AO1239" s="87">
        <v>5</v>
      </c>
      <c r="AP1239" s="87"/>
      <c r="AQ1239" s="87"/>
      <c r="AR1239" s="87"/>
      <c r="AS1239" s="87"/>
      <c r="AT1239" s="87"/>
      <c r="AU1239" s="87"/>
      <c r="AV1239" s="87"/>
      <c r="AW1239" s="88" t="str">
        <f>HYPERLINK("http://www.openstreetmap.org/?mlat=34.3518&amp;mlon=45.2399&amp;zoom=12#map=12/34.3518/45.2399","Maplink1")</f>
        <v>Maplink1</v>
      </c>
      <c r="AX1239" s="88" t="str">
        <f>HYPERLINK("https://www.google.iq/maps/search/+34.3518,45.2399/@34.3518,45.2399,14z?hl=en","Maplink2")</f>
        <v>Maplink2</v>
      </c>
      <c r="AY1239" s="88" t="str">
        <f>HYPERLINK("http://www.bing.com/maps/?lvl=14&amp;sty=h&amp;cp=34.3518~45.2399&amp;sp=point.34.3518_45.2399","Maplink3")</f>
        <v>Maplink3</v>
      </c>
      <c r="AZ1239" s="76"/>
    </row>
    <row r="1240" spans="1:52" x14ac:dyDescent="0.25">
      <c r="A1240" s="86">
        <v>25341</v>
      </c>
      <c r="B1240" s="87" t="s">
        <v>17</v>
      </c>
      <c r="C1240" s="87" t="s">
        <v>2440</v>
      </c>
      <c r="D1240" s="87" t="s">
        <v>2459</v>
      </c>
      <c r="E1240" s="87" t="s">
        <v>2460</v>
      </c>
      <c r="F1240" s="87">
        <v>34.359259477599998</v>
      </c>
      <c r="G1240" s="87">
        <v>45.382732410199999</v>
      </c>
      <c r="H1240" s="86">
        <v>30</v>
      </c>
      <c r="I1240" s="86">
        <v>180</v>
      </c>
      <c r="J1240" s="87"/>
      <c r="K1240" s="87"/>
      <c r="L1240" s="87">
        <v>2</v>
      </c>
      <c r="M1240" s="87"/>
      <c r="N1240" s="87"/>
      <c r="O1240" s="87">
        <v>28</v>
      </c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>
        <v>8</v>
      </c>
      <c r="AD1240" s="87"/>
      <c r="AE1240" s="87"/>
      <c r="AF1240" s="87"/>
      <c r="AG1240" s="87"/>
      <c r="AH1240" s="87">
        <v>22</v>
      </c>
      <c r="AI1240" s="87"/>
      <c r="AJ1240" s="87"/>
      <c r="AK1240" s="87"/>
      <c r="AL1240" s="87"/>
      <c r="AM1240" s="87"/>
      <c r="AN1240" s="87"/>
      <c r="AO1240" s="87">
        <v>30</v>
      </c>
      <c r="AP1240" s="87"/>
      <c r="AQ1240" s="87"/>
      <c r="AR1240" s="87"/>
      <c r="AS1240" s="87"/>
      <c r="AT1240" s="87"/>
      <c r="AU1240" s="87"/>
      <c r="AV1240" s="87"/>
      <c r="AW1240" s="88" t="str">
        <f>HYPERLINK("http://www.openstreetmap.org/?mlat=34.3593&amp;mlon=45.3827&amp;zoom=12#map=12/34.3593/45.3827","Maplink1")</f>
        <v>Maplink1</v>
      </c>
      <c r="AX1240" s="88" t="str">
        <f>HYPERLINK("https://www.google.iq/maps/search/+34.3593,45.3827/@34.3593,45.3827,14z?hl=en","Maplink2")</f>
        <v>Maplink2</v>
      </c>
      <c r="AY1240" s="88" t="str">
        <f>HYPERLINK("http://www.bing.com/maps/?lvl=14&amp;sty=h&amp;cp=34.3593~45.3827&amp;sp=point.34.3593_45.3827","Maplink3")</f>
        <v>Maplink3</v>
      </c>
      <c r="AZ1240" s="76"/>
    </row>
    <row r="1241" spans="1:52" x14ac:dyDescent="0.25">
      <c r="A1241" s="86">
        <v>24386</v>
      </c>
      <c r="B1241" s="87" t="s">
        <v>17</v>
      </c>
      <c r="C1241" s="87" t="s">
        <v>2440</v>
      </c>
      <c r="D1241" s="87" t="s">
        <v>2461</v>
      </c>
      <c r="E1241" s="87" t="s">
        <v>2462</v>
      </c>
      <c r="F1241" s="87">
        <v>34.384676526900002</v>
      </c>
      <c r="G1241" s="87">
        <v>45.292655619199998</v>
      </c>
      <c r="H1241" s="86">
        <v>1</v>
      </c>
      <c r="I1241" s="86">
        <v>6</v>
      </c>
      <c r="J1241" s="87"/>
      <c r="K1241" s="87"/>
      <c r="L1241" s="87"/>
      <c r="M1241" s="87"/>
      <c r="N1241" s="87"/>
      <c r="O1241" s="87">
        <v>1</v>
      </c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>
        <v>1</v>
      </c>
      <c r="AD1241" s="87"/>
      <c r="AE1241" s="87"/>
      <c r="AF1241" s="87"/>
      <c r="AG1241" s="87"/>
      <c r="AH1241" s="87"/>
      <c r="AI1241" s="87"/>
      <c r="AJ1241" s="87"/>
      <c r="AK1241" s="87"/>
      <c r="AL1241" s="87"/>
      <c r="AM1241" s="87"/>
      <c r="AN1241" s="87"/>
      <c r="AO1241" s="87">
        <v>1</v>
      </c>
      <c r="AP1241" s="87"/>
      <c r="AQ1241" s="87"/>
      <c r="AR1241" s="87"/>
      <c r="AS1241" s="87"/>
      <c r="AT1241" s="87"/>
      <c r="AU1241" s="87"/>
      <c r="AV1241" s="87"/>
      <c r="AW1241" s="88" t="str">
        <f>HYPERLINK("http://www.openstreetmap.org/?mlat=34.3847&amp;mlon=45.2927&amp;zoom=12#map=12/34.3847/45.2927","Maplink1")</f>
        <v>Maplink1</v>
      </c>
      <c r="AX1241" s="88" t="str">
        <f>HYPERLINK("https://www.google.iq/maps/search/+34.3847,45.2927/@34.3847,45.2927,14z?hl=en","Maplink2")</f>
        <v>Maplink2</v>
      </c>
      <c r="AY1241" s="88" t="str">
        <f>HYPERLINK("http://www.bing.com/maps/?lvl=14&amp;sty=h&amp;cp=34.3847~45.2927&amp;sp=point.34.3847_45.2927","Maplink3")</f>
        <v>Maplink3</v>
      </c>
      <c r="AZ1241" s="76"/>
    </row>
    <row r="1242" spans="1:52" x14ac:dyDescent="0.25">
      <c r="A1242" s="86">
        <v>24404</v>
      </c>
      <c r="B1242" s="87" t="s">
        <v>17</v>
      </c>
      <c r="C1242" s="87" t="s">
        <v>2440</v>
      </c>
      <c r="D1242" s="87" t="s">
        <v>2463</v>
      </c>
      <c r="E1242" s="87" t="s">
        <v>2464</v>
      </c>
      <c r="F1242" s="87">
        <v>34.366800296999997</v>
      </c>
      <c r="G1242" s="87">
        <v>45.244049069900001</v>
      </c>
      <c r="H1242" s="86">
        <v>6</v>
      </c>
      <c r="I1242" s="86">
        <v>36</v>
      </c>
      <c r="J1242" s="87"/>
      <c r="K1242" s="87"/>
      <c r="L1242" s="87"/>
      <c r="M1242" s="87"/>
      <c r="N1242" s="87"/>
      <c r="O1242" s="87">
        <v>6</v>
      </c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87"/>
      <c r="AE1242" s="87"/>
      <c r="AF1242" s="87"/>
      <c r="AG1242" s="87"/>
      <c r="AH1242" s="87"/>
      <c r="AI1242" s="87"/>
      <c r="AJ1242" s="87"/>
      <c r="AK1242" s="87">
        <v>6</v>
      </c>
      <c r="AL1242" s="87"/>
      <c r="AM1242" s="87"/>
      <c r="AN1242" s="87"/>
      <c r="AO1242" s="87">
        <v>4</v>
      </c>
      <c r="AP1242" s="87"/>
      <c r="AQ1242" s="87">
        <v>2</v>
      </c>
      <c r="AR1242" s="87"/>
      <c r="AS1242" s="87"/>
      <c r="AT1242" s="87"/>
      <c r="AU1242" s="87"/>
      <c r="AV1242" s="87"/>
      <c r="AW1242" s="88" t="str">
        <f>HYPERLINK("http://www.openstreetmap.org/?mlat=34.3668&amp;mlon=45.244&amp;zoom=12#map=12/34.3668/45.244","Maplink1")</f>
        <v>Maplink1</v>
      </c>
      <c r="AX1242" s="88" t="str">
        <f>HYPERLINK("https://www.google.iq/maps/search/+34.3668,45.244/@34.3668,45.244,14z?hl=en","Maplink2")</f>
        <v>Maplink2</v>
      </c>
      <c r="AY1242" s="88" t="str">
        <f>HYPERLINK("http://www.bing.com/maps/?lvl=14&amp;sty=h&amp;cp=34.3668~45.244&amp;sp=point.34.3668_45.244","Maplink3")</f>
        <v>Maplink3</v>
      </c>
      <c r="AZ1242" s="76"/>
    </row>
    <row r="1243" spans="1:52" x14ac:dyDescent="0.25">
      <c r="A1243" s="86">
        <v>24407</v>
      </c>
      <c r="B1243" s="87" t="s">
        <v>17</v>
      </c>
      <c r="C1243" s="87" t="s">
        <v>2440</v>
      </c>
      <c r="D1243" s="87" t="s">
        <v>2465</v>
      </c>
      <c r="E1243" s="87" t="s">
        <v>2466</v>
      </c>
      <c r="F1243" s="87">
        <v>34.399497314900003</v>
      </c>
      <c r="G1243" s="87">
        <v>45.233582142099998</v>
      </c>
      <c r="H1243" s="86">
        <v>15</v>
      </c>
      <c r="I1243" s="86">
        <v>90</v>
      </c>
      <c r="J1243" s="87"/>
      <c r="K1243" s="87"/>
      <c r="L1243" s="87"/>
      <c r="M1243" s="87"/>
      <c r="N1243" s="87"/>
      <c r="O1243" s="87">
        <v>15</v>
      </c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>
        <v>10</v>
      </c>
      <c r="AD1243" s="87"/>
      <c r="AE1243" s="87"/>
      <c r="AF1243" s="87"/>
      <c r="AG1243" s="87"/>
      <c r="AH1243" s="87">
        <v>5</v>
      </c>
      <c r="AI1243" s="87"/>
      <c r="AJ1243" s="87"/>
      <c r="AK1243" s="87"/>
      <c r="AL1243" s="87"/>
      <c r="AM1243" s="87"/>
      <c r="AN1243" s="87"/>
      <c r="AO1243" s="87">
        <v>15</v>
      </c>
      <c r="AP1243" s="87"/>
      <c r="AQ1243" s="87"/>
      <c r="AR1243" s="87"/>
      <c r="AS1243" s="87"/>
      <c r="AT1243" s="87"/>
      <c r="AU1243" s="87"/>
      <c r="AV1243" s="87"/>
      <c r="AW1243" s="88" t="str">
        <f>HYPERLINK("http://www.openstreetmap.org/?mlat=34.3995&amp;mlon=45.2336&amp;zoom=12#map=12/34.3995/45.2336","Maplink1")</f>
        <v>Maplink1</v>
      </c>
      <c r="AX1243" s="88" t="str">
        <f>HYPERLINK("https://www.google.iq/maps/search/+34.3995,45.2336/@34.3995,45.2336,14z?hl=en","Maplink2")</f>
        <v>Maplink2</v>
      </c>
      <c r="AY1243" s="88" t="str">
        <f>HYPERLINK("http://www.bing.com/maps/?lvl=14&amp;sty=h&amp;cp=34.3995~45.2336&amp;sp=point.34.3995_45.2336","Maplink3")</f>
        <v>Maplink3</v>
      </c>
      <c r="AZ1243" s="76"/>
    </row>
    <row r="1244" spans="1:52" x14ac:dyDescent="0.25">
      <c r="A1244" s="86">
        <v>24395</v>
      </c>
      <c r="B1244" s="87" t="s">
        <v>17</v>
      </c>
      <c r="C1244" s="87" t="s">
        <v>2440</v>
      </c>
      <c r="D1244" s="87" t="s">
        <v>2467</v>
      </c>
      <c r="E1244" s="87" t="s">
        <v>118</v>
      </c>
      <c r="F1244" s="87">
        <v>34.347297152400003</v>
      </c>
      <c r="G1244" s="87">
        <v>45.407163695900003</v>
      </c>
      <c r="H1244" s="86">
        <v>23</v>
      </c>
      <c r="I1244" s="86">
        <v>138</v>
      </c>
      <c r="J1244" s="87"/>
      <c r="K1244" s="87"/>
      <c r="L1244" s="87"/>
      <c r="M1244" s="87"/>
      <c r="N1244" s="87"/>
      <c r="O1244" s="87">
        <v>23</v>
      </c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87"/>
      <c r="AE1244" s="87"/>
      <c r="AF1244" s="87"/>
      <c r="AG1244" s="87"/>
      <c r="AH1244" s="87">
        <v>23</v>
      </c>
      <c r="AI1244" s="87"/>
      <c r="AJ1244" s="87"/>
      <c r="AK1244" s="87"/>
      <c r="AL1244" s="87"/>
      <c r="AM1244" s="87"/>
      <c r="AN1244" s="87"/>
      <c r="AO1244" s="87">
        <v>18</v>
      </c>
      <c r="AP1244" s="87">
        <v>5</v>
      </c>
      <c r="AQ1244" s="87"/>
      <c r="AR1244" s="87"/>
      <c r="AS1244" s="87"/>
      <c r="AT1244" s="87"/>
      <c r="AU1244" s="87"/>
      <c r="AV1244" s="87"/>
      <c r="AW1244" s="88" t="str">
        <f>HYPERLINK("http://www.openstreetmap.org/?mlat=34.3473&amp;mlon=45.4072&amp;zoom=12#map=12/34.3473/45.4072","Maplink1")</f>
        <v>Maplink1</v>
      </c>
      <c r="AX1244" s="88" t="str">
        <f>HYPERLINK("https://www.google.iq/maps/search/+34.3473,45.4072/@34.3473,45.4072,14z?hl=en","Maplink2")</f>
        <v>Maplink2</v>
      </c>
      <c r="AY1244" s="88" t="str">
        <f>HYPERLINK("http://www.bing.com/maps/?lvl=14&amp;sty=h&amp;cp=34.3473~45.4072&amp;sp=point.34.3473_45.4072","Maplink3")</f>
        <v>Maplink3</v>
      </c>
      <c r="AZ1244" s="76"/>
    </row>
    <row r="1245" spans="1:52" x14ac:dyDescent="0.25">
      <c r="A1245" s="86">
        <v>10676</v>
      </c>
      <c r="B1245" s="87" t="s">
        <v>17</v>
      </c>
      <c r="C1245" s="87" t="s">
        <v>2440</v>
      </c>
      <c r="D1245" s="87" t="s">
        <v>2468</v>
      </c>
      <c r="E1245" s="87" t="s">
        <v>2469</v>
      </c>
      <c r="F1245" s="87">
        <v>34.331182005800002</v>
      </c>
      <c r="G1245" s="87">
        <v>45.401135606300002</v>
      </c>
      <c r="H1245" s="86">
        <v>20</v>
      </c>
      <c r="I1245" s="86">
        <v>120</v>
      </c>
      <c r="J1245" s="87"/>
      <c r="K1245" s="87"/>
      <c r="L1245" s="87"/>
      <c r="M1245" s="87"/>
      <c r="N1245" s="87"/>
      <c r="O1245" s="87">
        <v>20</v>
      </c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>
        <v>20</v>
      </c>
      <c r="AD1245" s="87"/>
      <c r="AE1245" s="87"/>
      <c r="AF1245" s="87"/>
      <c r="AG1245" s="87"/>
      <c r="AH1245" s="87"/>
      <c r="AI1245" s="87"/>
      <c r="AJ1245" s="87"/>
      <c r="AK1245" s="87"/>
      <c r="AL1245" s="87"/>
      <c r="AM1245" s="87"/>
      <c r="AN1245" s="87"/>
      <c r="AO1245" s="87">
        <v>20</v>
      </c>
      <c r="AP1245" s="87"/>
      <c r="AQ1245" s="87"/>
      <c r="AR1245" s="87"/>
      <c r="AS1245" s="87"/>
      <c r="AT1245" s="87"/>
      <c r="AU1245" s="87"/>
      <c r="AV1245" s="87"/>
      <c r="AW1245" s="88" t="str">
        <f>HYPERLINK("http://www.openstreetmap.org/?mlat=34.3312&amp;mlon=45.4011&amp;zoom=12#map=12/34.3312/45.4011","Maplink1")</f>
        <v>Maplink1</v>
      </c>
      <c r="AX1245" s="88" t="str">
        <f>HYPERLINK("https://www.google.iq/maps/search/+34.3312,45.4011/@34.3312,45.4011,14z?hl=en","Maplink2")</f>
        <v>Maplink2</v>
      </c>
      <c r="AY1245" s="88" t="str">
        <f>HYPERLINK("http://www.bing.com/maps/?lvl=14&amp;sty=h&amp;cp=34.3312~45.4011&amp;sp=point.34.3312_45.4011","Maplink3")</f>
        <v>Maplink3</v>
      </c>
      <c r="AZ1245" s="76"/>
    </row>
    <row r="1246" spans="1:52" x14ac:dyDescent="0.25">
      <c r="A1246" s="86">
        <v>24352</v>
      </c>
      <c r="B1246" s="87" t="s">
        <v>17</v>
      </c>
      <c r="C1246" s="87" t="s">
        <v>2440</v>
      </c>
      <c r="D1246" s="87" t="s">
        <v>2470</v>
      </c>
      <c r="E1246" s="87" t="s">
        <v>2471</v>
      </c>
      <c r="F1246" s="87">
        <v>34.305654072199999</v>
      </c>
      <c r="G1246" s="87">
        <v>45.350398722800001</v>
      </c>
      <c r="H1246" s="86">
        <v>31</v>
      </c>
      <c r="I1246" s="86">
        <v>186</v>
      </c>
      <c r="J1246" s="87"/>
      <c r="K1246" s="87"/>
      <c r="L1246" s="87"/>
      <c r="M1246" s="87"/>
      <c r="N1246" s="87"/>
      <c r="O1246" s="87">
        <v>31</v>
      </c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>
        <v>2</v>
      </c>
      <c r="AD1246" s="87"/>
      <c r="AE1246" s="87"/>
      <c r="AF1246" s="87"/>
      <c r="AG1246" s="87"/>
      <c r="AH1246" s="87">
        <v>29</v>
      </c>
      <c r="AI1246" s="87"/>
      <c r="AJ1246" s="87"/>
      <c r="AK1246" s="87"/>
      <c r="AL1246" s="87"/>
      <c r="AM1246" s="87"/>
      <c r="AN1246" s="87"/>
      <c r="AO1246" s="87">
        <v>17</v>
      </c>
      <c r="AP1246" s="87"/>
      <c r="AQ1246" s="87"/>
      <c r="AR1246" s="87"/>
      <c r="AS1246" s="87"/>
      <c r="AT1246" s="87"/>
      <c r="AU1246" s="87"/>
      <c r="AV1246" s="87">
        <v>14</v>
      </c>
      <c r="AW1246" s="88" t="str">
        <f>HYPERLINK("http://www.openstreetmap.org/?mlat=34.3057&amp;mlon=45.3504&amp;zoom=12#map=12/34.3057/45.3504","Maplink1")</f>
        <v>Maplink1</v>
      </c>
      <c r="AX1246" s="88" t="str">
        <f>HYPERLINK("https://www.google.iq/maps/search/+34.3057,45.3504/@34.3057,45.3504,14z?hl=en","Maplink2")</f>
        <v>Maplink2</v>
      </c>
      <c r="AY1246" s="88" t="str">
        <f>HYPERLINK("http://www.bing.com/maps/?lvl=14&amp;sty=h&amp;cp=34.3057~45.3504&amp;sp=point.34.3057_45.3504","Maplink3")</f>
        <v>Maplink3</v>
      </c>
      <c r="AZ1246" s="76"/>
    </row>
    <row r="1247" spans="1:52" x14ac:dyDescent="0.25">
      <c r="A1247" s="86">
        <v>25257</v>
      </c>
      <c r="B1247" s="87" t="s">
        <v>17</v>
      </c>
      <c r="C1247" s="87" t="s">
        <v>2440</v>
      </c>
      <c r="D1247" s="87" t="s">
        <v>2472</v>
      </c>
      <c r="E1247" s="87" t="s">
        <v>2473</v>
      </c>
      <c r="F1247" s="87">
        <v>34.314427264400003</v>
      </c>
      <c r="G1247" s="87">
        <v>45.356517841799999</v>
      </c>
      <c r="H1247" s="86">
        <v>350</v>
      </c>
      <c r="I1247" s="86">
        <v>2100</v>
      </c>
      <c r="J1247" s="87"/>
      <c r="K1247" s="87"/>
      <c r="L1247" s="87"/>
      <c r="M1247" s="87"/>
      <c r="N1247" s="87"/>
      <c r="O1247" s="87">
        <v>350</v>
      </c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>
        <v>15</v>
      </c>
      <c r="AD1247" s="87"/>
      <c r="AE1247" s="87"/>
      <c r="AF1247" s="87"/>
      <c r="AG1247" s="87"/>
      <c r="AH1247" s="87">
        <v>335</v>
      </c>
      <c r="AI1247" s="87"/>
      <c r="AJ1247" s="87"/>
      <c r="AK1247" s="87"/>
      <c r="AL1247" s="87"/>
      <c r="AM1247" s="87"/>
      <c r="AN1247" s="87"/>
      <c r="AO1247" s="87">
        <v>325</v>
      </c>
      <c r="AP1247" s="87">
        <v>25</v>
      </c>
      <c r="AQ1247" s="87"/>
      <c r="AR1247" s="87"/>
      <c r="AS1247" s="87"/>
      <c r="AT1247" s="87"/>
      <c r="AU1247" s="87"/>
      <c r="AV1247" s="87"/>
      <c r="AW1247" s="88" t="str">
        <f>HYPERLINK("http://www.openstreetmap.org/?mlat=34.3144&amp;mlon=45.3565&amp;zoom=12#map=12/34.3144/45.3565","Maplink1")</f>
        <v>Maplink1</v>
      </c>
      <c r="AX1247" s="88" t="str">
        <f>HYPERLINK("https://www.google.iq/maps/search/+34.3144,45.3565/@34.3144,45.3565,14z?hl=en","Maplink2")</f>
        <v>Maplink2</v>
      </c>
      <c r="AY1247" s="88" t="str">
        <f>HYPERLINK("http://www.bing.com/maps/?lvl=14&amp;sty=h&amp;cp=34.3144~45.3565&amp;sp=point.34.3144_45.3565","Maplink3")</f>
        <v>Maplink3</v>
      </c>
      <c r="AZ1247" s="76"/>
    </row>
    <row r="1248" spans="1:52" x14ac:dyDescent="0.25">
      <c r="A1248" s="86">
        <v>24400</v>
      </c>
      <c r="B1248" s="87" t="s">
        <v>17</v>
      </c>
      <c r="C1248" s="87" t="s">
        <v>2440</v>
      </c>
      <c r="D1248" s="87" t="s">
        <v>2474</v>
      </c>
      <c r="E1248" s="87" t="s">
        <v>2475</v>
      </c>
      <c r="F1248" s="87">
        <v>34.358363347500003</v>
      </c>
      <c r="G1248" s="87">
        <v>45.2359515984</v>
      </c>
      <c r="H1248" s="86">
        <v>8</v>
      </c>
      <c r="I1248" s="86">
        <v>48</v>
      </c>
      <c r="J1248" s="87"/>
      <c r="K1248" s="87"/>
      <c r="L1248" s="87"/>
      <c r="M1248" s="87"/>
      <c r="N1248" s="87"/>
      <c r="O1248" s="87">
        <v>8</v>
      </c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87"/>
      <c r="AE1248" s="87"/>
      <c r="AF1248" s="87"/>
      <c r="AG1248" s="87"/>
      <c r="AH1248" s="87">
        <v>5</v>
      </c>
      <c r="AI1248" s="87"/>
      <c r="AJ1248" s="87"/>
      <c r="AK1248" s="87">
        <v>3</v>
      </c>
      <c r="AL1248" s="87"/>
      <c r="AM1248" s="87"/>
      <c r="AN1248" s="87"/>
      <c r="AO1248" s="87">
        <v>3</v>
      </c>
      <c r="AP1248" s="87">
        <v>5</v>
      </c>
      <c r="AQ1248" s="87"/>
      <c r="AR1248" s="87"/>
      <c r="AS1248" s="87"/>
      <c r="AT1248" s="87"/>
      <c r="AU1248" s="87"/>
      <c r="AV1248" s="87"/>
      <c r="AW1248" s="88" t="str">
        <f>HYPERLINK("http://www.openstreetmap.org/?mlat=34.3584&amp;mlon=45.236&amp;zoom=12#map=12/34.3584/45.236","Maplink1")</f>
        <v>Maplink1</v>
      </c>
      <c r="AX1248" s="88" t="str">
        <f>HYPERLINK("https://www.google.iq/maps/search/+34.3584,45.236/@34.3584,45.236,14z?hl=en","Maplink2")</f>
        <v>Maplink2</v>
      </c>
      <c r="AY1248" s="88" t="str">
        <f>HYPERLINK("http://www.bing.com/maps/?lvl=14&amp;sty=h&amp;cp=34.3584~45.236&amp;sp=point.34.3584_45.236","Maplink3")</f>
        <v>Maplink3</v>
      </c>
      <c r="AZ1248" s="76"/>
    </row>
    <row r="1249" spans="1:52" x14ac:dyDescent="0.25">
      <c r="A1249" s="86">
        <v>27296</v>
      </c>
      <c r="B1249" s="87" t="s">
        <v>17</v>
      </c>
      <c r="C1249" s="87" t="s">
        <v>2440</v>
      </c>
      <c r="D1249" s="87" t="s">
        <v>2476</v>
      </c>
      <c r="E1249" s="87" t="s">
        <v>2477</v>
      </c>
      <c r="F1249" s="87">
        <v>34.315936134799998</v>
      </c>
      <c r="G1249" s="87">
        <v>45.403775937699997</v>
      </c>
      <c r="H1249" s="86">
        <v>47</v>
      </c>
      <c r="I1249" s="86">
        <v>282</v>
      </c>
      <c r="J1249" s="87"/>
      <c r="K1249" s="87"/>
      <c r="L1249" s="87"/>
      <c r="M1249" s="87"/>
      <c r="N1249" s="87"/>
      <c r="O1249" s="87">
        <v>47</v>
      </c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87"/>
      <c r="AE1249" s="87"/>
      <c r="AF1249" s="87"/>
      <c r="AG1249" s="87"/>
      <c r="AH1249" s="87">
        <v>47</v>
      </c>
      <c r="AI1249" s="87"/>
      <c r="AJ1249" s="87"/>
      <c r="AK1249" s="87"/>
      <c r="AL1249" s="87"/>
      <c r="AM1249" s="87"/>
      <c r="AN1249" s="87"/>
      <c r="AO1249" s="87">
        <v>17</v>
      </c>
      <c r="AP1249" s="87">
        <v>30</v>
      </c>
      <c r="AQ1249" s="87"/>
      <c r="AR1249" s="87"/>
      <c r="AS1249" s="87"/>
      <c r="AT1249" s="87"/>
      <c r="AU1249" s="87"/>
      <c r="AV1249" s="87"/>
      <c r="AW1249" s="88" t="str">
        <f>HYPERLINK("http://www.openstreetmap.org/?mlat=34.3159&amp;mlon=45.4038&amp;zoom=12#map=12/34.3159/45.4038","Maplink1")</f>
        <v>Maplink1</v>
      </c>
      <c r="AX1249" s="88" t="str">
        <f>HYPERLINK("https://www.google.iq/maps/search/+34.3159,45.4038/@34.3159,45.4038,14z?hl=en","Maplink2")</f>
        <v>Maplink2</v>
      </c>
      <c r="AY1249" s="88" t="str">
        <f>HYPERLINK("http://www.bing.com/maps/?lvl=14&amp;sty=h&amp;cp=34.3159~45.4038&amp;sp=point.34.3159_45.4038","Maplink3")</f>
        <v>Maplink3</v>
      </c>
      <c r="AZ1249" s="76"/>
    </row>
    <row r="1250" spans="1:52" x14ac:dyDescent="0.25">
      <c r="A1250" s="86">
        <v>27297</v>
      </c>
      <c r="B1250" s="87" t="s">
        <v>17</v>
      </c>
      <c r="C1250" s="87" t="s">
        <v>2440</v>
      </c>
      <c r="D1250" s="87" t="s">
        <v>2478</v>
      </c>
      <c r="E1250" s="87" t="s">
        <v>2479</v>
      </c>
      <c r="F1250" s="87">
        <v>34.317475392799999</v>
      </c>
      <c r="G1250" s="87">
        <v>45.4026154142</v>
      </c>
      <c r="H1250" s="86">
        <v>60</v>
      </c>
      <c r="I1250" s="86">
        <v>360</v>
      </c>
      <c r="J1250" s="87"/>
      <c r="K1250" s="87"/>
      <c r="L1250" s="87"/>
      <c r="M1250" s="87"/>
      <c r="N1250" s="87"/>
      <c r="O1250" s="87">
        <v>60</v>
      </c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>
        <v>15</v>
      </c>
      <c r="AD1250" s="87"/>
      <c r="AE1250" s="87"/>
      <c r="AF1250" s="87"/>
      <c r="AG1250" s="87"/>
      <c r="AH1250" s="87">
        <v>45</v>
      </c>
      <c r="AI1250" s="87"/>
      <c r="AJ1250" s="87"/>
      <c r="AK1250" s="87"/>
      <c r="AL1250" s="87"/>
      <c r="AM1250" s="87"/>
      <c r="AN1250" s="87"/>
      <c r="AO1250" s="87">
        <v>30</v>
      </c>
      <c r="AP1250" s="87">
        <v>30</v>
      </c>
      <c r="AQ1250" s="87"/>
      <c r="AR1250" s="87"/>
      <c r="AS1250" s="87"/>
      <c r="AT1250" s="87"/>
      <c r="AU1250" s="87"/>
      <c r="AV1250" s="87"/>
      <c r="AW1250" s="88" t="str">
        <f>HYPERLINK("http://www.openstreetmap.org/?mlat=34.3175&amp;mlon=45.4026&amp;zoom=12#map=12/34.3175/45.4026","Maplink1")</f>
        <v>Maplink1</v>
      </c>
      <c r="AX1250" s="88" t="str">
        <f>HYPERLINK("https://www.google.iq/maps/search/+34.3175,45.4026/@34.3175,45.4026,14z?hl=en","Maplink2")</f>
        <v>Maplink2</v>
      </c>
      <c r="AY1250" s="88" t="str">
        <f>HYPERLINK("http://www.bing.com/maps/?lvl=14&amp;sty=h&amp;cp=34.3175~45.4026&amp;sp=point.34.3175_45.4026","Maplink3")</f>
        <v>Maplink3</v>
      </c>
      <c r="AZ1250" s="76"/>
    </row>
    <row r="1251" spans="1:52" x14ac:dyDescent="0.25">
      <c r="A1251" s="86">
        <v>27298</v>
      </c>
      <c r="B1251" s="87" t="s">
        <v>17</v>
      </c>
      <c r="C1251" s="87" t="s">
        <v>2440</v>
      </c>
      <c r="D1251" s="87" t="s">
        <v>2480</v>
      </c>
      <c r="E1251" s="87" t="s">
        <v>2481</v>
      </c>
      <c r="F1251" s="87">
        <v>34.3197323805</v>
      </c>
      <c r="G1251" s="87">
        <v>45.396664879699998</v>
      </c>
      <c r="H1251" s="86">
        <v>9</v>
      </c>
      <c r="I1251" s="86">
        <v>54</v>
      </c>
      <c r="J1251" s="87"/>
      <c r="K1251" s="87"/>
      <c r="L1251" s="87"/>
      <c r="M1251" s="87"/>
      <c r="N1251" s="87"/>
      <c r="O1251" s="87">
        <v>9</v>
      </c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87"/>
      <c r="AE1251" s="87"/>
      <c r="AF1251" s="87"/>
      <c r="AG1251" s="87"/>
      <c r="AH1251" s="87">
        <v>9</v>
      </c>
      <c r="AI1251" s="87"/>
      <c r="AJ1251" s="87"/>
      <c r="AK1251" s="87"/>
      <c r="AL1251" s="87"/>
      <c r="AM1251" s="87"/>
      <c r="AN1251" s="87"/>
      <c r="AO1251" s="87">
        <v>9</v>
      </c>
      <c r="AP1251" s="87"/>
      <c r="AQ1251" s="87"/>
      <c r="AR1251" s="87"/>
      <c r="AS1251" s="87"/>
      <c r="AT1251" s="87"/>
      <c r="AU1251" s="87"/>
      <c r="AV1251" s="87"/>
      <c r="AW1251" s="88" t="str">
        <f>HYPERLINK("http://www.openstreetmap.org/?mlat=34.3197&amp;mlon=45.3967&amp;zoom=12#map=12/34.3197/45.3967","Maplink1")</f>
        <v>Maplink1</v>
      </c>
      <c r="AX1251" s="88" t="str">
        <f>HYPERLINK("https://www.google.iq/maps/search/+34.3197,45.3967/@34.3197,45.3967,14z?hl=en","Maplink2")</f>
        <v>Maplink2</v>
      </c>
      <c r="AY1251" s="88" t="str">
        <f>HYPERLINK("http://www.bing.com/maps/?lvl=14&amp;sty=h&amp;cp=34.3197~45.3967&amp;sp=point.34.3197_45.3967","Maplink3")</f>
        <v>Maplink3</v>
      </c>
      <c r="AZ1251" s="76"/>
    </row>
    <row r="1252" spans="1:52" x14ac:dyDescent="0.25">
      <c r="A1252" s="86">
        <v>10399</v>
      </c>
      <c r="B1252" s="87" t="s">
        <v>17</v>
      </c>
      <c r="C1252" s="87" t="s">
        <v>2440</v>
      </c>
      <c r="D1252" s="87" t="s">
        <v>2482</v>
      </c>
      <c r="E1252" s="87" t="s">
        <v>2483</v>
      </c>
      <c r="F1252" s="87">
        <v>34.599149400000002</v>
      </c>
      <c r="G1252" s="87">
        <v>45.353760600000001</v>
      </c>
      <c r="H1252" s="86">
        <v>7</v>
      </c>
      <c r="I1252" s="86">
        <v>42</v>
      </c>
      <c r="J1252" s="87"/>
      <c r="K1252" s="87"/>
      <c r="L1252" s="87"/>
      <c r="M1252" s="87"/>
      <c r="N1252" s="87"/>
      <c r="O1252" s="87">
        <v>7</v>
      </c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87"/>
      <c r="AE1252" s="87"/>
      <c r="AF1252" s="87"/>
      <c r="AG1252" s="87"/>
      <c r="AH1252" s="87">
        <v>7</v>
      </c>
      <c r="AI1252" s="87"/>
      <c r="AJ1252" s="87"/>
      <c r="AK1252" s="87"/>
      <c r="AL1252" s="87"/>
      <c r="AM1252" s="87"/>
      <c r="AN1252" s="87"/>
      <c r="AO1252" s="87">
        <v>2</v>
      </c>
      <c r="AP1252" s="87"/>
      <c r="AQ1252" s="87">
        <v>3</v>
      </c>
      <c r="AR1252" s="87"/>
      <c r="AS1252" s="87">
        <v>1</v>
      </c>
      <c r="AT1252" s="87"/>
      <c r="AU1252" s="87">
        <v>1</v>
      </c>
      <c r="AV1252" s="87"/>
      <c r="AW1252" s="88" t="str">
        <f>HYPERLINK("http://www.openstreetmap.org/?mlat=34.5991&amp;mlon=45.3538&amp;zoom=12#map=12/34.5991/45.3538","Maplink1")</f>
        <v>Maplink1</v>
      </c>
      <c r="AX1252" s="88" t="str">
        <f>HYPERLINK("https://www.google.iq/maps/search/+34.5991,45.3538/@34.5991,45.3538,14z?hl=en","Maplink2")</f>
        <v>Maplink2</v>
      </c>
      <c r="AY1252" s="88" t="str">
        <f>HYPERLINK("http://www.bing.com/maps/?lvl=14&amp;sty=h&amp;cp=34.5991~45.3538&amp;sp=point.34.5991_45.3538","Maplink3")</f>
        <v>Maplink3</v>
      </c>
      <c r="AZ1252" s="76"/>
    </row>
    <row r="1253" spans="1:52" x14ac:dyDescent="0.25">
      <c r="A1253" s="86">
        <v>27299</v>
      </c>
      <c r="B1253" s="87" t="s">
        <v>17</v>
      </c>
      <c r="C1253" s="87" t="s">
        <v>2440</v>
      </c>
      <c r="D1253" s="87" t="s">
        <v>2484</v>
      </c>
      <c r="E1253" s="87" t="s">
        <v>2485</v>
      </c>
      <c r="F1253" s="87">
        <v>34.3467263346</v>
      </c>
      <c r="G1253" s="87">
        <v>45.3908373238</v>
      </c>
      <c r="H1253" s="86">
        <v>7</v>
      </c>
      <c r="I1253" s="86">
        <v>42</v>
      </c>
      <c r="J1253" s="87"/>
      <c r="K1253" s="87"/>
      <c r="L1253" s="87"/>
      <c r="M1253" s="87"/>
      <c r="N1253" s="87"/>
      <c r="O1253" s="87">
        <v>7</v>
      </c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87"/>
      <c r="AE1253" s="87"/>
      <c r="AF1253" s="87"/>
      <c r="AG1253" s="87"/>
      <c r="AH1253" s="87">
        <v>7</v>
      </c>
      <c r="AI1253" s="87"/>
      <c r="AJ1253" s="87"/>
      <c r="AK1253" s="87"/>
      <c r="AL1253" s="87"/>
      <c r="AM1253" s="87"/>
      <c r="AN1253" s="87"/>
      <c r="AO1253" s="87">
        <v>5</v>
      </c>
      <c r="AP1253" s="87">
        <v>2</v>
      </c>
      <c r="AQ1253" s="87"/>
      <c r="AR1253" s="87"/>
      <c r="AS1253" s="87"/>
      <c r="AT1253" s="87"/>
      <c r="AU1253" s="87"/>
      <c r="AV1253" s="87"/>
      <c r="AW1253" s="88" t="str">
        <f>HYPERLINK("http://www.openstreetmap.org/?mlat=34.3467&amp;mlon=45.3908&amp;zoom=12#map=12/34.3467/45.3908","Maplink1")</f>
        <v>Maplink1</v>
      </c>
      <c r="AX1253" s="88" t="str">
        <f>HYPERLINK("https://www.google.iq/maps/search/+34.3467,45.3908/@34.3467,45.3908,14z?hl=en","Maplink2")</f>
        <v>Maplink2</v>
      </c>
      <c r="AY1253" s="88" t="str">
        <f>HYPERLINK("http://www.bing.com/maps/?lvl=14&amp;sty=h&amp;cp=34.3467~45.3908&amp;sp=point.34.3467_45.3908","Maplink3")</f>
        <v>Maplink3</v>
      </c>
      <c r="AZ1253" s="76"/>
    </row>
    <row r="1254" spans="1:52" x14ac:dyDescent="0.25">
      <c r="A1254" s="86">
        <v>24387</v>
      </c>
      <c r="B1254" s="87" t="s">
        <v>17</v>
      </c>
      <c r="C1254" s="87" t="s">
        <v>2440</v>
      </c>
      <c r="D1254" s="87" t="s">
        <v>2486</v>
      </c>
      <c r="E1254" s="87" t="s">
        <v>2487</v>
      </c>
      <c r="F1254" s="87">
        <v>34.376195106499999</v>
      </c>
      <c r="G1254" s="87">
        <v>45.275496554900002</v>
      </c>
      <c r="H1254" s="86">
        <v>5</v>
      </c>
      <c r="I1254" s="86">
        <v>30</v>
      </c>
      <c r="J1254" s="87"/>
      <c r="K1254" s="87"/>
      <c r="L1254" s="87"/>
      <c r="M1254" s="87"/>
      <c r="N1254" s="87"/>
      <c r="O1254" s="87">
        <v>5</v>
      </c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>
        <v>5</v>
      </c>
      <c r="AD1254" s="87"/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7"/>
      <c r="AP1254" s="87">
        <v>5</v>
      </c>
      <c r="AQ1254" s="87"/>
      <c r="AR1254" s="87"/>
      <c r="AS1254" s="87"/>
      <c r="AT1254" s="87"/>
      <c r="AU1254" s="87"/>
      <c r="AV1254" s="87"/>
      <c r="AW1254" s="88" t="str">
        <f>HYPERLINK("http://www.openstreetmap.org/?mlat=34.3762&amp;mlon=45.2755&amp;zoom=12#map=12/34.3762/45.2755","Maplink1")</f>
        <v>Maplink1</v>
      </c>
      <c r="AX1254" s="88" t="str">
        <f>HYPERLINK("https://www.google.iq/maps/search/+34.3762,45.2755/@34.3762,45.2755,14z?hl=en","Maplink2")</f>
        <v>Maplink2</v>
      </c>
      <c r="AY1254" s="88" t="str">
        <f>HYPERLINK("http://www.bing.com/maps/?lvl=14&amp;sty=h&amp;cp=34.3762~45.2755&amp;sp=point.34.3762_45.2755","Maplink3")</f>
        <v>Maplink3</v>
      </c>
      <c r="AZ1254" s="76"/>
    </row>
    <row r="1255" spans="1:52" x14ac:dyDescent="0.25">
      <c r="A1255" s="86">
        <v>25467</v>
      </c>
      <c r="B1255" s="87" t="s">
        <v>17</v>
      </c>
      <c r="C1255" s="87" t="s">
        <v>2440</v>
      </c>
      <c r="D1255" s="87" t="s">
        <v>2488</v>
      </c>
      <c r="E1255" s="87" t="s">
        <v>2489</v>
      </c>
      <c r="F1255" s="87">
        <v>34.339316569099999</v>
      </c>
      <c r="G1255" s="87">
        <v>45.3908512422</v>
      </c>
      <c r="H1255" s="86">
        <v>55</v>
      </c>
      <c r="I1255" s="86">
        <v>330</v>
      </c>
      <c r="J1255" s="87"/>
      <c r="K1255" s="87"/>
      <c r="L1255" s="87"/>
      <c r="M1255" s="87"/>
      <c r="N1255" s="87"/>
      <c r="O1255" s="87">
        <v>55</v>
      </c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87"/>
      <c r="AE1255" s="87"/>
      <c r="AF1255" s="87"/>
      <c r="AG1255" s="87"/>
      <c r="AH1255" s="87">
        <v>55</v>
      </c>
      <c r="AI1255" s="87"/>
      <c r="AJ1255" s="87"/>
      <c r="AK1255" s="87"/>
      <c r="AL1255" s="87"/>
      <c r="AM1255" s="87"/>
      <c r="AN1255" s="87"/>
      <c r="AO1255" s="87">
        <v>44</v>
      </c>
      <c r="AP1255" s="87">
        <v>11</v>
      </c>
      <c r="AQ1255" s="87"/>
      <c r="AR1255" s="87"/>
      <c r="AS1255" s="87"/>
      <c r="AT1255" s="87"/>
      <c r="AU1255" s="87"/>
      <c r="AV1255" s="87"/>
      <c r="AW1255" s="88" t="str">
        <f>HYPERLINK("http://www.openstreetmap.org/?mlat=34.3393&amp;mlon=45.3909&amp;zoom=12#map=12/34.3393/45.3909","Maplink1")</f>
        <v>Maplink1</v>
      </c>
      <c r="AX1255" s="88" t="str">
        <f>HYPERLINK("https://www.google.iq/maps/search/+34.3393,45.3909/@34.3393,45.3909,14z?hl=en","Maplink2")</f>
        <v>Maplink2</v>
      </c>
      <c r="AY1255" s="88" t="str">
        <f>HYPERLINK("http://www.bing.com/maps/?lvl=14&amp;sty=h&amp;cp=34.3393~45.3909&amp;sp=point.34.3393_45.3909","Maplink3")</f>
        <v>Maplink3</v>
      </c>
      <c r="AZ1255" s="76"/>
    </row>
    <row r="1256" spans="1:52" x14ac:dyDescent="0.25">
      <c r="A1256" s="86">
        <v>24403</v>
      </c>
      <c r="B1256" s="87" t="s">
        <v>17</v>
      </c>
      <c r="C1256" s="87" t="s">
        <v>2440</v>
      </c>
      <c r="D1256" s="87" t="s">
        <v>2490</v>
      </c>
      <c r="E1256" s="87" t="s">
        <v>2491</v>
      </c>
      <c r="F1256" s="87">
        <v>34.391732750199999</v>
      </c>
      <c r="G1256" s="87">
        <v>45.30702866</v>
      </c>
      <c r="H1256" s="86">
        <v>5</v>
      </c>
      <c r="I1256" s="86">
        <v>30</v>
      </c>
      <c r="J1256" s="87"/>
      <c r="K1256" s="87"/>
      <c r="L1256" s="87"/>
      <c r="M1256" s="87"/>
      <c r="N1256" s="87"/>
      <c r="O1256" s="87">
        <v>5</v>
      </c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>
        <v>5</v>
      </c>
      <c r="AD1256" s="87"/>
      <c r="AE1256" s="87"/>
      <c r="AF1256" s="87"/>
      <c r="AG1256" s="87"/>
      <c r="AH1256" s="87"/>
      <c r="AI1256" s="87"/>
      <c r="AJ1256" s="87"/>
      <c r="AK1256" s="87"/>
      <c r="AL1256" s="87"/>
      <c r="AM1256" s="87"/>
      <c r="AN1256" s="87"/>
      <c r="AO1256" s="87">
        <v>3</v>
      </c>
      <c r="AP1256" s="87">
        <v>2</v>
      </c>
      <c r="AQ1256" s="87"/>
      <c r="AR1256" s="87"/>
      <c r="AS1256" s="87"/>
      <c r="AT1256" s="87"/>
      <c r="AU1256" s="87"/>
      <c r="AV1256" s="87"/>
      <c r="AW1256" s="88" t="str">
        <f>HYPERLINK("http://www.openstreetmap.org/?mlat=34.3917&amp;mlon=45.307&amp;zoom=12#map=12/34.3917/45.307","Maplink1")</f>
        <v>Maplink1</v>
      </c>
      <c r="AX1256" s="88" t="str">
        <f>HYPERLINK("https://www.google.iq/maps/search/+34.3917,45.307/@34.3917,45.307,14z?hl=en","Maplink2")</f>
        <v>Maplink2</v>
      </c>
      <c r="AY1256" s="88" t="str">
        <f>HYPERLINK("http://www.bing.com/maps/?lvl=14&amp;sty=h&amp;cp=34.3917~45.307&amp;sp=point.34.3917_45.307","Maplink3")</f>
        <v>Maplink3</v>
      </c>
      <c r="AZ1256" s="76"/>
    </row>
    <row r="1257" spans="1:52" x14ac:dyDescent="0.25">
      <c r="A1257" s="86">
        <v>24401</v>
      </c>
      <c r="B1257" s="87" t="s">
        <v>17</v>
      </c>
      <c r="C1257" s="87" t="s">
        <v>2440</v>
      </c>
      <c r="D1257" s="87" t="s">
        <v>2492</v>
      </c>
      <c r="E1257" s="87" t="s">
        <v>2493</v>
      </c>
      <c r="F1257" s="87">
        <v>34.365329581499999</v>
      </c>
      <c r="G1257" s="87">
        <v>45.238200756200001</v>
      </c>
      <c r="H1257" s="86">
        <v>18</v>
      </c>
      <c r="I1257" s="86">
        <v>108</v>
      </c>
      <c r="J1257" s="87"/>
      <c r="K1257" s="87"/>
      <c r="L1257" s="87"/>
      <c r="M1257" s="87"/>
      <c r="N1257" s="87"/>
      <c r="O1257" s="87">
        <v>18</v>
      </c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>
        <v>18</v>
      </c>
      <c r="AD1257" s="87"/>
      <c r="AE1257" s="87"/>
      <c r="AF1257" s="87"/>
      <c r="AG1257" s="87"/>
      <c r="AH1257" s="87"/>
      <c r="AI1257" s="87"/>
      <c r="AJ1257" s="87"/>
      <c r="AK1257" s="87"/>
      <c r="AL1257" s="87"/>
      <c r="AM1257" s="87"/>
      <c r="AN1257" s="87"/>
      <c r="AO1257" s="87">
        <v>13</v>
      </c>
      <c r="AP1257" s="87"/>
      <c r="AQ1257" s="87">
        <v>5</v>
      </c>
      <c r="AR1257" s="87"/>
      <c r="AS1257" s="87"/>
      <c r="AT1257" s="87"/>
      <c r="AU1257" s="87"/>
      <c r="AV1257" s="87"/>
      <c r="AW1257" s="88" t="str">
        <f>HYPERLINK("http://www.openstreetmap.org/?mlat=34.3653&amp;mlon=45.2382&amp;zoom=12#map=12/34.3653/45.2382","Maplink1")</f>
        <v>Maplink1</v>
      </c>
      <c r="AX1257" s="88" t="str">
        <f>HYPERLINK("https://www.google.iq/maps/search/+34.3653,45.2382/@34.3653,45.2382,14z?hl=en","Maplink2")</f>
        <v>Maplink2</v>
      </c>
      <c r="AY1257" s="88" t="str">
        <f>HYPERLINK("http://www.bing.com/maps/?lvl=14&amp;sty=h&amp;cp=34.3653~45.2382&amp;sp=point.34.3653_45.2382","Maplink3")</f>
        <v>Maplink3</v>
      </c>
      <c r="AZ1257" s="76"/>
    </row>
    <row r="1258" spans="1:52" x14ac:dyDescent="0.25">
      <c r="A1258" s="86">
        <v>24394</v>
      </c>
      <c r="B1258" s="87" t="s">
        <v>17</v>
      </c>
      <c r="C1258" s="87" t="s">
        <v>2440</v>
      </c>
      <c r="D1258" s="87" t="s">
        <v>2494</v>
      </c>
      <c r="E1258" s="87" t="s">
        <v>2495</v>
      </c>
      <c r="F1258" s="87">
        <v>34.312882799500002</v>
      </c>
      <c r="G1258" s="87">
        <v>45.324291500000001</v>
      </c>
      <c r="H1258" s="86">
        <v>3</v>
      </c>
      <c r="I1258" s="86">
        <v>18</v>
      </c>
      <c r="J1258" s="87"/>
      <c r="K1258" s="87"/>
      <c r="L1258" s="87"/>
      <c r="M1258" s="87"/>
      <c r="N1258" s="87"/>
      <c r="O1258" s="87">
        <v>3</v>
      </c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>
        <v>3</v>
      </c>
      <c r="AD1258" s="87"/>
      <c r="AE1258" s="87"/>
      <c r="AF1258" s="87"/>
      <c r="AG1258" s="87"/>
      <c r="AH1258" s="87"/>
      <c r="AI1258" s="87"/>
      <c r="AJ1258" s="87"/>
      <c r="AK1258" s="87"/>
      <c r="AL1258" s="87"/>
      <c r="AM1258" s="87"/>
      <c r="AN1258" s="87"/>
      <c r="AO1258" s="87">
        <v>3</v>
      </c>
      <c r="AP1258" s="87"/>
      <c r="AQ1258" s="87"/>
      <c r="AR1258" s="87"/>
      <c r="AS1258" s="87"/>
      <c r="AT1258" s="87"/>
      <c r="AU1258" s="87"/>
      <c r="AV1258" s="87"/>
      <c r="AW1258" s="88" t="str">
        <f>HYPERLINK("http://www.openstreetmap.org/?mlat=34.3129&amp;mlon=45.3243&amp;zoom=12#map=12/34.3129/45.3243","Maplink1")</f>
        <v>Maplink1</v>
      </c>
      <c r="AX1258" s="88" t="str">
        <f>HYPERLINK("https://www.google.iq/maps/search/+34.3129,45.3243/@34.3129,45.3243,14z?hl=en","Maplink2")</f>
        <v>Maplink2</v>
      </c>
      <c r="AY1258" s="88" t="str">
        <f>HYPERLINK("http://www.bing.com/maps/?lvl=14&amp;sty=h&amp;cp=34.3129~45.3243&amp;sp=point.34.3129_45.3243","Maplink3")</f>
        <v>Maplink3</v>
      </c>
      <c r="AZ1258" s="76"/>
    </row>
    <row r="1259" spans="1:52" x14ac:dyDescent="0.25">
      <c r="A1259" s="86">
        <v>25626</v>
      </c>
      <c r="B1259" s="87" t="s">
        <v>17</v>
      </c>
      <c r="C1259" s="87" t="s">
        <v>2440</v>
      </c>
      <c r="D1259" s="87" t="s">
        <v>2496</v>
      </c>
      <c r="E1259" s="87" t="s">
        <v>2497</v>
      </c>
      <c r="F1259" s="87">
        <v>34.381731909000003</v>
      </c>
      <c r="G1259" s="87">
        <v>45.2568096619</v>
      </c>
      <c r="H1259" s="86">
        <v>3</v>
      </c>
      <c r="I1259" s="86">
        <v>18</v>
      </c>
      <c r="J1259" s="87"/>
      <c r="K1259" s="87"/>
      <c r="L1259" s="87"/>
      <c r="M1259" s="87"/>
      <c r="N1259" s="87"/>
      <c r="O1259" s="87">
        <v>3</v>
      </c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87"/>
      <c r="AE1259" s="87"/>
      <c r="AF1259" s="87"/>
      <c r="AG1259" s="87"/>
      <c r="AH1259" s="87"/>
      <c r="AI1259" s="87"/>
      <c r="AJ1259" s="87"/>
      <c r="AK1259" s="87">
        <v>3</v>
      </c>
      <c r="AL1259" s="87"/>
      <c r="AM1259" s="87"/>
      <c r="AN1259" s="87"/>
      <c r="AO1259" s="87">
        <v>3</v>
      </c>
      <c r="AP1259" s="87"/>
      <c r="AQ1259" s="87"/>
      <c r="AR1259" s="87"/>
      <c r="AS1259" s="87"/>
      <c r="AT1259" s="87"/>
      <c r="AU1259" s="87"/>
      <c r="AV1259" s="87"/>
      <c r="AW1259" s="88" t="str">
        <f>HYPERLINK("http://www.openstreetmap.org/?mlat=34.3817&amp;mlon=45.2568&amp;zoom=12#map=12/34.3817/45.2568","Maplink1")</f>
        <v>Maplink1</v>
      </c>
      <c r="AX1259" s="88" t="str">
        <f>HYPERLINK("https://www.google.iq/maps/search/+34.3817,45.2568/@34.3817,45.2568,14z?hl=en","Maplink2")</f>
        <v>Maplink2</v>
      </c>
      <c r="AY1259" s="88" t="str">
        <f>HYPERLINK("http://www.bing.com/maps/?lvl=14&amp;sty=h&amp;cp=34.3817~45.2568&amp;sp=point.34.3817_45.2568","Maplink3")</f>
        <v>Maplink3</v>
      </c>
      <c r="AZ1259" s="76"/>
    </row>
    <row r="1260" spans="1:52" x14ac:dyDescent="0.25">
      <c r="A1260" s="86">
        <v>24410</v>
      </c>
      <c r="B1260" s="87" t="s">
        <v>17</v>
      </c>
      <c r="C1260" s="87" t="s">
        <v>2440</v>
      </c>
      <c r="D1260" s="87" t="s">
        <v>2498</v>
      </c>
      <c r="E1260" s="87" t="s">
        <v>2499</v>
      </c>
      <c r="F1260" s="87">
        <v>34.437419413400001</v>
      </c>
      <c r="G1260" s="87">
        <v>45.256626915299996</v>
      </c>
      <c r="H1260" s="86">
        <v>5</v>
      </c>
      <c r="I1260" s="86">
        <v>30</v>
      </c>
      <c r="J1260" s="87"/>
      <c r="K1260" s="87"/>
      <c r="L1260" s="87"/>
      <c r="M1260" s="87"/>
      <c r="N1260" s="87"/>
      <c r="O1260" s="87">
        <v>5</v>
      </c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87"/>
      <c r="AE1260" s="87"/>
      <c r="AF1260" s="87"/>
      <c r="AG1260" s="87"/>
      <c r="AH1260" s="87">
        <v>5</v>
      </c>
      <c r="AI1260" s="87"/>
      <c r="AJ1260" s="87"/>
      <c r="AK1260" s="87"/>
      <c r="AL1260" s="87"/>
      <c r="AM1260" s="87"/>
      <c r="AN1260" s="87"/>
      <c r="AO1260" s="87">
        <v>5</v>
      </c>
      <c r="AP1260" s="87"/>
      <c r="AQ1260" s="87"/>
      <c r="AR1260" s="87"/>
      <c r="AS1260" s="87"/>
      <c r="AT1260" s="87"/>
      <c r="AU1260" s="87"/>
      <c r="AV1260" s="87"/>
      <c r="AW1260" s="88" t="str">
        <f>HYPERLINK("http://www.openstreetmap.org/?mlat=34.4374&amp;mlon=45.2566&amp;zoom=12#map=12/34.4374/45.2566","Maplink1")</f>
        <v>Maplink1</v>
      </c>
      <c r="AX1260" s="88" t="str">
        <f>HYPERLINK("https://www.google.iq/maps/search/+34.4374,45.2566/@34.4374,45.2566,14z?hl=en","Maplink2")</f>
        <v>Maplink2</v>
      </c>
      <c r="AY1260" s="88" t="str">
        <f>HYPERLINK("http://www.bing.com/maps/?lvl=14&amp;sty=h&amp;cp=34.4374~45.2566&amp;sp=point.34.4374_45.2566","Maplink3")</f>
        <v>Maplink3</v>
      </c>
      <c r="AZ1260" s="76"/>
    </row>
    <row r="1261" spans="1:52" x14ac:dyDescent="0.25">
      <c r="A1261" s="86">
        <v>24312</v>
      </c>
      <c r="B1261" s="87" t="s">
        <v>17</v>
      </c>
      <c r="C1261" s="87" t="s">
        <v>2440</v>
      </c>
      <c r="D1261" s="87" t="s">
        <v>2500</v>
      </c>
      <c r="E1261" s="87" t="s">
        <v>2501</v>
      </c>
      <c r="F1261" s="87">
        <v>34.342300506100003</v>
      </c>
      <c r="G1261" s="87">
        <v>45.360633917100003</v>
      </c>
      <c r="H1261" s="86">
        <v>140</v>
      </c>
      <c r="I1261" s="86">
        <v>840</v>
      </c>
      <c r="J1261" s="87">
        <v>2</v>
      </c>
      <c r="K1261" s="87"/>
      <c r="L1261" s="87"/>
      <c r="M1261" s="87"/>
      <c r="N1261" s="87"/>
      <c r="O1261" s="87">
        <v>136</v>
      </c>
      <c r="P1261" s="87"/>
      <c r="Q1261" s="87"/>
      <c r="R1261" s="87"/>
      <c r="S1261" s="87"/>
      <c r="T1261" s="87"/>
      <c r="U1261" s="87"/>
      <c r="V1261" s="87">
        <v>2</v>
      </c>
      <c r="W1261" s="87"/>
      <c r="X1261" s="87"/>
      <c r="Y1261" s="87"/>
      <c r="Z1261" s="87"/>
      <c r="AA1261" s="87"/>
      <c r="AB1261" s="87"/>
      <c r="AC1261" s="87">
        <v>30</v>
      </c>
      <c r="AD1261" s="87"/>
      <c r="AE1261" s="87"/>
      <c r="AF1261" s="87"/>
      <c r="AG1261" s="87"/>
      <c r="AH1261" s="87">
        <v>110</v>
      </c>
      <c r="AI1261" s="87"/>
      <c r="AJ1261" s="87"/>
      <c r="AK1261" s="87"/>
      <c r="AL1261" s="87"/>
      <c r="AM1261" s="87"/>
      <c r="AN1261" s="87">
        <v>2</v>
      </c>
      <c r="AO1261" s="87">
        <v>125</v>
      </c>
      <c r="AP1261" s="87">
        <v>13</v>
      </c>
      <c r="AQ1261" s="87"/>
      <c r="AR1261" s="87"/>
      <c r="AS1261" s="87"/>
      <c r="AT1261" s="87"/>
      <c r="AU1261" s="87"/>
      <c r="AV1261" s="87"/>
      <c r="AW1261" s="88" t="str">
        <f>HYPERLINK("http://www.openstreetmap.org/?mlat=34.3423&amp;mlon=45.3606&amp;zoom=12#map=12/34.3423/45.3606","Maplink1")</f>
        <v>Maplink1</v>
      </c>
      <c r="AX1261" s="88" t="str">
        <f>HYPERLINK("https://www.google.iq/maps/search/+34.3423,45.3606/@34.3423,45.3606,14z?hl=en","Maplink2")</f>
        <v>Maplink2</v>
      </c>
      <c r="AY1261" s="88" t="str">
        <f>HYPERLINK("http://www.bing.com/maps/?lvl=14&amp;sty=h&amp;cp=34.3423~45.3606&amp;sp=point.34.3423_45.3606","Maplink3")</f>
        <v>Maplink3</v>
      </c>
      <c r="AZ1261" s="76"/>
    </row>
    <row r="1262" spans="1:52" x14ac:dyDescent="0.25">
      <c r="A1262" s="86">
        <v>10666</v>
      </c>
      <c r="B1262" s="87" t="s">
        <v>17</v>
      </c>
      <c r="C1262" s="87" t="s">
        <v>2440</v>
      </c>
      <c r="D1262" s="87" t="s">
        <v>2502</v>
      </c>
      <c r="E1262" s="87" t="s">
        <v>2503</v>
      </c>
      <c r="F1262" s="87">
        <v>34.306908458700001</v>
      </c>
      <c r="G1262" s="87">
        <v>45.388422899699997</v>
      </c>
      <c r="H1262" s="86">
        <v>30</v>
      </c>
      <c r="I1262" s="86">
        <v>180</v>
      </c>
      <c r="J1262" s="87"/>
      <c r="K1262" s="87"/>
      <c r="L1262" s="87"/>
      <c r="M1262" s="87"/>
      <c r="N1262" s="87"/>
      <c r="O1262" s="87">
        <v>30</v>
      </c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>
        <v>5</v>
      </c>
      <c r="AD1262" s="87"/>
      <c r="AE1262" s="87"/>
      <c r="AF1262" s="87"/>
      <c r="AG1262" s="87"/>
      <c r="AH1262" s="87">
        <v>25</v>
      </c>
      <c r="AI1262" s="87"/>
      <c r="AJ1262" s="87"/>
      <c r="AK1262" s="87"/>
      <c r="AL1262" s="87"/>
      <c r="AM1262" s="87"/>
      <c r="AN1262" s="87"/>
      <c r="AO1262" s="87">
        <v>30</v>
      </c>
      <c r="AP1262" s="87"/>
      <c r="AQ1262" s="87"/>
      <c r="AR1262" s="87"/>
      <c r="AS1262" s="87"/>
      <c r="AT1262" s="87"/>
      <c r="AU1262" s="87"/>
      <c r="AV1262" s="87"/>
      <c r="AW1262" s="88" t="str">
        <f>HYPERLINK("http://www.openstreetmap.org/?mlat=34.3069&amp;mlon=45.3884&amp;zoom=12#map=12/34.3069/45.3884","Maplink1")</f>
        <v>Maplink1</v>
      </c>
      <c r="AX1262" s="88" t="str">
        <f>HYPERLINK("https://www.google.iq/maps/search/+34.3069,45.3884/@34.3069,45.3884,14z?hl=en","Maplink2")</f>
        <v>Maplink2</v>
      </c>
      <c r="AY1262" s="88" t="str">
        <f>HYPERLINK("http://www.bing.com/maps/?lvl=14&amp;sty=h&amp;cp=34.3069~45.3884&amp;sp=point.34.3069_45.3884","Maplink3")</f>
        <v>Maplink3</v>
      </c>
      <c r="AZ1262" s="76"/>
    </row>
    <row r="1263" spans="1:52" x14ac:dyDescent="0.25">
      <c r="A1263" s="86">
        <v>24409</v>
      </c>
      <c r="B1263" s="87" t="s">
        <v>17</v>
      </c>
      <c r="C1263" s="87" t="s">
        <v>2440</v>
      </c>
      <c r="D1263" s="87" t="s">
        <v>2504</v>
      </c>
      <c r="E1263" s="87" t="s">
        <v>2505</v>
      </c>
      <c r="F1263" s="87">
        <v>34.472888568400002</v>
      </c>
      <c r="G1263" s="87">
        <v>45.213676601000003</v>
      </c>
      <c r="H1263" s="86">
        <v>5</v>
      </c>
      <c r="I1263" s="86">
        <v>30</v>
      </c>
      <c r="J1263" s="87"/>
      <c r="K1263" s="87"/>
      <c r="L1263" s="87"/>
      <c r="M1263" s="87"/>
      <c r="N1263" s="87"/>
      <c r="O1263" s="87">
        <v>5</v>
      </c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>
        <v>2</v>
      </c>
      <c r="AD1263" s="87"/>
      <c r="AE1263" s="87"/>
      <c r="AF1263" s="87"/>
      <c r="AG1263" s="87"/>
      <c r="AH1263" s="87">
        <v>3</v>
      </c>
      <c r="AI1263" s="87"/>
      <c r="AJ1263" s="87"/>
      <c r="AK1263" s="87"/>
      <c r="AL1263" s="87"/>
      <c r="AM1263" s="87"/>
      <c r="AN1263" s="87"/>
      <c r="AO1263" s="87">
        <v>5</v>
      </c>
      <c r="AP1263" s="87"/>
      <c r="AQ1263" s="87"/>
      <c r="AR1263" s="87"/>
      <c r="AS1263" s="87"/>
      <c r="AT1263" s="87"/>
      <c r="AU1263" s="87"/>
      <c r="AV1263" s="87"/>
      <c r="AW1263" s="88" t="str">
        <f>HYPERLINK("http://www.openstreetmap.org/?mlat=34.4729&amp;mlon=45.2137&amp;zoom=12#map=12/34.4729/45.2137","Maplink1")</f>
        <v>Maplink1</v>
      </c>
      <c r="AX1263" s="88" t="str">
        <f>HYPERLINK("https://www.google.iq/maps/search/+34.4729,45.2137/@34.4729,45.2137,14z?hl=en","Maplink2")</f>
        <v>Maplink2</v>
      </c>
      <c r="AY1263" s="88" t="str">
        <f>HYPERLINK("http://www.bing.com/maps/?lvl=14&amp;sty=h&amp;cp=34.4729~45.2137&amp;sp=point.34.4729_45.2137","Maplink3")</f>
        <v>Maplink3</v>
      </c>
      <c r="AZ1263" s="76"/>
    </row>
    <row r="1264" spans="1:52" x14ac:dyDescent="0.25">
      <c r="A1264" s="86">
        <v>33359</v>
      </c>
      <c r="B1264" s="87" t="s">
        <v>17</v>
      </c>
      <c r="C1264" s="87" t="s">
        <v>2440</v>
      </c>
      <c r="D1264" s="87" t="s">
        <v>2506</v>
      </c>
      <c r="E1264" s="87" t="s">
        <v>2507</v>
      </c>
      <c r="F1264" s="87">
        <v>34.514195899999997</v>
      </c>
      <c r="G1264" s="87">
        <v>45.340036400000002</v>
      </c>
      <c r="H1264" s="86">
        <v>6</v>
      </c>
      <c r="I1264" s="86">
        <v>36</v>
      </c>
      <c r="J1264" s="87"/>
      <c r="K1264" s="87"/>
      <c r="L1264" s="87">
        <v>1</v>
      </c>
      <c r="M1264" s="87"/>
      <c r="N1264" s="87"/>
      <c r="O1264" s="87">
        <v>5</v>
      </c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>
        <v>6</v>
      </c>
      <c r="AI1264" s="87"/>
      <c r="AJ1264" s="87"/>
      <c r="AK1264" s="87"/>
      <c r="AL1264" s="87"/>
      <c r="AM1264" s="87"/>
      <c r="AN1264" s="87"/>
      <c r="AO1264" s="87">
        <v>3</v>
      </c>
      <c r="AP1264" s="87">
        <v>1</v>
      </c>
      <c r="AQ1264" s="87"/>
      <c r="AR1264" s="87"/>
      <c r="AS1264" s="87"/>
      <c r="AT1264" s="87">
        <v>2</v>
      </c>
      <c r="AU1264" s="87"/>
      <c r="AV1264" s="87"/>
      <c r="AW1264" s="88" t="str">
        <f>HYPERLINK("http://www.openstreetmap.org/?mlat=34.5142&amp;mlon=45.34&amp;zoom=12#map=12/34.5142/45.34","Maplink1")</f>
        <v>Maplink1</v>
      </c>
      <c r="AX1264" s="88" t="str">
        <f>HYPERLINK("https://www.google.iq/maps/search/+34.5142,45.34/@34.5142,45.34,14z?hl=en","Maplink2")</f>
        <v>Maplink2</v>
      </c>
      <c r="AY1264" s="88" t="str">
        <f>HYPERLINK("http://www.bing.com/maps/?lvl=14&amp;sty=h&amp;cp=34.5142~45.34&amp;sp=point.34.5142_45.34","Maplink3")</f>
        <v>Maplink3</v>
      </c>
      <c r="AZ1264" s="76"/>
    </row>
    <row r="1265" spans="1:52" x14ac:dyDescent="0.25">
      <c r="A1265" s="86">
        <v>25343</v>
      </c>
      <c r="B1265" s="87" t="s">
        <v>17</v>
      </c>
      <c r="C1265" s="87" t="s">
        <v>2440</v>
      </c>
      <c r="D1265" s="87" t="s">
        <v>2508</v>
      </c>
      <c r="E1265" s="87" t="s">
        <v>2509</v>
      </c>
      <c r="F1265" s="87">
        <v>34.331336458300001</v>
      </c>
      <c r="G1265" s="87">
        <v>45.378259786800001</v>
      </c>
      <c r="H1265" s="86">
        <v>12</v>
      </c>
      <c r="I1265" s="86">
        <v>72</v>
      </c>
      <c r="J1265" s="87"/>
      <c r="K1265" s="87"/>
      <c r="L1265" s="87"/>
      <c r="M1265" s="87"/>
      <c r="N1265" s="87"/>
      <c r="O1265" s="87">
        <v>12</v>
      </c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87"/>
      <c r="AE1265" s="87"/>
      <c r="AF1265" s="87"/>
      <c r="AG1265" s="87"/>
      <c r="AH1265" s="87">
        <v>12</v>
      </c>
      <c r="AI1265" s="87"/>
      <c r="AJ1265" s="87"/>
      <c r="AK1265" s="87"/>
      <c r="AL1265" s="87"/>
      <c r="AM1265" s="87"/>
      <c r="AN1265" s="87"/>
      <c r="AO1265" s="87">
        <v>12</v>
      </c>
      <c r="AP1265" s="87"/>
      <c r="AQ1265" s="87"/>
      <c r="AR1265" s="87"/>
      <c r="AS1265" s="87"/>
      <c r="AT1265" s="87"/>
      <c r="AU1265" s="87"/>
      <c r="AV1265" s="87"/>
      <c r="AW1265" s="88" t="str">
        <f>HYPERLINK("http://www.openstreetmap.org/?mlat=34.3313&amp;mlon=45.3783&amp;zoom=12#map=12/34.3313/45.3783","Maplink1")</f>
        <v>Maplink1</v>
      </c>
      <c r="AX1265" s="88" t="str">
        <f>HYPERLINK("https://www.google.iq/maps/search/+34.3313,45.3783/@34.3313,45.3783,14z?hl=en","Maplink2")</f>
        <v>Maplink2</v>
      </c>
      <c r="AY1265" s="88" t="str">
        <f>HYPERLINK("http://www.bing.com/maps/?lvl=14&amp;sty=h&amp;cp=34.3313~45.3783&amp;sp=point.34.3313_45.3783","Maplink3")</f>
        <v>Maplink3</v>
      </c>
      <c r="AZ1265" s="76"/>
    </row>
    <row r="1266" spans="1:52" x14ac:dyDescent="0.25">
      <c r="A1266" s="86">
        <v>24777</v>
      </c>
      <c r="B1266" s="87" t="s">
        <v>17</v>
      </c>
      <c r="C1266" s="87" t="s">
        <v>2440</v>
      </c>
      <c r="D1266" s="87" t="s">
        <v>2510</v>
      </c>
      <c r="E1266" s="87" t="s">
        <v>2511</v>
      </c>
      <c r="F1266" s="87">
        <v>34.326707442100002</v>
      </c>
      <c r="G1266" s="87">
        <v>45.450547610000001</v>
      </c>
      <c r="H1266" s="86">
        <v>609</v>
      </c>
      <c r="I1266" s="86">
        <v>3654</v>
      </c>
      <c r="J1266" s="87"/>
      <c r="K1266" s="87"/>
      <c r="L1266" s="87"/>
      <c r="M1266" s="87"/>
      <c r="N1266" s="87"/>
      <c r="O1266" s="87">
        <v>609</v>
      </c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>
        <v>609</v>
      </c>
      <c r="AC1266" s="87"/>
      <c r="AD1266" s="87"/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7">
        <v>474</v>
      </c>
      <c r="AP1266" s="87">
        <v>135</v>
      </c>
      <c r="AQ1266" s="87"/>
      <c r="AR1266" s="87"/>
      <c r="AS1266" s="87"/>
      <c r="AT1266" s="87"/>
      <c r="AU1266" s="87"/>
      <c r="AV1266" s="87"/>
      <c r="AW1266" s="88" t="str">
        <f>HYPERLINK("http://www.openstreetmap.org/?mlat=34.3267&amp;mlon=45.4505&amp;zoom=12#map=12/34.3267/45.4505","Maplink1")</f>
        <v>Maplink1</v>
      </c>
      <c r="AX1266" s="88" t="str">
        <f>HYPERLINK("https://www.google.iq/maps/search/+34.3267,45.4505/@34.3267,45.4505,14z?hl=en","Maplink2")</f>
        <v>Maplink2</v>
      </c>
      <c r="AY1266" s="88" t="str">
        <f>HYPERLINK("http://www.bing.com/maps/?lvl=14&amp;sty=h&amp;cp=34.3267~45.4505&amp;sp=point.34.3267_45.4505","Maplink3")</f>
        <v>Maplink3</v>
      </c>
      <c r="AZ1266" s="76"/>
    </row>
    <row r="1267" spans="1:52" x14ac:dyDescent="0.25">
      <c r="A1267" s="86">
        <v>24398</v>
      </c>
      <c r="B1267" s="87" t="s">
        <v>17</v>
      </c>
      <c r="C1267" s="87" t="s">
        <v>2440</v>
      </c>
      <c r="D1267" s="87" t="s">
        <v>2512</v>
      </c>
      <c r="E1267" s="87" t="s">
        <v>2513</v>
      </c>
      <c r="F1267" s="87">
        <v>34.360393640399998</v>
      </c>
      <c r="G1267" s="87">
        <v>45.2624170944</v>
      </c>
      <c r="H1267" s="86">
        <v>5</v>
      </c>
      <c r="I1267" s="86">
        <v>30</v>
      </c>
      <c r="J1267" s="87"/>
      <c r="K1267" s="87"/>
      <c r="L1267" s="87"/>
      <c r="M1267" s="87"/>
      <c r="N1267" s="87"/>
      <c r="O1267" s="87">
        <v>5</v>
      </c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>
        <v>5</v>
      </c>
      <c r="AD1267" s="87"/>
      <c r="AE1267" s="87"/>
      <c r="AF1267" s="87"/>
      <c r="AG1267" s="87"/>
      <c r="AH1267" s="87"/>
      <c r="AI1267" s="87"/>
      <c r="AJ1267" s="87"/>
      <c r="AK1267" s="87"/>
      <c r="AL1267" s="87"/>
      <c r="AM1267" s="87"/>
      <c r="AN1267" s="87"/>
      <c r="AO1267" s="87">
        <v>5</v>
      </c>
      <c r="AP1267" s="87"/>
      <c r="AQ1267" s="87"/>
      <c r="AR1267" s="87"/>
      <c r="AS1267" s="87"/>
      <c r="AT1267" s="87"/>
      <c r="AU1267" s="87"/>
      <c r="AV1267" s="87"/>
      <c r="AW1267" s="88" t="str">
        <f>HYPERLINK("http://www.openstreetmap.org/?mlat=34.3604&amp;mlon=45.2624&amp;zoom=12#map=12/34.3604/45.2624","Maplink1")</f>
        <v>Maplink1</v>
      </c>
      <c r="AX1267" s="88" t="str">
        <f>HYPERLINK("https://www.google.iq/maps/search/+34.3604,45.2624/@34.3604,45.2624,14z?hl=en","Maplink2")</f>
        <v>Maplink2</v>
      </c>
      <c r="AY1267" s="88" t="str">
        <f>HYPERLINK("http://www.bing.com/maps/?lvl=14&amp;sty=h&amp;cp=34.3604~45.2624&amp;sp=point.34.3604_45.2624","Maplink3")</f>
        <v>Maplink3</v>
      </c>
      <c r="AZ1267" s="76"/>
    </row>
    <row r="1268" spans="1:52" x14ac:dyDescent="0.25">
      <c r="A1268" s="86">
        <v>10530</v>
      </c>
      <c r="B1268" s="87" t="s">
        <v>17</v>
      </c>
      <c r="C1268" s="87" t="s">
        <v>2440</v>
      </c>
      <c r="D1268" s="87" t="s">
        <v>2514</v>
      </c>
      <c r="E1268" s="87" t="s">
        <v>2515</v>
      </c>
      <c r="F1268" s="87">
        <v>34.330193383199997</v>
      </c>
      <c r="G1268" s="87">
        <v>45.363952352299997</v>
      </c>
      <c r="H1268" s="86">
        <v>3</v>
      </c>
      <c r="I1268" s="86">
        <v>18</v>
      </c>
      <c r="J1268" s="87"/>
      <c r="K1268" s="87"/>
      <c r="L1268" s="87"/>
      <c r="M1268" s="87"/>
      <c r="N1268" s="87"/>
      <c r="O1268" s="87">
        <v>3</v>
      </c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>
        <v>3</v>
      </c>
      <c r="AD1268" s="87"/>
      <c r="AE1268" s="87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7"/>
      <c r="AP1268" s="87">
        <v>3</v>
      </c>
      <c r="AQ1268" s="87"/>
      <c r="AR1268" s="87"/>
      <c r="AS1268" s="87"/>
      <c r="AT1268" s="87"/>
      <c r="AU1268" s="87"/>
      <c r="AV1268" s="87"/>
      <c r="AW1268" s="88" t="str">
        <f>HYPERLINK("http://www.openstreetmap.org/?mlat=34.3302&amp;mlon=45.364&amp;zoom=12#map=12/34.3302/45.364","Maplink1")</f>
        <v>Maplink1</v>
      </c>
      <c r="AX1268" s="88" t="str">
        <f>HYPERLINK("https://www.google.iq/maps/search/+34.3302,45.364/@34.3302,45.364,14z?hl=en","Maplink2")</f>
        <v>Maplink2</v>
      </c>
      <c r="AY1268" s="88" t="str">
        <f>HYPERLINK("http://www.bing.com/maps/?lvl=14&amp;sty=h&amp;cp=34.3302~45.364&amp;sp=point.34.3302_45.364","Maplink3")</f>
        <v>Maplink3</v>
      </c>
      <c r="AZ1268" s="76"/>
    </row>
    <row r="1269" spans="1:52" x14ac:dyDescent="0.25">
      <c r="A1269" s="86">
        <v>24351</v>
      </c>
      <c r="B1269" s="87" t="s">
        <v>17</v>
      </c>
      <c r="C1269" s="87" t="s">
        <v>2440</v>
      </c>
      <c r="D1269" s="87" t="s">
        <v>2516</v>
      </c>
      <c r="E1269" s="87" t="s">
        <v>2517</v>
      </c>
      <c r="F1269" s="87">
        <v>34.344159432399998</v>
      </c>
      <c r="G1269" s="87">
        <v>45.388889098999996</v>
      </c>
      <c r="H1269" s="86">
        <v>41</v>
      </c>
      <c r="I1269" s="86">
        <v>246</v>
      </c>
      <c r="J1269" s="87"/>
      <c r="K1269" s="87"/>
      <c r="L1269" s="87"/>
      <c r="M1269" s="87"/>
      <c r="N1269" s="87"/>
      <c r="O1269" s="87">
        <v>41</v>
      </c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87"/>
      <c r="AE1269" s="87"/>
      <c r="AF1269" s="87"/>
      <c r="AG1269" s="87"/>
      <c r="AH1269" s="87">
        <v>41</v>
      </c>
      <c r="AI1269" s="87"/>
      <c r="AJ1269" s="87"/>
      <c r="AK1269" s="87"/>
      <c r="AL1269" s="87"/>
      <c r="AM1269" s="87"/>
      <c r="AN1269" s="87"/>
      <c r="AO1269" s="87">
        <v>41</v>
      </c>
      <c r="AP1269" s="87"/>
      <c r="AQ1269" s="87"/>
      <c r="AR1269" s="87"/>
      <c r="AS1269" s="87"/>
      <c r="AT1269" s="87"/>
      <c r="AU1269" s="87"/>
      <c r="AV1269" s="87"/>
      <c r="AW1269" s="88" t="str">
        <f>HYPERLINK("http://www.openstreetmap.org/?mlat=34.3442&amp;mlon=45.3889&amp;zoom=12#map=12/34.3442/45.3889","Maplink1")</f>
        <v>Maplink1</v>
      </c>
      <c r="AX1269" s="88" t="str">
        <f>HYPERLINK("https://www.google.iq/maps/search/+34.3442,45.3889/@34.3442,45.3889,14z?hl=en","Maplink2")</f>
        <v>Maplink2</v>
      </c>
      <c r="AY1269" s="88" t="str">
        <f>HYPERLINK("http://www.bing.com/maps/?lvl=14&amp;sty=h&amp;cp=34.3442~45.3889&amp;sp=point.34.3442_45.3889","Maplink3")</f>
        <v>Maplink3</v>
      </c>
      <c r="AZ1269" s="76"/>
    </row>
    <row r="1270" spans="1:52" x14ac:dyDescent="0.25">
      <c r="A1270" s="86">
        <v>24402</v>
      </c>
      <c r="B1270" s="87" t="s">
        <v>17</v>
      </c>
      <c r="C1270" s="87" t="s">
        <v>2440</v>
      </c>
      <c r="D1270" s="87" t="s">
        <v>2518</v>
      </c>
      <c r="E1270" s="87" t="s">
        <v>2519</v>
      </c>
      <c r="F1270" s="87">
        <v>34.374859018599999</v>
      </c>
      <c r="G1270" s="87">
        <v>45.248971152800003</v>
      </c>
      <c r="H1270" s="86">
        <v>2</v>
      </c>
      <c r="I1270" s="86">
        <v>12</v>
      </c>
      <c r="J1270" s="87"/>
      <c r="K1270" s="87"/>
      <c r="L1270" s="87"/>
      <c r="M1270" s="87"/>
      <c r="N1270" s="87"/>
      <c r="O1270" s="87">
        <v>2</v>
      </c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>
        <v>2</v>
      </c>
      <c r="AD1270" s="87"/>
      <c r="AE1270" s="87"/>
      <c r="AF1270" s="87"/>
      <c r="AG1270" s="87"/>
      <c r="AH1270" s="87"/>
      <c r="AI1270" s="87"/>
      <c r="AJ1270" s="87"/>
      <c r="AK1270" s="87"/>
      <c r="AL1270" s="87"/>
      <c r="AM1270" s="87"/>
      <c r="AN1270" s="87"/>
      <c r="AO1270" s="87"/>
      <c r="AP1270" s="87">
        <v>2</v>
      </c>
      <c r="AQ1270" s="87"/>
      <c r="AR1270" s="87"/>
      <c r="AS1270" s="87"/>
      <c r="AT1270" s="87"/>
      <c r="AU1270" s="87"/>
      <c r="AV1270" s="87"/>
      <c r="AW1270" s="88" t="str">
        <f>HYPERLINK("http://www.openstreetmap.org/?mlat=34.3749&amp;mlon=45.249&amp;zoom=12#map=12/34.3749/45.249","Maplink1")</f>
        <v>Maplink1</v>
      </c>
      <c r="AX1270" s="88" t="str">
        <f>HYPERLINK("https://www.google.iq/maps/search/+34.3749,45.249/@34.3749,45.249,14z?hl=en","Maplink2")</f>
        <v>Maplink2</v>
      </c>
      <c r="AY1270" s="88" t="str">
        <f>HYPERLINK("http://www.bing.com/maps/?lvl=14&amp;sty=h&amp;cp=34.3749~45.249&amp;sp=point.34.3749_45.249","Maplink3")</f>
        <v>Maplink3</v>
      </c>
      <c r="AZ1270" s="76"/>
    </row>
    <row r="1271" spans="1:52" x14ac:dyDescent="0.25">
      <c r="A1271" s="86">
        <v>10924</v>
      </c>
      <c r="B1271" s="87" t="s">
        <v>17</v>
      </c>
      <c r="C1271" s="87" t="s">
        <v>2440</v>
      </c>
      <c r="D1271" s="87" t="s">
        <v>2520</v>
      </c>
      <c r="E1271" s="87" t="s">
        <v>2521</v>
      </c>
      <c r="F1271" s="87">
        <v>34.321872586200001</v>
      </c>
      <c r="G1271" s="87">
        <v>45.417488264799999</v>
      </c>
      <c r="H1271" s="86">
        <v>32</v>
      </c>
      <c r="I1271" s="86">
        <v>192</v>
      </c>
      <c r="J1271" s="87"/>
      <c r="K1271" s="87"/>
      <c r="L1271" s="87"/>
      <c r="M1271" s="87"/>
      <c r="N1271" s="87"/>
      <c r="O1271" s="87">
        <v>32</v>
      </c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>
        <v>5</v>
      </c>
      <c r="AD1271" s="87"/>
      <c r="AE1271" s="87"/>
      <c r="AF1271" s="87"/>
      <c r="AG1271" s="87"/>
      <c r="AH1271" s="87">
        <v>27</v>
      </c>
      <c r="AI1271" s="87"/>
      <c r="AJ1271" s="87"/>
      <c r="AK1271" s="87"/>
      <c r="AL1271" s="87"/>
      <c r="AM1271" s="87"/>
      <c r="AN1271" s="87"/>
      <c r="AO1271" s="87">
        <v>20</v>
      </c>
      <c r="AP1271" s="87">
        <v>12</v>
      </c>
      <c r="AQ1271" s="87"/>
      <c r="AR1271" s="87"/>
      <c r="AS1271" s="87"/>
      <c r="AT1271" s="87"/>
      <c r="AU1271" s="87"/>
      <c r="AV1271" s="87"/>
      <c r="AW1271" s="88" t="str">
        <f>HYPERLINK("http://www.openstreetmap.org/?mlat=34.3219&amp;mlon=45.4175&amp;zoom=12#map=12/34.3219/45.4175","Maplink1")</f>
        <v>Maplink1</v>
      </c>
      <c r="AX1271" s="88" t="str">
        <f>HYPERLINK("https://www.google.iq/maps/search/+34.3219,45.4175/@34.3219,45.4175,14z?hl=en","Maplink2")</f>
        <v>Maplink2</v>
      </c>
      <c r="AY1271" s="88" t="str">
        <f>HYPERLINK("http://www.bing.com/maps/?lvl=14&amp;sty=h&amp;cp=34.3219~45.4175&amp;sp=point.34.3219_45.4175","Maplink3")</f>
        <v>Maplink3</v>
      </c>
      <c r="AZ1271" s="76"/>
    </row>
    <row r="1272" spans="1:52" x14ac:dyDescent="0.25">
      <c r="A1272" s="86">
        <v>25249</v>
      </c>
      <c r="B1272" s="87" t="s">
        <v>17</v>
      </c>
      <c r="C1272" s="87" t="s">
        <v>2440</v>
      </c>
      <c r="D1272" s="87" t="s">
        <v>2522</v>
      </c>
      <c r="E1272" s="87" t="s">
        <v>2523</v>
      </c>
      <c r="F1272" s="87">
        <v>34.358638824300002</v>
      </c>
      <c r="G1272" s="87">
        <v>45.392260741400001</v>
      </c>
      <c r="H1272" s="86">
        <v>13</v>
      </c>
      <c r="I1272" s="86">
        <v>78</v>
      </c>
      <c r="J1272" s="87"/>
      <c r="K1272" s="87"/>
      <c r="L1272" s="87"/>
      <c r="M1272" s="87"/>
      <c r="N1272" s="87"/>
      <c r="O1272" s="87">
        <v>13</v>
      </c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87"/>
      <c r="AE1272" s="87"/>
      <c r="AF1272" s="87"/>
      <c r="AG1272" s="87"/>
      <c r="AH1272" s="87">
        <v>13</v>
      </c>
      <c r="AI1272" s="87"/>
      <c r="AJ1272" s="87"/>
      <c r="AK1272" s="87"/>
      <c r="AL1272" s="87"/>
      <c r="AM1272" s="87"/>
      <c r="AN1272" s="87"/>
      <c r="AO1272" s="87">
        <v>13</v>
      </c>
      <c r="AP1272" s="87"/>
      <c r="AQ1272" s="87"/>
      <c r="AR1272" s="87"/>
      <c r="AS1272" s="87"/>
      <c r="AT1272" s="87"/>
      <c r="AU1272" s="87"/>
      <c r="AV1272" s="87"/>
      <c r="AW1272" s="88" t="str">
        <f>HYPERLINK("http://www.openstreetmap.org/?mlat=34.3586&amp;mlon=45.3923&amp;zoom=12#map=12/34.3586/45.3923","Maplink1")</f>
        <v>Maplink1</v>
      </c>
      <c r="AX1272" s="88" t="str">
        <f>HYPERLINK("https://www.google.iq/maps/search/+34.3586,45.3923/@34.3586,45.3923,14z?hl=en","Maplink2")</f>
        <v>Maplink2</v>
      </c>
      <c r="AY1272" s="88" t="str">
        <f>HYPERLINK("http://www.bing.com/maps/?lvl=14&amp;sty=h&amp;cp=34.3586~45.3923&amp;sp=point.34.3586_45.3923","Maplink3")</f>
        <v>Maplink3</v>
      </c>
      <c r="AZ1272" s="76"/>
    </row>
    <row r="1273" spans="1:52" x14ac:dyDescent="0.25">
      <c r="A1273" s="86">
        <v>25250</v>
      </c>
      <c r="B1273" s="87" t="s">
        <v>17</v>
      </c>
      <c r="C1273" s="87" t="s">
        <v>2440</v>
      </c>
      <c r="D1273" s="87" t="s">
        <v>2524</v>
      </c>
      <c r="E1273" s="87" t="s">
        <v>2525</v>
      </c>
      <c r="F1273" s="87">
        <v>34.361333548799998</v>
      </c>
      <c r="G1273" s="87">
        <v>45.390215632500002</v>
      </c>
      <c r="H1273" s="86">
        <v>41</v>
      </c>
      <c r="I1273" s="86">
        <v>246</v>
      </c>
      <c r="J1273" s="87"/>
      <c r="K1273" s="87"/>
      <c r="L1273" s="87"/>
      <c r="M1273" s="87"/>
      <c r="N1273" s="87"/>
      <c r="O1273" s="87">
        <v>41</v>
      </c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87"/>
      <c r="AE1273" s="87"/>
      <c r="AF1273" s="87"/>
      <c r="AG1273" s="87"/>
      <c r="AH1273" s="87">
        <v>41</v>
      </c>
      <c r="AI1273" s="87"/>
      <c r="AJ1273" s="87"/>
      <c r="AK1273" s="87"/>
      <c r="AL1273" s="87"/>
      <c r="AM1273" s="87"/>
      <c r="AN1273" s="87"/>
      <c r="AO1273" s="87">
        <v>41</v>
      </c>
      <c r="AP1273" s="87"/>
      <c r="AQ1273" s="87"/>
      <c r="AR1273" s="87"/>
      <c r="AS1273" s="87"/>
      <c r="AT1273" s="87"/>
      <c r="AU1273" s="87"/>
      <c r="AV1273" s="87"/>
      <c r="AW1273" s="88" t="str">
        <f>HYPERLINK("http://www.openstreetmap.org/?mlat=34.3613&amp;mlon=45.3902&amp;zoom=12#map=12/34.3613/45.3902","Maplink1")</f>
        <v>Maplink1</v>
      </c>
      <c r="AX1273" s="88" t="str">
        <f>HYPERLINK("https://www.google.iq/maps/search/+34.3613,45.3902/@34.3613,45.3902,14z?hl=en","Maplink2")</f>
        <v>Maplink2</v>
      </c>
      <c r="AY1273" s="88" t="str">
        <f>HYPERLINK("http://www.bing.com/maps/?lvl=14&amp;sty=h&amp;cp=34.3613~45.3902&amp;sp=point.34.3613_45.3902","Maplink3")</f>
        <v>Maplink3</v>
      </c>
      <c r="AZ1273" s="76"/>
    </row>
    <row r="1274" spans="1:52" x14ac:dyDescent="0.25">
      <c r="A1274" s="86">
        <v>25818</v>
      </c>
      <c r="B1274" s="87" t="s">
        <v>17</v>
      </c>
      <c r="C1274" s="87" t="s">
        <v>2440</v>
      </c>
      <c r="D1274" s="87" t="s">
        <v>2526</v>
      </c>
      <c r="E1274" s="87" t="s">
        <v>2527</v>
      </c>
      <c r="F1274" s="87">
        <v>34.543715499999998</v>
      </c>
      <c r="G1274" s="87">
        <v>45.389801200000001</v>
      </c>
      <c r="H1274" s="86">
        <v>205</v>
      </c>
      <c r="I1274" s="86">
        <v>1230</v>
      </c>
      <c r="J1274" s="87">
        <v>10</v>
      </c>
      <c r="K1274" s="87">
        <v>2</v>
      </c>
      <c r="L1274" s="87">
        <v>1</v>
      </c>
      <c r="M1274" s="87"/>
      <c r="N1274" s="87"/>
      <c r="O1274" s="87">
        <v>188</v>
      </c>
      <c r="P1274" s="87"/>
      <c r="Q1274" s="87"/>
      <c r="R1274" s="87"/>
      <c r="S1274" s="87"/>
      <c r="T1274" s="87"/>
      <c r="U1274" s="87"/>
      <c r="V1274" s="87"/>
      <c r="W1274" s="87"/>
      <c r="X1274" s="87">
        <v>4</v>
      </c>
      <c r="Y1274" s="87"/>
      <c r="Z1274" s="87"/>
      <c r="AA1274" s="87"/>
      <c r="AB1274" s="87">
        <v>205</v>
      </c>
      <c r="AC1274" s="87"/>
      <c r="AD1274" s="87"/>
      <c r="AE1274" s="87"/>
      <c r="AF1274" s="87"/>
      <c r="AG1274" s="87"/>
      <c r="AH1274" s="87"/>
      <c r="AI1274" s="87"/>
      <c r="AJ1274" s="87"/>
      <c r="AK1274" s="87"/>
      <c r="AL1274" s="87"/>
      <c r="AM1274" s="87"/>
      <c r="AN1274" s="87">
        <v>4</v>
      </c>
      <c r="AO1274" s="87">
        <v>89</v>
      </c>
      <c r="AP1274" s="87">
        <v>2</v>
      </c>
      <c r="AQ1274" s="87">
        <v>60</v>
      </c>
      <c r="AR1274" s="87">
        <v>26</v>
      </c>
      <c r="AS1274" s="87">
        <v>24</v>
      </c>
      <c r="AT1274" s="87"/>
      <c r="AU1274" s="87"/>
      <c r="AV1274" s="87"/>
      <c r="AW1274" s="88" t="str">
        <f>HYPERLINK("http://www.openstreetmap.org/?mlat=34.5437&amp;mlon=45.3898&amp;zoom=12#map=12/34.5437/45.3898","Maplink1")</f>
        <v>Maplink1</v>
      </c>
      <c r="AX1274" s="88" t="str">
        <f>HYPERLINK("https://www.google.iq/maps/search/+34.5437,45.3898/@34.5437,45.3898,14z?hl=en","Maplink2")</f>
        <v>Maplink2</v>
      </c>
      <c r="AY1274" s="88" t="str">
        <f>HYPERLINK("http://www.bing.com/maps/?lvl=14&amp;sty=h&amp;cp=34.5437~45.3898&amp;sp=point.34.5437_45.3898","Maplink3")</f>
        <v>Maplink3</v>
      </c>
      <c r="AZ1274" s="76"/>
    </row>
    <row r="1275" spans="1:52" x14ac:dyDescent="0.25">
      <c r="A1275" s="86">
        <v>24411</v>
      </c>
      <c r="B1275" s="87" t="s">
        <v>17</v>
      </c>
      <c r="C1275" s="87" t="s">
        <v>2440</v>
      </c>
      <c r="D1275" s="87" t="s">
        <v>2528</v>
      </c>
      <c r="E1275" s="87" t="s">
        <v>2529</v>
      </c>
      <c r="F1275" s="87">
        <v>34.4191926357</v>
      </c>
      <c r="G1275" s="87">
        <v>45.292729884899998</v>
      </c>
      <c r="H1275" s="86">
        <v>10</v>
      </c>
      <c r="I1275" s="86">
        <v>60</v>
      </c>
      <c r="J1275" s="87"/>
      <c r="K1275" s="87"/>
      <c r="L1275" s="87"/>
      <c r="M1275" s="87"/>
      <c r="N1275" s="87"/>
      <c r="O1275" s="87">
        <v>10</v>
      </c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>
        <v>10</v>
      </c>
      <c r="AD1275" s="87"/>
      <c r="AE1275" s="87"/>
      <c r="AF1275" s="87"/>
      <c r="AG1275" s="87"/>
      <c r="AH1275" s="87"/>
      <c r="AI1275" s="87"/>
      <c r="AJ1275" s="87"/>
      <c r="AK1275" s="87"/>
      <c r="AL1275" s="87"/>
      <c r="AM1275" s="87"/>
      <c r="AN1275" s="87"/>
      <c r="AO1275" s="87">
        <v>10</v>
      </c>
      <c r="AP1275" s="87"/>
      <c r="AQ1275" s="87"/>
      <c r="AR1275" s="87"/>
      <c r="AS1275" s="87"/>
      <c r="AT1275" s="87"/>
      <c r="AU1275" s="87"/>
      <c r="AV1275" s="87"/>
      <c r="AW1275" s="88" t="str">
        <f>HYPERLINK("http://www.openstreetmap.org/?mlat=34.4192&amp;mlon=45.2927&amp;zoom=12#map=12/34.4192/45.2927","Maplink1")</f>
        <v>Maplink1</v>
      </c>
      <c r="AX1275" s="88" t="str">
        <f>HYPERLINK("https://www.google.iq/maps/search/+34.4192,45.2927/@34.4192,45.2927,14z?hl=en","Maplink2")</f>
        <v>Maplink2</v>
      </c>
      <c r="AY1275" s="88" t="str">
        <f>HYPERLINK("http://www.bing.com/maps/?lvl=14&amp;sty=h&amp;cp=34.4192~45.2927&amp;sp=point.34.4192_45.2927","Maplink3")</f>
        <v>Maplink3</v>
      </c>
      <c r="AZ1275" s="76"/>
    </row>
    <row r="1276" spans="1:52" x14ac:dyDescent="0.25">
      <c r="A1276" s="86">
        <v>10398</v>
      </c>
      <c r="B1276" s="87" t="s">
        <v>17</v>
      </c>
      <c r="C1276" s="87" t="s">
        <v>2440</v>
      </c>
      <c r="D1276" s="87" t="s">
        <v>2530</v>
      </c>
      <c r="E1276" s="87" t="s">
        <v>2531</v>
      </c>
      <c r="F1276" s="87">
        <v>34.606310000000001</v>
      </c>
      <c r="G1276" s="87">
        <v>45.495739499999999</v>
      </c>
      <c r="H1276" s="86">
        <v>14</v>
      </c>
      <c r="I1276" s="86">
        <v>84</v>
      </c>
      <c r="J1276" s="87"/>
      <c r="K1276" s="87"/>
      <c r="L1276" s="87"/>
      <c r="M1276" s="87"/>
      <c r="N1276" s="87"/>
      <c r="O1276" s="87">
        <v>14</v>
      </c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87"/>
      <c r="AE1276" s="87"/>
      <c r="AF1276" s="87"/>
      <c r="AG1276" s="87"/>
      <c r="AH1276" s="87">
        <v>14</v>
      </c>
      <c r="AI1276" s="87"/>
      <c r="AJ1276" s="87"/>
      <c r="AK1276" s="87"/>
      <c r="AL1276" s="87"/>
      <c r="AM1276" s="87"/>
      <c r="AN1276" s="87"/>
      <c r="AO1276" s="87">
        <v>6</v>
      </c>
      <c r="AP1276" s="87">
        <v>3</v>
      </c>
      <c r="AQ1276" s="87"/>
      <c r="AR1276" s="87">
        <v>2</v>
      </c>
      <c r="AS1276" s="87"/>
      <c r="AT1276" s="87">
        <v>1</v>
      </c>
      <c r="AU1276" s="87"/>
      <c r="AV1276" s="87">
        <v>2</v>
      </c>
      <c r="AW1276" s="88" t="str">
        <f>HYPERLINK("http://www.openstreetmap.org/?mlat=34.6063&amp;mlon=45.4957&amp;zoom=12#map=12/34.6063/45.4957","Maplink1")</f>
        <v>Maplink1</v>
      </c>
      <c r="AX1276" s="88" t="str">
        <f>HYPERLINK("https://www.google.iq/maps/search/+34.6063,45.4957/@34.6063,45.4957,14z?hl=en","Maplink2")</f>
        <v>Maplink2</v>
      </c>
      <c r="AY1276" s="88" t="str">
        <f>HYPERLINK("http://www.bing.com/maps/?lvl=14&amp;sty=h&amp;cp=34.6063~45.4957&amp;sp=point.34.6063_45.4957","Maplink3")</f>
        <v>Maplink3</v>
      </c>
      <c r="AZ1276" s="76"/>
    </row>
    <row r="1277" spans="1:52" x14ac:dyDescent="0.25">
      <c r="A1277" s="86">
        <v>10511</v>
      </c>
      <c r="B1277" s="87" t="s">
        <v>17</v>
      </c>
      <c r="C1277" s="87" t="s">
        <v>2440</v>
      </c>
      <c r="D1277" s="87" t="s">
        <v>2532</v>
      </c>
      <c r="E1277" s="87" t="s">
        <v>2533</v>
      </c>
      <c r="F1277" s="87">
        <v>34.373242071599996</v>
      </c>
      <c r="G1277" s="87">
        <v>45.2777317356</v>
      </c>
      <c r="H1277" s="86">
        <v>3</v>
      </c>
      <c r="I1277" s="86">
        <v>18</v>
      </c>
      <c r="J1277" s="87"/>
      <c r="K1277" s="87"/>
      <c r="L1277" s="87"/>
      <c r="M1277" s="87"/>
      <c r="N1277" s="87"/>
      <c r="O1277" s="87">
        <v>3</v>
      </c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>
        <v>3</v>
      </c>
      <c r="AD1277" s="87"/>
      <c r="AE1277" s="87"/>
      <c r="AF1277" s="87"/>
      <c r="AG1277" s="87"/>
      <c r="AH1277" s="87"/>
      <c r="AI1277" s="87"/>
      <c r="AJ1277" s="87"/>
      <c r="AK1277" s="87"/>
      <c r="AL1277" s="87"/>
      <c r="AM1277" s="87"/>
      <c r="AN1277" s="87"/>
      <c r="AO1277" s="87">
        <v>3</v>
      </c>
      <c r="AP1277" s="87"/>
      <c r="AQ1277" s="87"/>
      <c r="AR1277" s="87"/>
      <c r="AS1277" s="87"/>
      <c r="AT1277" s="87"/>
      <c r="AU1277" s="87"/>
      <c r="AV1277" s="87"/>
      <c r="AW1277" s="88" t="str">
        <f>HYPERLINK("http://www.openstreetmap.org/?mlat=34.3732&amp;mlon=45.2777&amp;zoom=12#map=12/34.3732/45.2777","Maplink1")</f>
        <v>Maplink1</v>
      </c>
      <c r="AX1277" s="88" t="str">
        <f>HYPERLINK("https://www.google.iq/maps/search/+34.3732,45.2777/@34.3732,45.2777,14z?hl=en","Maplink2")</f>
        <v>Maplink2</v>
      </c>
      <c r="AY1277" s="88" t="str">
        <f>HYPERLINK("http://www.bing.com/maps/?lvl=14&amp;sty=h&amp;cp=34.3732~45.2777&amp;sp=point.34.3732_45.2777","Maplink3")</f>
        <v>Maplink3</v>
      </c>
      <c r="AZ1277" s="76"/>
    </row>
    <row r="1278" spans="1:52" x14ac:dyDescent="0.25">
      <c r="A1278" s="86">
        <v>25247</v>
      </c>
      <c r="B1278" s="87" t="s">
        <v>17</v>
      </c>
      <c r="C1278" s="87" t="s">
        <v>2440</v>
      </c>
      <c r="D1278" s="87" t="s">
        <v>2534</v>
      </c>
      <c r="E1278" s="87" t="s">
        <v>2535</v>
      </c>
      <c r="F1278" s="87">
        <v>34.320119971899999</v>
      </c>
      <c r="G1278" s="87">
        <v>45.382041112499998</v>
      </c>
      <c r="H1278" s="86">
        <v>35</v>
      </c>
      <c r="I1278" s="86">
        <v>210</v>
      </c>
      <c r="J1278" s="87"/>
      <c r="K1278" s="87"/>
      <c r="L1278" s="87"/>
      <c r="M1278" s="87"/>
      <c r="N1278" s="87"/>
      <c r="O1278" s="87">
        <v>35</v>
      </c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87"/>
      <c r="AE1278" s="87"/>
      <c r="AF1278" s="87"/>
      <c r="AG1278" s="87"/>
      <c r="AH1278" s="87">
        <v>35</v>
      </c>
      <c r="AI1278" s="87"/>
      <c r="AJ1278" s="87"/>
      <c r="AK1278" s="87"/>
      <c r="AL1278" s="87"/>
      <c r="AM1278" s="87"/>
      <c r="AN1278" s="87"/>
      <c r="AO1278" s="87">
        <v>15</v>
      </c>
      <c r="AP1278" s="87">
        <v>20</v>
      </c>
      <c r="AQ1278" s="87"/>
      <c r="AR1278" s="87"/>
      <c r="AS1278" s="87"/>
      <c r="AT1278" s="87"/>
      <c r="AU1278" s="87"/>
      <c r="AV1278" s="87"/>
      <c r="AW1278" s="88" t="str">
        <f>HYPERLINK("http://www.openstreetmap.org/?mlat=34.3201&amp;mlon=45.382&amp;zoom=12#map=12/34.3201/45.382","Maplink1")</f>
        <v>Maplink1</v>
      </c>
      <c r="AX1278" s="88" t="str">
        <f>HYPERLINK("https://www.google.iq/maps/search/+34.3201,45.382/@34.3201,45.382,14z?hl=en","Maplink2")</f>
        <v>Maplink2</v>
      </c>
      <c r="AY1278" s="88" t="str">
        <f>HYPERLINK("http://www.bing.com/maps/?lvl=14&amp;sty=h&amp;cp=34.3201~45.382&amp;sp=point.34.3201_45.382","Maplink3")</f>
        <v>Maplink3</v>
      </c>
      <c r="AZ1278" s="76"/>
    </row>
    <row r="1279" spans="1:52" x14ac:dyDescent="0.25">
      <c r="A1279" s="86">
        <v>25248</v>
      </c>
      <c r="B1279" s="87" t="s">
        <v>17</v>
      </c>
      <c r="C1279" s="87" t="s">
        <v>2440</v>
      </c>
      <c r="D1279" s="87" t="s">
        <v>2536</v>
      </c>
      <c r="E1279" s="87" t="s">
        <v>2537</v>
      </c>
      <c r="F1279" s="87">
        <v>34.317983206800001</v>
      </c>
      <c r="G1279" s="87">
        <v>45.384682542299998</v>
      </c>
      <c r="H1279" s="86">
        <v>18</v>
      </c>
      <c r="I1279" s="86">
        <v>108</v>
      </c>
      <c r="J1279" s="87"/>
      <c r="K1279" s="87"/>
      <c r="L1279" s="87"/>
      <c r="M1279" s="87"/>
      <c r="N1279" s="87"/>
      <c r="O1279" s="87">
        <v>18</v>
      </c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87"/>
      <c r="AE1279" s="87"/>
      <c r="AF1279" s="87"/>
      <c r="AG1279" s="87"/>
      <c r="AH1279" s="87">
        <v>18</v>
      </c>
      <c r="AI1279" s="87"/>
      <c r="AJ1279" s="87"/>
      <c r="AK1279" s="87"/>
      <c r="AL1279" s="87"/>
      <c r="AM1279" s="87"/>
      <c r="AN1279" s="87"/>
      <c r="AO1279" s="87">
        <v>18</v>
      </c>
      <c r="AP1279" s="87"/>
      <c r="AQ1279" s="87"/>
      <c r="AR1279" s="87"/>
      <c r="AS1279" s="87"/>
      <c r="AT1279" s="87"/>
      <c r="AU1279" s="87"/>
      <c r="AV1279" s="87"/>
      <c r="AW1279" s="88" t="str">
        <f>HYPERLINK("http://www.openstreetmap.org/?mlat=34.318&amp;mlon=45.3847&amp;zoom=12#map=12/34.318/45.3847","Maplink1")</f>
        <v>Maplink1</v>
      </c>
      <c r="AX1279" s="88" t="str">
        <f>HYPERLINK("https://www.google.iq/maps/search/+34.318,45.3847/@34.318,45.3847,14z?hl=en","Maplink2")</f>
        <v>Maplink2</v>
      </c>
      <c r="AY1279" s="88" t="str">
        <f>HYPERLINK("http://www.bing.com/maps/?lvl=14&amp;sty=h&amp;cp=34.318~45.3847&amp;sp=point.34.318_45.3847","Maplink3")</f>
        <v>Maplink3</v>
      </c>
      <c r="AZ1279" s="76"/>
    </row>
    <row r="1280" spans="1:52" x14ac:dyDescent="0.25">
      <c r="A1280" s="86">
        <v>10403</v>
      </c>
      <c r="B1280" s="87" t="s">
        <v>17</v>
      </c>
      <c r="C1280" s="87" t="s">
        <v>2440</v>
      </c>
      <c r="D1280" s="87" t="s">
        <v>2538</v>
      </c>
      <c r="E1280" s="87" t="s">
        <v>2539</v>
      </c>
      <c r="F1280" s="87">
        <v>34.574609299999999</v>
      </c>
      <c r="G1280" s="87">
        <v>45.341270100000003</v>
      </c>
      <c r="H1280" s="86">
        <v>132</v>
      </c>
      <c r="I1280" s="86">
        <v>792</v>
      </c>
      <c r="J1280" s="87">
        <v>4</v>
      </c>
      <c r="K1280" s="87"/>
      <c r="L1280" s="87">
        <v>4</v>
      </c>
      <c r="M1280" s="87"/>
      <c r="N1280" s="87"/>
      <c r="O1280" s="87">
        <v>124</v>
      </c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87"/>
      <c r="AE1280" s="87"/>
      <c r="AF1280" s="87"/>
      <c r="AG1280" s="87"/>
      <c r="AH1280" s="87">
        <v>132</v>
      </c>
      <c r="AI1280" s="87"/>
      <c r="AJ1280" s="87"/>
      <c r="AK1280" s="87"/>
      <c r="AL1280" s="87"/>
      <c r="AM1280" s="87"/>
      <c r="AN1280" s="87"/>
      <c r="AO1280" s="87">
        <v>40</v>
      </c>
      <c r="AP1280" s="87">
        <v>14</v>
      </c>
      <c r="AQ1280" s="87">
        <v>22</v>
      </c>
      <c r="AR1280" s="87">
        <v>13</v>
      </c>
      <c r="AS1280" s="87">
        <v>13</v>
      </c>
      <c r="AT1280" s="87"/>
      <c r="AU1280" s="87">
        <v>24</v>
      </c>
      <c r="AV1280" s="87">
        <v>6</v>
      </c>
      <c r="AW1280" s="88" t="str">
        <f>HYPERLINK("http://www.openstreetmap.org/?mlat=34.5746&amp;mlon=45.3413&amp;zoom=12#map=12/34.5746/45.3413","Maplink1")</f>
        <v>Maplink1</v>
      </c>
      <c r="AX1280" s="88" t="str">
        <f>HYPERLINK("https://www.google.iq/maps/search/+34.5746,45.3413/@34.5746,45.3413,14z?hl=en","Maplink2")</f>
        <v>Maplink2</v>
      </c>
      <c r="AY1280" s="88" t="str">
        <f>HYPERLINK("http://www.bing.com/maps/?lvl=14&amp;sty=h&amp;cp=34.5746~45.3413&amp;sp=point.34.5746_45.3413","Maplink3")</f>
        <v>Maplink3</v>
      </c>
      <c r="AZ1280" s="76"/>
    </row>
    <row r="1281" spans="1:52" x14ac:dyDescent="0.25">
      <c r="A1281" s="86">
        <v>11157</v>
      </c>
      <c r="B1281" s="87" t="s">
        <v>17</v>
      </c>
      <c r="C1281" s="87" t="s">
        <v>2440</v>
      </c>
      <c r="D1281" s="87" t="s">
        <v>2540</v>
      </c>
      <c r="E1281" s="87" t="s">
        <v>2541</v>
      </c>
      <c r="F1281" s="87">
        <v>34.506780499999998</v>
      </c>
      <c r="G1281" s="87">
        <v>45.341092400000001</v>
      </c>
      <c r="H1281" s="86">
        <v>15</v>
      </c>
      <c r="I1281" s="86">
        <v>90</v>
      </c>
      <c r="J1281" s="87"/>
      <c r="K1281" s="87"/>
      <c r="L1281" s="87"/>
      <c r="M1281" s="87"/>
      <c r="N1281" s="87"/>
      <c r="O1281" s="87">
        <v>15</v>
      </c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87"/>
      <c r="AE1281" s="87"/>
      <c r="AF1281" s="87"/>
      <c r="AG1281" s="87"/>
      <c r="AH1281" s="87">
        <v>15</v>
      </c>
      <c r="AI1281" s="87"/>
      <c r="AJ1281" s="87"/>
      <c r="AK1281" s="87"/>
      <c r="AL1281" s="87"/>
      <c r="AM1281" s="87"/>
      <c r="AN1281" s="87"/>
      <c r="AO1281" s="87">
        <v>3</v>
      </c>
      <c r="AP1281" s="87">
        <v>4</v>
      </c>
      <c r="AQ1281" s="87">
        <v>5</v>
      </c>
      <c r="AR1281" s="87"/>
      <c r="AS1281" s="87"/>
      <c r="AT1281" s="87"/>
      <c r="AU1281" s="87">
        <v>3</v>
      </c>
      <c r="AV1281" s="87"/>
      <c r="AW1281" s="88" t="str">
        <f>HYPERLINK("http://www.openstreetmap.org/?mlat=34.5068&amp;mlon=45.3411&amp;zoom=12#map=12/34.5068/45.3411","Maplink1")</f>
        <v>Maplink1</v>
      </c>
      <c r="AX1281" s="88" t="str">
        <f>HYPERLINK("https://www.google.iq/maps/search/+34.5068,45.3411/@34.5068,45.3411,14z?hl=en","Maplink2")</f>
        <v>Maplink2</v>
      </c>
      <c r="AY1281" s="88" t="str">
        <f>HYPERLINK("http://www.bing.com/maps/?lvl=14&amp;sty=h&amp;cp=34.5068~45.3411&amp;sp=point.34.5068_45.3411","Maplink3")</f>
        <v>Maplink3</v>
      </c>
      <c r="AZ1281" s="76"/>
    </row>
    <row r="1282" spans="1:52" x14ac:dyDescent="0.25">
      <c r="A1282" s="86">
        <v>24509</v>
      </c>
      <c r="B1282" s="87" t="s">
        <v>17</v>
      </c>
      <c r="C1282" s="87" t="s">
        <v>2440</v>
      </c>
      <c r="D1282" s="87" t="s">
        <v>2542</v>
      </c>
      <c r="E1282" s="87" t="s">
        <v>2543</v>
      </c>
      <c r="F1282" s="87">
        <v>34.347723388399999</v>
      </c>
      <c r="G1282" s="87">
        <v>45.2873250576</v>
      </c>
      <c r="H1282" s="86">
        <v>1</v>
      </c>
      <c r="I1282" s="86">
        <v>6</v>
      </c>
      <c r="J1282" s="87"/>
      <c r="K1282" s="87"/>
      <c r="L1282" s="87"/>
      <c r="M1282" s="87"/>
      <c r="N1282" s="87"/>
      <c r="O1282" s="87">
        <v>1</v>
      </c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87"/>
      <c r="AE1282" s="87"/>
      <c r="AF1282" s="87"/>
      <c r="AG1282" s="87"/>
      <c r="AH1282" s="87">
        <v>1</v>
      </c>
      <c r="AI1282" s="87"/>
      <c r="AJ1282" s="87"/>
      <c r="AK1282" s="87"/>
      <c r="AL1282" s="87"/>
      <c r="AM1282" s="87"/>
      <c r="AN1282" s="87"/>
      <c r="AO1282" s="87"/>
      <c r="AP1282" s="87">
        <v>1</v>
      </c>
      <c r="AQ1282" s="87"/>
      <c r="AR1282" s="87"/>
      <c r="AS1282" s="87"/>
      <c r="AT1282" s="87"/>
      <c r="AU1282" s="87"/>
      <c r="AV1282" s="87"/>
      <c r="AW1282" s="88" t="str">
        <f>HYPERLINK("http://www.openstreetmap.org/?mlat=34.3477&amp;mlon=45.2873&amp;zoom=12#map=12/34.3477/45.2873","Maplink1")</f>
        <v>Maplink1</v>
      </c>
      <c r="AX1282" s="88" t="str">
        <f>HYPERLINK("https://www.google.iq/maps/search/+34.3477,45.2873/@34.3477,45.2873,14z?hl=en","Maplink2")</f>
        <v>Maplink2</v>
      </c>
      <c r="AY1282" s="88" t="str">
        <f>HYPERLINK("http://www.bing.com/maps/?lvl=14&amp;sty=h&amp;cp=34.3477~45.2873&amp;sp=point.34.3477_45.2873","Maplink3")</f>
        <v>Maplink3</v>
      </c>
      <c r="AZ1282" s="76"/>
    </row>
    <row r="1283" spans="1:52" x14ac:dyDescent="0.25">
      <c r="A1283" s="86">
        <v>24392</v>
      </c>
      <c r="B1283" s="87" t="s">
        <v>17</v>
      </c>
      <c r="C1283" s="87" t="s">
        <v>2440</v>
      </c>
      <c r="D1283" s="87" t="s">
        <v>2544</v>
      </c>
      <c r="E1283" s="87" t="s">
        <v>2545</v>
      </c>
      <c r="F1283" s="87">
        <v>34.354720242100001</v>
      </c>
      <c r="G1283" s="87">
        <v>45.3455918505</v>
      </c>
      <c r="H1283" s="86">
        <v>43</v>
      </c>
      <c r="I1283" s="86">
        <v>258</v>
      </c>
      <c r="J1283" s="87"/>
      <c r="K1283" s="87"/>
      <c r="L1283" s="87"/>
      <c r="M1283" s="87"/>
      <c r="N1283" s="87"/>
      <c r="O1283" s="87">
        <v>43</v>
      </c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>
        <v>14</v>
      </c>
      <c r="AD1283" s="87"/>
      <c r="AE1283" s="87"/>
      <c r="AF1283" s="87"/>
      <c r="AG1283" s="87"/>
      <c r="AH1283" s="87">
        <v>25</v>
      </c>
      <c r="AI1283" s="87">
        <v>4</v>
      </c>
      <c r="AJ1283" s="87"/>
      <c r="AK1283" s="87"/>
      <c r="AL1283" s="87"/>
      <c r="AM1283" s="87"/>
      <c r="AN1283" s="87"/>
      <c r="AO1283" s="87">
        <v>43</v>
      </c>
      <c r="AP1283" s="87"/>
      <c r="AQ1283" s="87"/>
      <c r="AR1283" s="87"/>
      <c r="AS1283" s="87"/>
      <c r="AT1283" s="87"/>
      <c r="AU1283" s="87"/>
      <c r="AV1283" s="87"/>
      <c r="AW1283" s="88" t="str">
        <f>HYPERLINK("http://www.openstreetmap.org/?mlat=34.3547&amp;mlon=45.3456&amp;zoom=12#map=12/34.3547/45.3456","Maplink1")</f>
        <v>Maplink1</v>
      </c>
      <c r="AX1283" s="88" t="str">
        <f>HYPERLINK("https://www.google.iq/maps/search/+34.3547,45.3456/@34.3547,45.3456,14z?hl=en","Maplink2")</f>
        <v>Maplink2</v>
      </c>
      <c r="AY1283" s="88" t="str">
        <f>HYPERLINK("http://www.bing.com/maps/?lvl=14&amp;sty=h&amp;cp=34.3547~45.3456&amp;sp=point.34.3547_45.3456","Maplink3")</f>
        <v>Maplink3</v>
      </c>
      <c r="AZ1283" s="76"/>
    </row>
    <row r="1284" spans="1:52" x14ac:dyDescent="0.25">
      <c r="A1284" s="86">
        <v>24408</v>
      </c>
      <c r="B1284" s="87" t="s">
        <v>17</v>
      </c>
      <c r="C1284" s="87" t="s">
        <v>2440</v>
      </c>
      <c r="D1284" s="87" t="s">
        <v>2546</v>
      </c>
      <c r="E1284" s="87" t="s">
        <v>2547</v>
      </c>
      <c r="F1284" s="87">
        <v>34.387689749000003</v>
      </c>
      <c r="G1284" s="87">
        <v>45.218928063500002</v>
      </c>
      <c r="H1284" s="86">
        <v>7</v>
      </c>
      <c r="I1284" s="86">
        <v>42</v>
      </c>
      <c r="J1284" s="87"/>
      <c r="K1284" s="87"/>
      <c r="L1284" s="87"/>
      <c r="M1284" s="87"/>
      <c r="N1284" s="87"/>
      <c r="O1284" s="87">
        <v>7</v>
      </c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>
        <v>7</v>
      </c>
      <c r="AD1284" s="87"/>
      <c r="AE1284" s="87"/>
      <c r="AF1284" s="87"/>
      <c r="AG1284" s="87"/>
      <c r="AH1284" s="87"/>
      <c r="AI1284" s="87"/>
      <c r="AJ1284" s="87"/>
      <c r="AK1284" s="87"/>
      <c r="AL1284" s="87"/>
      <c r="AM1284" s="87"/>
      <c r="AN1284" s="87"/>
      <c r="AO1284" s="87">
        <v>7</v>
      </c>
      <c r="AP1284" s="87"/>
      <c r="AQ1284" s="87"/>
      <c r="AR1284" s="87"/>
      <c r="AS1284" s="87"/>
      <c r="AT1284" s="87"/>
      <c r="AU1284" s="87"/>
      <c r="AV1284" s="87"/>
      <c r="AW1284" s="88" t="str">
        <f>HYPERLINK("http://www.openstreetmap.org/?mlat=34.3877&amp;mlon=45.2189&amp;zoom=12#map=12/34.3877/45.2189","Maplink1")</f>
        <v>Maplink1</v>
      </c>
      <c r="AX1284" s="88" t="str">
        <f>HYPERLINK("https://www.google.iq/maps/search/+34.3877,45.2189/@34.3877,45.2189,14z?hl=en","Maplink2")</f>
        <v>Maplink2</v>
      </c>
      <c r="AY1284" s="88" t="str">
        <f>HYPERLINK("http://www.bing.com/maps/?lvl=14&amp;sty=h&amp;cp=34.3877~45.2189&amp;sp=point.34.3877_45.2189","Maplink3")</f>
        <v>Maplink3</v>
      </c>
      <c r="AZ1284" s="76"/>
    </row>
    <row r="1285" spans="1:52" x14ac:dyDescent="0.25">
      <c r="A1285" s="86">
        <v>25342</v>
      </c>
      <c r="B1285" s="87" t="s">
        <v>17</v>
      </c>
      <c r="C1285" s="87" t="s">
        <v>2440</v>
      </c>
      <c r="D1285" s="87" t="s">
        <v>2548</v>
      </c>
      <c r="E1285" s="87" t="s">
        <v>2549</v>
      </c>
      <c r="F1285" s="87">
        <v>34.3523053985</v>
      </c>
      <c r="G1285" s="87">
        <v>45.422594737300003</v>
      </c>
      <c r="H1285" s="86">
        <v>40</v>
      </c>
      <c r="I1285" s="86">
        <v>240</v>
      </c>
      <c r="J1285" s="87"/>
      <c r="K1285" s="87"/>
      <c r="L1285" s="87"/>
      <c r="M1285" s="87"/>
      <c r="N1285" s="87"/>
      <c r="O1285" s="87">
        <v>40</v>
      </c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87"/>
      <c r="AE1285" s="87"/>
      <c r="AF1285" s="87"/>
      <c r="AG1285" s="87"/>
      <c r="AH1285" s="87">
        <v>38</v>
      </c>
      <c r="AI1285" s="87">
        <v>2</v>
      </c>
      <c r="AJ1285" s="87"/>
      <c r="AK1285" s="87"/>
      <c r="AL1285" s="87"/>
      <c r="AM1285" s="87"/>
      <c r="AN1285" s="87"/>
      <c r="AO1285" s="87">
        <v>40</v>
      </c>
      <c r="AP1285" s="87"/>
      <c r="AQ1285" s="87"/>
      <c r="AR1285" s="87"/>
      <c r="AS1285" s="87"/>
      <c r="AT1285" s="87"/>
      <c r="AU1285" s="87"/>
      <c r="AV1285" s="87"/>
      <c r="AW1285" s="88" t="str">
        <f>HYPERLINK("http://www.openstreetmap.org/?mlat=34.3523&amp;mlon=45.4226&amp;zoom=12#map=12/34.3523/45.4226","Maplink1")</f>
        <v>Maplink1</v>
      </c>
      <c r="AX1285" s="88" t="str">
        <f>HYPERLINK("https://www.google.iq/maps/search/+34.3523,45.4226/@34.3523,45.4226,14z?hl=en","Maplink2")</f>
        <v>Maplink2</v>
      </c>
      <c r="AY1285" s="88" t="str">
        <f>HYPERLINK("http://www.bing.com/maps/?lvl=14&amp;sty=h&amp;cp=34.3523~45.4226&amp;sp=point.34.3523_45.4226","Maplink3")</f>
        <v>Maplink3</v>
      </c>
      <c r="AZ1285" s="76"/>
    </row>
    <row r="1286" spans="1:52" x14ac:dyDescent="0.25">
      <c r="A1286" s="86">
        <v>25468</v>
      </c>
      <c r="B1286" s="87" t="s">
        <v>17</v>
      </c>
      <c r="C1286" s="87" t="s">
        <v>2440</v>
      </c>
      <c r="D1286" s="87" t="s">
        <v>2550</v>
      </c>
      <c r="E1286" s="87" t="s">
        <v>2551</v>
      </c>
      <c r="F1286" s="87">
        <v>34.346839347600003</v>
      </c>
      <c r="G1286" s="87">
        <v>45.386810276600002</v>
      </c>
      <c r="H1286" s="86">
        <v>18</v>
      </c>
      <c r="I1286" s="86">
        <v>108</v>
      </c>
      <c r="J1286" s="87"/>
      <c r="K1286" s="87"/>
      <c r="L1286" s="87"/>
      <c r="M1286" s="87"/>
      <c r="N1286" s="87"/>
      <c r="O1286" s="87">
        <v>18</v>
      </c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87"/>
      <c r="AE1286" s="87"/>
      <c r="AF1286" s="87"/>
      <c r="AG1286" s="87"/>
      <c r="AH1286" s="87">
        <v>18</v>
      </c>
      <c r="AI1286" s="87"/>
      <c r="AJ1286" s="87"/>
      <c r="AK1286" s="87"/>
      <c r="AL1286" s="87"/>
      <c r="AM1286" s="87"/>
      <c r="AN1286" s="87"/>
      <c r="AO1286" s="87">
        <v>18</v>
      </c>
      <c r="AP1286" s="87"/>
      <c r="AQ1286" s="87"/>
      <c r="AR1286" s="87"/>
      <c r="AS1286" s="87"/>
      <c r="AT1286" s="87"/>
      <c r="AU1286" s="87"/>
      <c r="AV1286" s="87"/>
      <c r="AW1286" s="88" t="str">
        <f>HYPERLINK("http://www.openstreetmap.org/?mlat=34.3468&amp;mlon=45.3868&amp;zoom=12#map=12/34.3468/45.3868","Maplink1")</f>
        <v>Maplink1</v>
      </c>
      <c r="AX1286" s="88" t="str">
        <f>HYPERLINK("https://www.google.iq/maps/search/+34.3468,45.3868/@34.3468,45.3868,14z?hl=en","Maplink2")</f>
        <v>Maplink2</v>
      </c>
      <c r="AY1286" s="88" t="str">
        <f>HYPERLINK("http://www.bing.com/maps/?lvl=14&amp;sty=h&amp;cp=34.3468~45.3868&amp;sp=point.34.3468_45.3868","Maplink3")</f>
        <v>Maplink3</v>
      </c>
      <c r="AZ1286" s="76"/>
    </row>
    <row r="1287" spans="1:52" x14ac:dyDescent="0.25">
      <c r="A1287" s="86">
        <v>10497</v>
      </c>
      <c r="B1287" s="87" t="s">
        <v>17</v>
      </c>
      <c r="C1287" s="87" t="s">
        <v>2440</v>
      </c>
      <c r="D1287" s="87" t="s">
        <v>2552</v>
      </c>
      <c r="E1287" s="87" t="s">
        <v>2553</v>
      </c>
      <c r="F1287" s="87">
        <v>34.371190769099996</v>
      </c>
      <c r="G1287" s="87">
        <v>45.216277624600004</v>
      </c>
      <c r="H1287" s="86">
        <v>3</v>
      </c>
      <c r="I1287" s="86">
        <v>18</v>
      </c>
      <c r="J1287" s="87"/>
      <c r="K1287" s="87"/>
      <c r="L1287" s="87"/>
      <c r="M1287" s="87"/>
      <c r="N1287" s="87"/>
      <c r="O1287" s="87">
        <v>3</v>
      </c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>
        <v>3</v>
      </c>
      <c r="AD1287" s="87"/>
      <c r="AE1287" s="87"/>
      <c r="AF1287" s="87"/>
      <c r="AG1287" s="87"/>
      <c r="AH1287" s="87"/>
      <c r="AI1287" s="87"/>
      <c r="AJ1287" s="87"/>
      <c r="AK1287" s="87"/>
      <c r="AL1287" s="87"/>
      <c r="AM1287" s="87"/>
      <c r="AN1287" s="87"/>
      <c r="AO1287" s="87">
        <v>3</v>
      </c>
      <c r="AP1287" s="87"/>
      <c r="AQ1287" s="87"/>
      <c r="AR1287" s="87"/>
      <c r="AS1287" s="87"/>
      <c r="AT1287" s="87"/>
      <c r="AU1287" s="87"/>
      <c r="AV1287" s="87"/>
      <c r="AW1287" s="88" t="str">
        <f>HYPERLINK("http://www.openstreetmap.org/?mlat=34.3712&amp;mlon=45.2163&amp;zoom=12#map=12/34.3712/45.2163","Maplink1")</f>
        <v>Maplink1</v>
      </c>
      <c r="AX1287" s="88" t="str">
        <f>HYPERLINK("https://www.google.iq/maps/search/+34.3712,45.2163/@34.3712,45.2163,14z?hl=en","Maplink2")</f>
        <v>Maplink2</v>
      </c>
      <c r="AY1287" s="88" t="str">
        <f>HYPERLINK("http://www.bing.com/maps/?lvl=14&amp;sty=h&amp;cp=34.3712~45.2163&amp;sp=point.34.3712_45.2163","Maplink3")</f>
        <v>Maplink3</v>
      </c>
      <c r="AZ1287" s="76"/>
    </row>
    <row r="1288" spans="1:52" x14ac:dyDescent="0.25">
      <c r="A1288" s="86">
        <v>10437</v>
      </c>
      <c r="B1288" s="87" t="s">
        <v>17</v>
      </c>
      <c r="C1288" s="87" t="s">
        <v>2440</v>
      </c>
      <c r="D1288" s="87" t="s">
        <v>2554</v>
      </c>
      <c r="E1288" s="87" t="s">
        <v>2555</v>
      </c>
      <c r="F1288" s="87">
        <v>34.553951400000003</v>
      </c>
      <c r="G1288" s="87">
        <v>45.3357435</v>
      </c>
      <c r="H1288" s="86">
        <v>12</v>
      </c>
      <c r="I1288" s="86">
        <v>72</v>
      </c>
      <c r="J1288" s="87"/>
      <c r="K1288" s="87"/>
      <c r="L1288" s="87">
        <v>1</v>
      </c>
      <c r="M1288" s="87"/>
      <c r="N1288" s="87"/>
      <c r="O1288" s="87">
        <v>11</v>
      </c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87"/>
      <c r="AE1288" s="87"/>
      <c r="AF1288" s="87"/>
      <c r="AG1288" s="87"/>
      <c r="AH1288" s="87">
        <v>12</v>
      </c>
      <c r="AI1288" s="87"/>
      <c r="AJ1288" s="87"/>
      <c r="AK1288" s="87"/>
      <c r="AL1288" s="87"/>
      <c r="AM1288" s="87"/>
      <c r="AN1288" s="87"/>
      <c r="AO1288" s="87">
        <v>5</v>
      </c>
      <c r="AP1288" s="87"/>
      <c r="AQ1288" s="87">
        <v>5</v>
      </c>
      <c r="AR1288" s="87"/>
      <c r="AS1288" s="87">
        <v>2</v>
      </c>
      <c r="AT1288" s="87"/>
      <c r="AU1288" s="87"/>
      <c r="AV1288" s="87"/>
      <c r="AW1288" s="88" t="str">
        <f>HYPERLINK("http://www.openstreetmap.org/?mlat=34.554&amp;mlon=45.3357&amp;zoom=12#map=12/34.554/45.3357","Maplink1")</f>
        <v>Maplink1</v>
      </c>
      <c r="AX1288" s="88" t="str">
        <f>HYPERLINK("https://www.google.iq/maps/search/+34.554,45.3357/@34.554,45.3357,14z?hl=en","Maplink2")</f>
        <v>Maplink2</v>
      </c>
      <c r="AY1288" s="88" t="str">
        <f>HYPERLINK("http://www.bing.com/maps/?lvl=14&amp;sty=h&amp;cp=34.554~45.3357&amp;sp=point.34.554_45.3357","Maplink3")</f>
        <v>Maplink3</v>
      </c>
      <c r="AZ1288" s="76"/>
    </row>
    <row r="1289" spans="1:52" x14ac:dyDescent="0.25">
      <c r="A1289" s="86">
        <v>24389</v>
      </c>
      <c r="B1289" s="87" t="s">
        <v>17</v>
      </c>
      <c r="C1289" s="87" t="s">
        <v>2440</v>
      </c>
      <c r="D1289" s="87" t="s">
        <v>2556</v>
      </c>
      <c r="E1289" s="87" t="s">
        <v>2557</v>
      </c>
      <c r="F1289" s="87">
        <v>34.313627327299997</v>
      </c>
      <c r="G1289" s="87">
        <v>45.304650748900002</v>
      </c>
      <c r="H1289" s="86">
        <v>5</v>
      </c>
      <c r="I1289" s="86">
        <v>30</v>
      </c>
      <c r="J1289" s="87"/>
      <c r="K1289" s="87"/>
      <c r="L1289" s="87"/>
      <c r="M1289" s="87"/>
      <c r="N1289" s="87"/>
      <c r="O1289" s="87">
        <v>5</v>
      </c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>
        <v>3</v>
      </c>
      <c r="AD1289" s="87"/>
      <c r="AE1289" s="87"/>
      <c r="AF1289" s="87"/>
      <c r="AG1289" s="87"/>
      <c r="AH1289" s="87">
        <v>2</v>
      </c>
      <c r="AI1289" s="87"/>
      <c r="AJ1289" s="87"/>
      <c r="AK1289" s="87"/>
      <c r="AL1289" s="87"/>
      <c r="AM1289" s="87"/>
      <c r="AN1289" s="87"/>
      <c r="AO1289" s="87">
        <v>5</v>
      </c>
      <c r="AP1289" s="87"/>
      <c r="AQ1289" s="87"/>
      <c r="AR1289" s="87"/>
      <c r="AS1289" s="87"/>
      <c r="AT1289" s="87"/>
      <c r="AU1289" s="87"/>
      <c r="AV1289" s="87"/>
      <c r="AW1289" s="88" t="str">
        <f>HYPERLINK("http://www.openstreetmap.org/?mlat=34.3136&amp;mlon=45.3047&amp;zoom=12#map=12/34.3136/45.3047","Maplink1")</f>
        <v>Maplink1</v>
      </c>
      <c r="AX1289" s="88" t="str">
        <f>HYPERLINK("https://www.google.iq/maps/search/+34.3136,45.3047/@34.3136,45.3047,14z?hl=en","Maplink2")</f>
        <v>Maplink2</v>
      </c>
      <c r="AY1289" s="88" t="str">
        <f>HYPERLINK("http://www.bing.com/maps/?lvl=14&amp;sty=h&amp;cp=34.3136~45.3047&amp;sp=point.34.3136_45.3047","Maplink3")</f>
        <v>Maplink3</v>
      </c>
      <c r="AZ1289" s="76"/>
    </row>
    <row r="1290" spans="1:52" x14ac:dyDescent="0.25">
      <c r="A1290" s="86">
        <v>11047</v>
      </c>
      <c r="B1290" s="87" t="s">
        <v>17</v>
      </c>
      <c r="C1290" s="87" t="s">
        <v>2440</v>
      </c>
      <c r="D1290" s="87" t="s">
        <v>2558</v>
      </c>
      <c r="E1290" s="87" t="s">
        <v>2559</v>
      </c>
      <c r="F1290" s="87">
        <v>34.357887634599997</v>
      </c>
      <c r="G1290" s="87">
        <v>45.376318335199997</v>
      </c>
      <c r="H1290" s="86">
        <v>165</v>
      </c>
      <c r="I1290" s="86">
        <v>990</v>
      </c>
      <c r="J1290" s="87"/>
      <c r="K1290" s="87"/>
      <c r="L1290" s="87"/>
      <c r="M1290" s="87"/>
      <c r="N1290" s="87"/>
      <c r="O1290" s="87">
        <v>165</v>
      </c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87"/>
      <c r="AE1290" s="87"/>
      <c r="AF1290" s="87"/>
      <c r="AG1290" s="87"/>
      <c r="AH1290" s="87">
        <v>165</v>
      </c>
      <c r="AI1290" s="87"/>
      <c r="AJ1290" s="87"/>
      <c r="AK1290" s="87"/>
      <c r="AL1290" s="87"/>
      <c r="AM1290" s="87"/>
      <c r="AN1290" s="87"/>
      <c r="AO1290" s="87">
        <v>160</v>
      </c>
      <c r="AP1290" s="87"/>
      <c r="AQ1290" s="87">
        <v>5</v>
      </c>
      <c r="AR1290" s="87"/>
      <c r="AS1290" s="87"/>
      <c r="AT1290" s="87"/>
      <c r="AU1290" s="87"/>
      <c r="AV1290" s="87"/>
      <c r="AW1290" s="88" t="str">
        <f>HYPERLINK("http://www.openstreetmap.org/?mlat=34.3579&amp;mlon=45.3763&amp;zoom=12#map=12/34.3579/45.3763","Maplink1")</f>
        <v>Maplink1</v>
      </c>
      <c r="AX1290" s="88" t="str">
        <f>HYPERLINK("https://www.google.iq/maps/search/+34.3579,45.3763/@34.3579,45.3763,14z?hl=en","Maplink2")</f>
        <v>Maplink2</v>
      </c>
      <c r="AY1290" s="88" t="str">
        <f>HYPERLINK("http://www.bing.com/maps/?lvl=14&amp;sty=h&amp;cp=34.3579~45.3763&amp;sp=point.34.3579_45.3763","Maplink3")</f>
        <v>Maplink3</v>
      </c>
      <c r="AZ1290" s="76"/>
    </row>
    <row r="1291" spans="1:52" x14ac:dyDescent="0.25">
      <c r="A1291" s="86">
        <v>25625</v>
      </c>
      <c r="B1291" s="87" t="s">
        <v>17</v>
      </c>
      <c r="C1291" s="87" t="s">
        <v>2440</v>
      </c>
      <c r="D1291" s="87" t="s">
        <v>2560</v>
      </c>
      <c r="E1291" s="87" t="s">
        <v>2561</v>
      </c>
      <c r="F1291" s="87">
        <v>34.387723026000003</v>
      </c>
      <c r="G1291" s="87">
        <v>45.256697897700001</v>
      </c>
      <c r="H1291" s="86">
        <v>4</v>
      </c>
      <c r="I1291" s="86">
        <v>24</v>
      </c>
      <c r="J1291" s="87"/>
      <c r="K1291" s="87"/>
      <c r="L1291" s="87"/>
      <c r="M1291" s="87"/>
      <c r="N1291" s="87"/>
      <c r="O1291" s="87">
        <v>4</v>
      </c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>
        <v>4</v>
      </c>
      <c r="AD1291" s="87"/>
      <c r="AE1291" s="87"/>
      <c r="AF1291" s="87"/>
      <c r="AG1291" s="87"/>
      <c r="AH1291" s="87"/>
      <c r="AI1291" s="87"/>
      <c r="AJ1291" s="87"/>
      <c r="AK1291" s="87"/>
      <c r="AL1291" s="87"/>
      <c r="AM1291" s="87"/>
      <c r="AN1291" s="87"/>
      <c r="AO1291" s="87"/>
      <c r="AP1291" s="87">
        <v>4</v>
      </c>
      <c r="AQ1291" s="87"/>
      <c r="AR1291" s="87"/>
      <c r="AS1291" s="87"/>
      <c r="AT1291" s="87"/>
      <c r="AU1291" s="87"/>
      <c r="AV1291" s="87"/>
      <c r="AW1291" s="88" t="str">
        <f>HYPERLINK("http://www.openstreetmap.org/?mlat=34.3877&amp;mlon=45.2567&amp;zoom=12#map=12/34.3877/45.2567","Maplink1")</f>
        <v>Maplink1</v>
      </c>
      <c r="AX1291" s="88" t="str">
        <f>HYPERLINK("https://www.google.iq/maps/search/+34.3877,45.2567/@34.3877,45.2567,14z?hl=en","Maplink2")</f>
        <v>Maplink2</v>
      </c>
      <c r="AY1291" s="88" t="str">
        <f>HYPERLINK("http://www.bing.com/maps/?lvl=14&amp;sty=h&amp;cp=34.3877~45.2567&amp;sp=point.34.3877_45.2567","Maplink3")</f>
        <v>Maplink3</v>
      </c>
      <c r="AZ1291" s="76"/>
    </row>
    <row r="1292" spans="1:52" x14ac:dyDescent="0.25">
      <c r="A1292" s="86">
        <v>24393</v>
      </c>
      <c r="B1292" s="87" t="s">
        <v>17</v>
      </c>
      <c r="C1292" s="87" t="s">
        <v>2440</v>
      </c>
      <c r="D1292" s="87" t="s">
        <v>2562</v>
      </c>
      <c r="E1292" s="87" t="s">
        <v>2563</v>
      </c>
      <c r="F1292" s="87">
        <v>34.352051231399997</v>
      </c>
      <c r="G1292" s="87">
        <v>45.347297106600003</v>
      </c>
      <c r="H1292" s="86">
        <v>42</v>
      </c>
      <c r="I1292" s="86">
        <v>252</v>
      </c>
      <c r="J1292" s="87"/>
      <c r="K1292" s="87"/>
      <c r="L1292" s="87"/>
      <c r="M1292" s="87"/>
      <c r="N1292" s="87"/>
      <c r="O1292" s="87">
        <v>42</v>
      </c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>
        <v>15</v>
      </c>
      <c r="AD1292" s="87"/>
      <c r="AE1292" s="87"/>
      <c r="AF1292" s="87"/>
      <c r="AG1292" s="87"/>
      <c r="AH1292" s="87">
        <v>22</v>
      </c>
      <c r="AI1292" s="87">
        <v>5</v>
      </c>
      <c r="AJ1292" s="87"/>
      <c r="AK1292" s="87"/>
      <c r="AL1292" s="87"/>
      <c r="AM1292" s="87"/>
      <c r="AN1292" s="87"/>
      <c r="AO1292" s="87">
        <v>42</v>
      </c>
      <c r="AP1292" s="87"/>
      <c r="AQ1292" s="87"/>
      <c r="AR1292" s="87"/>
      <c r="AS1292" s="87"/>
      <c r="AT1292" s="87"/>
      <c r="AU1292" s="87"/>
      <c r="AV1292" s="87"/>
      <c r="AW1292" s="88" t="str">
        <f>HYPERLINK("http://www.openstreetmap.org/?mlat=34.3521&amp;mlon=45.3473&amp;zoom=12#map=12/34.3521/45.3473","Maplink1")</f>
        <v>Maplink1</v>
      </c>
      <c r="AX1292" s="88" t="str">
        <f>HYPERLINK("https://www.google.iq/maps/search/+34.3521,45.3473/@34.3521,45.3473,14z?hl=en","Maplink2")</f>
        <v>Maplink2</v>
      </c>
      <c r="AY1292" s="88" t="str">
        <f>HYPERLINK("http://www.bing.com/maps/?lvl=14&amp;sty=h&amp;cp=34.3521~45.3473&amp;sp=point.34.3521_45.3473","Maplink3")</f>
        <v>Maplink3</v>
      </c>
      <c r="AZ1292" s="76"/>
    </row>
    <row r="1293" spans="1:52" x14ac:dyDescent="0.25">
      <c r="A1293" s="86">
        <v>10394</v>
      </c>
      <c r="B1293" s="87" t="s">
        <v>17</v>
      </c>
      <c r="C1293" s="87" t="s">
        <v>2564</v>
      </c>
      <c r="D1293" s="87" t="s">
        <v>2565</v>
      </c>
      <c r="E1293" s="87" t="s">
        <v>2566</v>
      </c>
      <c r="F1293" s="87">
        <v>34.636358299999998</v>
      </c>
      <c r="G1293" s="87">
        <v>45.011307899999998</v>
      </c>
      <c r="H1293" s="86">
        <v>20</v>
      </c>
      <c r="I1293" s="86">
        <v>120</v>
      </c>
      <c r="J1293" s="87"/>
      <c r="K1293" s="87">
        <v>3</v>
      </c>
      <c r="L1293" s="87"/>
      <c r="M1293" s="87"/>
      <c r="N1293" s="87"/>
      <c r="O1293" s="87">
        <v>12</v>
      </c>
      <c r="P1293" s="87"/>
      <c r="Q1293" s="87"/>
      <c r="R1293" s="87"/>
      <c r="S1293" s="87"/>
      <c r="T1293" s="87"/>
      <c r="U1293" s="87"/>
      <c r="V1293" s="87"/>
      <c r="W1293" s="87"/>
      <c r="X1293" s="87">
        <v>5</v>
      </c>
      <c r="Y1293" s="87"/>
      <c r="Z1293" s="87"/>
      <c r="AA1293" s="87"/>
      <c r="AB1293" s="87"/>
      <c r="AC1293" s="87"/>
      <c r="AD1293" s="87"/>
      <c r="AE1293" s="87"/>
      <c r="AF1293" s="87"/>
      <c r="AG1293" s="87"/>
      <c r="AH1293" s="87">
        <v>20</v>
      </c>
      <c r="AI1293" s="87"/>
      <c r="AJ1293" s="87"/>
      <c r="AK1293" s="87"/>
      <c r="AL1293" s="87"/>
      <c r="AM1293" s="87"/>
      <c r="AN1293" s="87"/>
      <c r="AO1293" s="87">
        <v>18</v>
      </c>
      <c r="AP1293" s="87"/>
      <c r="AQ1293" s="87"/>
      <c r="AR1293" s="87"/>
      <c r="AS1293" s="87"/>
      <c r="AT1293" s="87"/>
      <c r="AU1293" s="87">
        <v>2</v>
      </c>
      <c r="AV1293" s="87"/>
      <c r="AW1293" s="88" t="str">
        <f>HYPERLINK("http://www.openstreetmap.org/?mlat=34.6364&amp;mlon=45.0113&amp;zoom=12#map=12/34.6364/45.0113","Maplink1")</f>
        <v>Maplink1</v>
      </c>
      <c r="AX1293" s="88" t="str">
        <f>HYPERLINK("https://www.google.iq/maps/search/+34.6364,45.0113/@34.6364,45.0113,14z?hl=en","Maplink2")</f>
        <v>Maplink2</v>
      </c>
      <c r="AY1293" s="88" t="str">
        <f>HYPERLINK("http://www.bing.com/maps/?lvl=14&amp;sty=h&amp;cp=34.6364~45.0113&amp;sp=point.34.6364_45.0113","Maplink3")</f>
        <v>Maplink3</v>
      </c>
      <c r="AZ1293" s="76"/>
    </row>
    <row r="1294" spans="1:52" x14ac:dyDescent="0.25">
      <c r="A1294" s="86">
        <v>28426</v>
      </c>
      <c r="B1294" s="87" t="s">
        <v>17</v>
      </c>
      <c r="C1294" s="87" t="s">
        <v>2564</v>
      </c>
      <c r="D1294" s="87" t="s">
        <v>2567</v>
      </c>
      <c r="E1294" s="87" t="s">
        <v>2568</v>
      </c>
      <c r="F1294" s="87">
        <v>34.679361800000002</v>
      </c>
      <c r="G1294" s="87">
        <v>44.960223499999998</v>
      </c>
      <c r="H1294" s="86">
        <v>42</v>
      </c>
      <c r="I1294" s="86">
        <v>252</v>
      </c>
      <c r="J1294" s="87">
        <v>2</v>
      </c>
      <c r="K1294" s="87">
        <v>4</v>
      </c>
      <c r="L1294" s="87">
        <v>2</v>
      </c>
      <c r="M1294" s="87"/>
      <c r="N1294" s="87"/>
      <c r="O1294" s="87">
        <v>8</v>
      </c>
      <c r="P1294" s="87"/>
      <c r="Q1294" s="87"/>
      <c r="R1294" s="87">
        <v>4</v>
      </c>
      <c r="S1294" s="87"/>
      <c r="T1294" s="87"/>
      <c r="U1294" s="87"/>
      <c r="V1294" s="87"/>
      <c r="W1294" s="87"/>
      <c r="X1294" s="87">
        <v>22</v>
      </c>
      <c r="Y1294" s="87"/>
      <c r="Z1294" s="87"/>
      <c r="AA1294" s="87"/>
      <c r="AB1294" s="87"/>
      <c r="AC1294" s="87"/>
      <c r="AD1294" s="87"/>
      <c r="AE1294" s="87"/>
      <c r="AF1294" s="87"/>
      <c r="AG1294" s="87"/>
      <c r="AH1294" s="87">
        <v>42</v>
      </c>
      <c r="AI1294" s="87"/>
      <c r="AJ1294" s="87"/>
      <c r="AK1294" s="87"/>
      <c r="AL1294" s="87"/>
      <c r="AM1294" s="87"/>
      <c r="AN1294" s="87"/>
      <c r="AO1294" s="87">
        <v>6</v>
      </c>
      <c r="AP1294" s="87">
        <v>7</v>
      </c>
      <c r="AQ1294" s="87">
        <v>8</v>
      </c>
      <c r="AR1294" s="87">
        <v>5</v>
      </c>
      <c r="AS1294" s="87">
        <v>1</v>
      </c>
      <c r="AT1294" s="87">
        <v>3</v>
      </c>
      <c r="AU1294" s="87">
        <v>12</v>
      </c>
      <c r="AV1294" s="87"/>
      <c r="AW1294" s="88" t="str">
        <f>HYPERLINK("http://www.openstreetmap.org/?mlat=34.6794&amp;mlon=44.9602&amp;zoom=12#map=12/34.6794/44.9602","Maplink1")</f>
        <v>Maplink1</v>
      </c>
      <c r="AX1294" s="88" t="str">
        <f>HYPERLINK("https://www.google.iq/maps/search/+34.6794,44.9602/@34.6794,44.9602,14z?hl=en","Maplink2")</f>
        <v>Maplink2</v>
      </c>
      <c r="AY1294" s="88" t="str">
        <f>HYPERLINK("http://www.bing.com/maps/?lvl=14&amp;sty=h&amp;cp=34.6794~44.9602&amp;sp=point.34.6794_44.9602","Maplink3")</f>
        <v>Maplink3</v>
      </c>
      <c r="AZ1294" s="76"/>
    </row>
    <row r="1295" spans="1:52" x14ac:dyDescent="0.25">
      <c r="A1295" s="86">
        <v>33380</v>
      </c>
      <c r="B1295" s="87" t="s">
        <v>17</v>
      </c>
      <c r="C1295" s="87" t="s">
        <v>2564</v>
      </c>
      <c r="D1295" s="87" t="s">
        <v>2569</v>
      </c>
      <c r="E1295" s="87" t="s">
        <v>2570</v>
      </c>
      <c r="F1295" s="87">
        <v>35.023257800000003</v>
      </c>
      <c r="G1295" s="87">
        <v>45.101172599999998</v>
      </c>
      <c r="H1295" s="86">
        <v>36</v>
      </c>
      <c r="I1295" s="86">
        <v>216</v>
      </c>
      <c r="J1295" s="87"/>
      <c r="K1295" s="87"/>
      <c r="L1295" s="87">
        <v>2</v>
      </c>
      <c r="M1295" s="87"/>
      <c r="N1295" s="87"/>
      <c r="O1295" s="87">
        <v>29</v>
      </c>
      <c r="P1295" s="87"/>
      <c r="Q1295" s="87"/>
      <c r="R1295" s="87"/>
      <c r="S1295" s="87"/>
      <c r="T1295" s="87"/>
      <c r="U1295" s="87"/>
      <c r="V1295" s="87">
        <v>2</v>
      </c>
      <c r="W1295" s="87"/>
      <c r="X1295" s="87">
        <v>3</v>
      </c>
      <c r="Y1295" s="87"/>
      <c r="Z1295" s="87"/>
      <c r="AA1295" s="87"/>
      <c r="AB1295" s="87"/>
      <c r="AC1295" s="87"/>
      <c r="AD1295" s="87"/>
      <c r="AE1295" s="87"/>
      <c r="AF1295" s="87"/>
      <c r="AG1295" s="87"/>
      <c r="AH1295" s="87">
        <v>36</v>
      </c>
      <c r="AI1295" s="87"/>
      <c r="AJ1295" s="87"/>
      <c r="AK1295" s="87"/>
      <c r="AL1295" s="87"/>
      <c r="AM1295" s="87"/>
      <c r="AN1295" s="87"/>
      <c r="AO1295" s="87">
        <v>5</v>
      </c>
      <c r="AP1295" s="87">
        <v>2</v>
      </c>
      <c r="AQ1295" s="87">
        <v>3</v>
      </c>
      <c r="AR1295" s="87">
        <v>4</v>
      </c>
      <c r="AS1295" s="87">
        <v>7</v>
      </c>
      <c r="AT1295" s="87">
        <v>9</v>
      </c>
      <c r="AU1295" s="87">
        <v>2</v>
      </c>
      <c r="AV1295" s="87">
        <v>4</v>
      </c>
      <c r="AW1295" s="88" t="str">
        <f>HYPERLINK("http://www.openstreetmap.org/?mlat=35.0233&amp;mlon=45.1012&amp;zoom=12#map=12/35.0233/45.1012","Maplink1")</f>
        <v>Maplink1</v>
      </c>
      <c r="AX1295" s="88" t="str">
        <f>HYPERLINK("https://www.google.iq/maps/search/+35.0233,45.1012/@35.0233,45.1012,14z?hl=en","Maplink2")</f>
        <v>Maplink2</v>
      </c>
      <c r="AY1295" s="88" t="str">
        <f>HYPERLINK("http://www.bing.com/maps/?lvl=14&amp;sty=h&amp;cp=35.0233~45.1012&amp;sp=point.35.0233_45.1012","Maplink3")</f>
        <v>Maplink3</v>
      </c>
      <c r="AZ1295" s="76"/>
    </row>
    <row r="1296" spans="1:52" x14ac:dyDescent="0.25">
      <c r="A1296" s="86">
        <v>28422</v>
      </c>
      <c r="B1296" s="87" t="s">
        <v>17</v>
      </c>
      <c r="C1296" s="87" t="s">
        <v>2564</v>
      </c>
      <c r="D1296" s="87" t="s">
        <v>2571</v>
      </c>
      <c r="E1296" s="87" t="s">
        <v>2572</v>
      </c>
      <c r="F1296" s="87">
        <v>34.703634299999997</v>
      </c>
      <c r="G1296" s="87">
        <v>44.968330999999999</v>
      </c>
      <c r="H1296" s="86">
        <v>78</v>
      </c>
      <c r="I1296" s="86">
        <v>468</v>
      </c>
      <c r="J1296" s="87">
        <v>11</v>
      </c>
      <c r="K1296" s="87">
        <v>2</v>
      </c>
      <c r="L1296" s="87">
        <v>9</v>
      </c>
      <c r="M1296" s="87"/>
      <c r="N1296" s="87"/>
      <c r="O1296" s="87">
        <v>37</v>
      </c>
      <c r="P1296" s="87"/>
      <c r="Q1296" s="87"/>
      <c r="R1296" s="87"/>
      <c r="S1296" s="87"/>
      <c r="T1296" s="87"/>
      <c r="U1296" s="87"/>
      <c r="V1296" s="87"/>
      <c r="W1296" s="87"/>
      <c r="X1296" s="87">
        <v>19</v>
      </c>
      <c r="Y1296" s="87"/>
      <c r="Z1296" s="87"/>
      <c r="AA1296" s="87"/>
      <c r="AB1296" s="87"/>
      <c r="AC1296" s="87"/>
      <c r="AD1296" s="87"/>
      <c r="AE1296" s="87"/>
      <c r="AF1296" s="87"/>
      <c r="AG1296" s="87"/>
      <c r="AH1296" s="87">
        <v>78</v>
      </c>
      <c r="AI1296" s="87"/>
      <c r="AJ1296" s="87"/>
      <c r="AK1296" s="87"/>
      <c r="AL1296" s="87"/>
      <c r="AM1296" s="87"/>
      <c r="AN1296" s="87">
        <v>2</v>
      </c>
      <c r="AO1296" s="87">
        <v>22</v>
      </c>
      <c r="AP1296" s="87">
        <v>13</v>
      </c>
      <c r="AQ1296" s="87">
        <v>18</v>
      </c>
      <c r="AR1296" s="87">
        <v>7</v>
      </c>
      <c r="AS1296" s="87">
        <v>4</v>
      </c>
      <c r="AT1296" s="87">
        <v>2</v>
      </c>
      <c r="AU1296" s="87">
        <v>9</v>
      </c>
      <c r="AV1296" s="87">
        <v>1</v>
      </c>
      <c r="AW1296" s="88" t="str">
        <f>HYPERLINK("http://www.openstreetmap.org/?mlat=34.7036&amp;mlon=44.9683&amp;zoom=12#map=12/34.7036/44.9683","Maplink1")</f>
        <v>Maplink1</v>
      </c>
      <c r="AX1296" s="88" t="str">
        <f>HYPERLINK("https://www.google.iq/maps/search/+34.7036,44.9683/@34.7036,44.9683,14z?hl=en","Maplink2")</f>
        <v>Maplink2</v>
      </c>
      <c r="AY1296" s="88" t="str">
        <f>HYPERLINK("http://www.bing.com/maps/?lvl=14&amp;sty=h&amp;cp=34.7036~44.9683&amp;sp=point.34.7036_44.9683","Maplink3")</f>
        <v>Maplink3</v>
      </c>
      <c r="AZ1296" s="76"/>
    </row>
    <row r="1297" spans="1:52" x14ac:dyDescent="0.25">
      <c r="A1297" s="86">
        <v>28431</v>
      </c>
      <c r="B1297" s="87" t="s">
        <v>17</v>
      </c>
      <c r="C1297" s="87" t="s">
        <v>2564</v>
      </c>
      <c r="D1297" s="87" t="s">
        <v>2573</v>
      </c>
      <c r="E1297" s="87" t="s">
        <v>2574</v>
      </c>
      <c r="F1297" s="87">
        <v>34.683267600000001</v>
      </c>
      <c r="G1297" s="87">
        <v>44.962378399999999</v>
      </c>
      <c r="H1297" s="86">
        <v>60</v>
      </c>
      <c r="I1297" s="86">
        <v>360</v>
      </c>
      <c r="J1297" s="87">
        <v>1</v>
      </c>
      <c r="K1297" s="87">
        <v>10</v>
      </c>
      <c r="L1297" s="87"/>
      <c r="M1297" s="87"/>
      <c r="N1297" s="87"/>
      <c r="O1297" s="87">
        <v>29</v>
      </c>
      <c r="P1297" s="87"/>
      <c r="Q1297" s="87"/>
      <c r="R1297" s="87"/>
      <c r="S1297" s="87"/>
      <c r="T1297" s="87"/>
      <c r="U1297" s="87"/>
      <c r="V1297" s="87"/>
      <c r="W1297" s="87"/>
      <c r="X1297" s="87">
        <v>20</v>
      </c>
      <c r="Y1297" s="87"/>
      <c r="Z1297" s="87"/>
      <c r="AA1297" s="87"/>
      <c r="AB1297" s="87"/>
      <c r="AC1297" s="87"/>
      <c r="AD1297" s="87"/>
      <c r="AE1297" s="87"/>
      <c r="AF1297" s="87"/>
      <c r="AG1297" s="87"/>
      <c r="AH1297" s="87">
        <v>60</v>
      </c>
      <c r="AI1297" s="87"/>
      <c r="AJ1297" s="87"/>
      <c r="AK1297" s="87"/>
      <c r="AL1297" s="87"/>
      <c r="AM1297" s="87"/>
      <c r="AN1297" s="87"/>
      <c r="AO1297" s="87">
        <v>15</v>
      </c>
      <c r="AP1297" s="87">
        <v>2</v>
      </c>
      <c r="AQ1297" s="87">
        <v>21</v>
      </c>
      <c r="AR1297" s="87">
        <v>2</v>
      </c>
      <c r="AS1297" s="87"/>
      <c r="AT1297" s="87">
        <v>5</v>
      </c>
      <c r="AU1297" s="87">
        <v>15</v>
      </c>
      <c r="AV1297" s="87"/>
      <c r="AW1297" s="88" t="str">
        <f>HYPERLINK("http://www.openstreetmap.org/?mlat=34.6833&amp;mlon=44.9624&amp;zoom=12#map=12/34.6833/44.9624","Maplink1")</f>
        <v>Maplink1</v>
      </c>
      <c r="AX1297" s="88" t="str">
        <f>HYPERLINK("https://www.google.iq/maps/search/+34.6833,44.9624/@34.6833,44.9624,14z?hl=en","Maplink2")</f>
        <v>Maplink2</v>
      </c>
      <c r="AY1297" s="88" t="str">
        <f>HYPERLINK("http://www.bing.com/maps/?lvl=14&amp;sty=h&amp;cp=34.6833~44.9624&amp;sp=point.34.6833_44.9624","Maplink3")</f>
        <v>Maplink3</v>
      </c>
      <c r="AZ1297" s="76"/>
    </row>
    <row r="1298" spans="1:52" x14ac:dyDescent="0.25">
      <c r="A1298" s="86">
        <v>25251</v>
      </c>
      <c r="B1298" s="87" t="s">
        <v>17</v>
      </c>
      <c r="C1298" s="87" t="s">
        <v>2564</v>
      </c>
      <c r="D1298" s="87" t="s">
        <v>2575</v>
      </c>
      <c r="E1298" s="87" t="s">
        <v>2576</v>
      </c>
      <c r="F1298" s="87">
        <v>34.421266000300001</v>
      </c>
      <c r="G1298" s="87">
        <v>45.096301290299998</v>
      </c>
      <c r="H1298" s="86">
        <v>30</v>
      </c>
      <c r="I1298" s="86">
        <v>180</v>
      </c>
      <c r="J1298" s="87"/>
      <c r="K1298" s="87"/>
      <c r="L1298" s="87"/>
      <c r="M1298" s="87"/>
      <c r="N1298" s="87"/>
      <c r="O1298" s="87">
        <v>30</v>
      </c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>
        <v>30</v>
      </c>
      <c r="AD1298" s="87"/>
      <c r="AE1298" s="87"/>
      <c r="AF1298" s="87"/>
      <c r="AG1298" s="87"/>
      <c r="AH1298" s="87"/>
      <c r="AI1298" s="87"/>
      <c r="AJ1298" s="87"/>
      <c r="AK1298" s="87"/>
      <c r="AL1298" s="87"/>
      <c r="AM1298" s="87"/>
      <c r="AN1298" s="87"/>
      <c r="AO1298" s="87">
        <v>30</v>
      </c>
      <c r="AP1298" s="87"/>
      <c r="AQ1298" s="87"/>
      <c r="AR1298" s="87"/>
      <c r="AS1298" s="87"/>
      <c r="AT1298" s="87"/>
      <c r="AU1298" s="87"/>
      <c r="AV1298" s="87"/>
      <c r="AW1298" s="88" t="str">
        <f>HYPERLINK("http://www.openstreetmap.org/?mlat=34.4213&amp;mlon=45.0963&amp;zoom=12#map=12/34.4213/45.0963","Maplink1")</f>
        <v>Maplink1</v>
      </c>
      <c r="AX1298" s="88" t="str">
        <f>HYPERLINK("https://www.google.iq/maps/search/+34.4213,45.0963/@34.4213,45.0963,14z?hl=en","Maplink2")</f>
        <v>Maplink2</v>
      </c>
      <c r="AY1298" s="88" t="str">
        <f>HYPERLINK("http://www.bing.com/maps/?lvl=14&amp;sty=h&amp;cp=34.4213~45.0963&amp;sp=point.34.4213_45.0963","Maplink3")</f>
        <v>Maplink3</v>
      </c>
      <c r="AZ1298" s="76"/>
    </row>
    <row r="1299" spans="1:52" x14ac:dyDescent="0.25">
      <c r="A1299" s="86">
        <v>28423</v>
      </c>
      <c r="B1299" s="87" t="s">
        <v>17</v>
      </c>
      <c r="C1299" s="87" t="s">
        <v>2564</v>
      </c>
      <c r="D1299" s="87" t="s">
        <v>2577</v>
      </c>
      <c r="E1299" s="87" t="s">
        <v>2578</v>
      </c>
      <c r="F1299" s="87">
        <v>34.699880999999998</v>
      </c>
      <c r="G1299" s="87">
        <v>44.963898299999997</v>
      </c>
      <c r="H1299" s="86">
        <v>48</v>
      </c>
      <c r="I1299" s="86">
        <v>288</v>
      </c>
      <c r="J1299" s="87">
        <v>6</v>
      </c>
      <c r="K1299" s="87">
        <v>8</v>
      </c>
      <c r="L1299" s="87">
        <v>8</v>
      </c>
      <c r="M1299" s="87"/>
      <c r="N1299" s="87"/>
      <c r="O1299" s="87">
        <v>13</v>
      </c>
      <c r="P1299" s="87"/>
      <c r="Q1299" s="87"/>
      <c r="R1299" s="87"/>
      <c r="S1299" s="87"/>
      <c r="T1299" s="87"/>
      <c r="U1299" s="87"/>
      <c r="V1299" s="87"/>
      <c r="W1299" s="87"/>
      <c r="X1299" s="87">
        <v>13</v>
      </c>
      <c r="Y1299" s="87"/>
      <c r="Z1299" s="87"/>
      <c r="AA1299" s="87"/>
      <c r="AB1299" s="87"/>
      <c r="AC1299" s="87"/>
      <c r="AD1299" s="87"/>
      <c r="AE1299" s="87"/>
      <c r="AF1299" s="87"/>
      <c r="AG1299" s="87"/>
      <c r="AH1299" s="87">
        <v>48</v>
      </c>
      <c r="AI1299" s="87"/>
      <c r="AJ1299" s="87"/>
      <c r="AK1299" s="87"/>
      <c r="AL1299" s="87"/>
      <c r="AM1299" s="87"/>
      <c r="AN1299" s="87">
        <v>3</v>
      </c>
      <c r="AO1299" s="87">
        <v>9</v>
      </c>
      <c r="AP1299" s="87">
        <v>6</v>
      </c>
      <c r="AQ1299" s="87">
        <v>15</v>
      </c>
      <c r="AR1299" s="87">
        <v>1</v>
      </c>
      <c r="AS1299" s="87">
        <v>2</v>
      </c>
      <c r="AT1299" s="87"/>
      <c r="AU1299" s="87">
        <v>12</v>
      </c>
      <c r="AV1299" s="87"/>
      <c r="AW1299" s="88" t="str">
        <f>HYPERLINK("http://www.openstreetmap.org/?mlat=34.6999&amp;mlon=44.9639&amp;zoom=12#map=12/34.6999/44.9639","Maplink1")</f>
        <v>Maplink1</v>
      </c>
      <c r="AX1299" s="88" t="str">
        <f>HYPERLINK("https://www.google.iq/maps/search/+34.6999,44.9639/@34.6999,44.9639,14z?hl=en","Maplink2")</f>
        <v>Maplink2</v>
      </c>
      <c r="AY1299" s="88" t="str">
        <f>HYPERLINK("http://www.bing.com/maps/?lvl=14&amp;sty=h&amp;cp=34.6999~44.9639&amp;sp=point.34.6999_44.9639","Maplink3")</f>
        <v>Maplink3</v>
      </c>
      <c r="AZ1299" s="76"/>
    </row>
    <row r="1300" spans="1:52" x14ac:dyDescent="0.25">
      <c r="A1300" s="86">
        <v>25254</v>
      </c>
      <c r="B1300" s="87" t="s">
        <v>17</v>
      </c>
      <c r="C1300" s="87" t="s">
        <v>2564</v>
      </c>
      <c r="D1300" s="87" t="s">
        <v>2579</v>
      </c>
      <c r="E1300" s="87" t="s">
        <v>2580</v>
      </c>
      <c r="F1300" s="87">
        <v>34.443279754599999</v>
      </c>
      <c r="G1300" s="87">
        <v>45.058431196800001</v>
      </c>
      <c r="H1300" s="86">
        <v>1</v>
      </c>
      <c r="I1300" s="86">
        <v>6</v>
      </c>
      <c r="J1300" s="87"/>
      <c r="K1300" s="87"/>
      <c r="L1300" s="87"/>
      <c r="M1300" s="87"/>
      <c r="N1300" s="87"/>
      <c r="O1300" s="87">
        <v>1</v>
      </c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>
        <v>1</v>
      </c>
      <c r="AD1300" s="87"/>
      <c r="AE1300" s="87"/>
      <c r="AF1300" s="87"/>
      <c r="AG1300" s="87"/>
      <c r="AH1300" s="87"/>
      <c r="AI1300" s="87"/>
      <c r="AJ1300" s="87"/>
      <c r="AK1300" s="87"/>
      <c r="AL1300" s="87"/>
      <c r="AM1300" s="87"/>
      <c r="AN1300" s="87"/>
      <c r="AO1300" s="87">
        <v>1</v>
      </c>
      <c r="AP1300" s="87"/>
      <c r="AQ1300" s="87"/>
      <c r="AR1300" s="87"/>
      <c r="AS1300" s="87"/>
      <c r="AT1300" s="87"/>
      <c r="AU1300" s="87"/>
      <c r="AV1300" s="87"/>
      <c r="AW1300" s="88" t="str">
        <f>HYPERLINK("http://www.openstreetmap.org/?mlat=34.4433&amp;mlon=45.0584&amp;zoom=12#map=12/34.4433/45.0584","Maplink1")</f>
        <v>Maplink1</v>
      </c>
      <c r="AX1300" s="88" t="str">
        <f>HYPERLINK("https://www.google.iq/maps/search/+34.4433,45.0584/@34.4433,45.0584,14z?hl=en","Maplink2")</f>
        <v>Maplink2</v>
      </c>
      <c r="AY1300" s="88" t="str">
        <f>HYPERLINK("http://www.bing.com/maps/?lvl=14&amp;sty=h&amp;cp=34.4433~45.0584&amp;sp=point.34.4433_45.0584","Maplink3")</f>
        <v>Maplink3</v>
      </c>
      <c r="AZ1300" s="76"/>
    </row>
    <row r="1301" spans="1:52" x14ac:dyDescent="0.25">
      <c r="A1301" s="86">
        <v>28425</v>
      </c>
      <c r="B1301" s="87" t="s">
        <v>17</v>
      </c>
      <c r="C1301" s="87" t="s">
        <v>2564</v>
      </c>
      <c r="D1301" s="87" t="s">
        <v>2581</v>
      </c>
      <c r="E1301" s="87" t="s">
        <v>2582</v>
      </c>
      <c r="F1301" s="87">
        <v>34.692019700000003</v>
      </c>
      <c r="G1301" s="87">
        <v>44.968657399999998</v>
      </c>
      <c r="H1301" s="86">
        <v>65</v>
      </c>
      <c r="I1301" s="86">
        <v>390</v>
      </c>
      <c r="J1301" s="87">
        <v>5</v>
      </c>
      <c r="K1301" s="87">
        <v>5</v>
      </c>
      <c r="L1301" s="87">
        <v>5</v>
      </c>
      <c r="M1301" s="87"/>
      <c r="N1301" s="87"/>
      <c r="O1301" s="87">
        <v>29</v>
      </c>
      <c r="P1301" s="87"/>
      <c r="Q1301" s="87"/>
      <c r="R1301" s="87"/>
      <c r="S1301" s="87"/>
      <c r="T1301" s="87"/>
      <c r="U1301" s="87"/>
      <c r="V1301" s="87"/>
      <c r="W1301" s="87"/>
      <c r="X1301" s="87">
        <v>21</v>
      </c>
      <c r="Y1301" s="87"/>
      <c r="Z1301" s="87"/>
      <c r="AA1301" s="87"/>
      <c r="AB1301" s="87"/>
      <c r="AC1301" s="87"/>
      <c r="AD1301" s="87"/>
      <c r="AE1301" s="87"/>
      <c r="AF1301" s="87"/>
      <c r="AG1301" s="87"/>
      <c r="AH1301" s="87">
        <v>65</v>
      </c>
      <c r="AI1301" s="87"/>
      <c r="AJ1301" s="87"/>
      <c r="AK1301" s="87"/>
      <c r="AL1301" s="87"/>
      <c r="AM1301" s="87"/>
      <c r="AN1301" s="87"/>
      <c r="AO1301" s="87">
        <v>7</v>
      </c>
      <c r="AP1301" s="87">
        <v>4</v>
      </c>
      <c r="AQ1301" s="87">
        <v>16</v>
      </c>
      <c r="AR1301" s="87">
        <v>14</v>
      </c>
      <c r="AS1301" s="87"/>
      <c r="AT1301" s="87">
        <v>2</v>
      </c>
      <c r="AU1301" s="87">
        <v>22</v>
      </c>
      <c r="AV1301" s="87"/>
      <c r="AW1301" s="88" t="str">
        <f>HYPERLINK("http://www.openstreetmap.org/?mlat=34.692&amp;mlon=44.9687&amp;zoom=12#map=12/34.692/44.9687","Maplink1")</f>
        <v>Maplink1</v>
      </c>
      <c r="AX1301" s="88" t="str">
        <f>HYPERLINK("https://www.google.iq/maps/search/+34.692,44.9687/@34.692,44.9687,14z?hl=en","Maplink2")</f>
        <v>Maplink2</v>
      </c>
      <c r="AY1301" s="88" t="str">
        <f>HYPERLINK("http://www.bing.com/maps/?lvl=14&amp;sty=h&amp;cp=34.692~44.9687&amp;sp=point.34.692_44.9687","Maplink3")</f>
        <v>Maplink3</v>
      </c>
      <c r="AZ1301" s="76"/>
    </row>
    <row r="1302" spans="1:52" x14ac:dyDescent="0.25">
      <c r="A1302" s="86">
        <v>28427</v>
      </c>
      <c r="B1302" s="87" t="s">
        <v>17</v>
      </c>
      <c r="C1302" s="87" t="s">
        <v>2564</v>
      </c>
      <c r="D1302" s="87" t="s">
        <v>2583</v>
      </c>
      <c r="E1302" s="87" t="s">
        <v>2584</v>
      </c>
      <c r="F1302" s="87">
        <v>34.690693799999998</v>
      </c>
      <c r="G1302" s="87">
        <v>44.950587599999999</v>
      </c>
      <c r="H1302" s="86">
        <v>76</v>
      </c>
      <c r="I1302" s="86">
        <v>456</v>
      </c>
      <c r="J1302" s="87">
        <v>3</v>
      </c>
      <c r="K1302" s="87">
        <v>4</v>
      </c>
      <c r="L1302" s="87">
        <v>5</v>
      </c>
      <c r="M1302" s="87"/>
      <c r="N1302" s="87"/>
      <c r="O1302" s="87">
        <v>46</v>
      </c>
      <c r="P1302" s="87"/>
      <c r="Q1302" s="87"/>
      <c r="R1302" s="87"/>
      <c r="S1302" s="87"/>
      <c r="T1302" s="87"/>
      <c r="U1302" s="87"/>
      <c r="V1302" s="87"/>
      <c r="W1302" s="87"/>
      <c r="X1302" s="87">
        <v>18</v>
      </c>
      <c r="Y1302" s="87"/>
      <c r="Z1302" s="87"/>
      <c r="AA1302" s="87"/>
      <c r="AB1302" s="87"/>
      <c r="AC1302" s="87"/>
      <c r="AD1302" s="87"/>
      <c r="AE1302" s="87"/>
      <c r="AF1302" s="87"/>
      <c r="AG1302" s="87"/>
      <c r="AH1302" s="87">
        <v>72</v>
      </c>
      <c r="AI1302" s="87"/>
      <c r="AJ1302" s="87"/>
      <c r="AK1302" s="87">
        <v>4</v>
      </c>
      <c r="AL1302" s="87"/>
      <c r="AM1302" s="87"/>
      <c r="AN1302" s="87">
        <v>5</v>
      </c>
      <c r="AO1302" s="87">
        <v>10</v>
      </c>
      <c r="AP1302" s="87">
        <v>5</v>
      </c>
      <c r="AQ1302" s="87">
        <v>16</v>
      </c>
      <c r="AR1302" s="87">
        <v>4</v>
      </c>
      <c r="AS1302" s="87"/>
      <c r="AT1302" s="87"/>
      <c r="AU1302" s="87">
        <v>36</v>
      </c>
      <c r="AV1302" s="87"/>
      <c r="AW1302" s="88" t="str">
        <f>HYPERLINK("http://www.openstreetmap.org/?mlat=34.6907&amp;mlon=44.9506&amp;zoom=12#map=12/34.6907/44.9506","Maplink1")</f>
        <v>Maplink1</v>
      </c>
      <c r="AX1302" s="88" t="str">
        <f>HYPERLINK("https://www.google.iq/maps/search/+34.6907,44.9506/@34.6907,44.9506,14z?hl=en","Maplink2")</f>
        <v>Maplink2</v>
      </c>
      <c r="AY1302" s="88" t="str">
        <f>HYPERLINK("http://www.bing.com/maps/?lvl=14&amp;sty=h&amp;cp=34.6907~44.9506&amp;sp=point.34.6907_44.9506","Maplink3")</f>
        <v>Maplink3</v>
      </c>
      <c r="AZ1302" s="76"/>
    </row>
    <row r="1303" spans="1:52" x14ac:dyDescent="0.25">
      <c r="A1303" s="86">
        <v>25252</v>
      </c>
      <c r="B1303" s="87" t="s">
        <v>17</v>
      </c>
      <c r="C1303" s="87" t="s">
        <v>2564</v>
      </c>
      <c r="D1303" s="87" t="s">
        <v>2585</v>
      </c>
      <c r="E1303" s="87" t="s">
        <v>2586</v>
      </c>
      <c r="F1303" s="87">
        <v>34.4367796318</v>
      </c>
      <c r="G1303" s="87">
        <v>45.059958089399998</v>
      </c>
      <c r="H1303" s="86">
        <v>30</v>
      </c>
      <c r="I1303" s="86">
        <v>180</v>
      </c>
      <c r="J1303" s="87"/>
      <c r="K1303" s="87"/>
      <c r="L1303" s="87"/>
      <c r="M1303" s="87"/>
      <c r="N1303" s="87"/>
      <c r="O1303" s="87">
        <v>30</v>
      </c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>
        <v>30</v>
      </c>
      <c r="AD1303" s="87"/>
      <c r="AE1303" s="87"/>
      <c r="AF1303" s="87"/>
      <c r="AG1303" s="87"/>
      <c r="AH1303" s="87"/>
      <c r="AI1303" s="87"/>
      <c r="AJ1303" s="87"/>
      <c r="AK1303" s="87"/>
      <c r="AL1303" s="87"/>
      <c r="AM1303" s="87"/>
      <c r="AN1303" s="87"/>
      <c r="AO1303" s="87">
        <v>30</v>
      </c>
      <c r="AP1303" s="87"/>
      <c r="AQ1303" s="87"/>
      <c r="AR1303" s="87"/>
      <c r="AS1303" s="87"/>
      <c r="AT1303" s="87"/>
      <c r="AU1303" s="87"/>
      <c r="AV1303" s="87"/>
      <c r="AW1303" s="88" t="str">
        <f>HYPERLINK("http://www.openstreetmap.org/?mlat=34.4368&amp;mlon=45.06&amp;zoom=12#map=12/34.4368/45.06","Maplink1")</f>
        <v>Maplink1</v>
      </c>
      <c r="AX1303" s="88" t="str">
        <f>HYPERLINK("https://www.google.iq/maps/search/+34.4368,45.06/@34.4368,45.06,14z?hl=en","Maplink2")</f>
        <v>Maplink2</v>
      </c>
      <c r="AY1303" s="88" t="str">
        <f>HYPERLINK("http://www.bing.com/maps/?lvl=14&amp;sty=h&amp;cp=34.4368~45.06&amp;sp=point.34.4368_45.06","Maplink3")</f>
        <v>Maplink3</v>
      </c>
      <c r="AZ1303" s="76"/>
    </row>
    <row r="1304" spans="1:52" x14ac:dyDescent="0.25">
      <c r="A1304" s="86">
        <v>28424</v>
      </c>
      <c r="B1304" s="87" t="s">
        <v>17</v>
      </c>
      <c r="C1304" s="87" t="s">
        <v>2564</v>
      </c>
      <c r="D1304" s="87" t="s">
        <v>2587</v>
      </c>
      <c r="E1304" s="87" t="s">
        <v>2588</v>
      </c>
      <c r="F1304" s="87">
        <v>34.689768899999997</v>
      </c>
      <c r="G1304" s="87">
        <v>44.956314900000002</v>
      </c>
      <c r="H1304" s="86">
        <v>34</v>
      </c>
      <c r="I1304" s="86">
        <v>204</v>
      </c>
      <c r="J1304" s="87">
        <v>2</v>
      </c>
      <c r="K1304" s="87">
        <v>7</v>
      </c>
      <c r="L1304" s="87">
        <v>3</v>
      </c>
      <c r="M1304" s="87"/>
      <c r="N1304" s="87"/>
      <c r="O1304" s="87">
        <v>10</v>
      </c>
      <c r="P1304" s="87"/>
      <c r="Q1304" s="87"/>
      <c r="R1304" s="87"/>
      <c r="S1304" s="87"/>
      <c r="T1304" s="87"/>
      <c r="U1304" s="87"/>
      <c r="V1304" s="87"/>
      <c r="W1304" s="87"/>
      <c r="X1304" s="87">
        <v>12</v>
      </c>
      <c r="Y1304" s="87"/>
      <c r="Z1304" s="87"/>
      <c r="AA1304" s="87"/>
      <c r="AB1304" s="87"/>
      <c r="AC1304" s="87"/>
      <c r="AD1304" s="87"/>
      <c r="AE1304" s="87"/>
      <c r="AF1304" s="87"/>
      <c r="AG1304" s="87"/>
      <c r="AH1304" s="87">
        <v>34</v>
      </c>
      <c r="AI1304" s="87"/>
      <c r="AJ1304" s="87"/>
      <c r="AK1304" s="87"/>
      <c r="AL1304" s="87"/>
      <c r="AM1304" s="87"/>
      <c r="AN1304" s="87">
        <v>2</v>
      </c>
      <c r="AO1304" s="87">
        <v>9</v>
      </c>
      <c r="AP1304" s="87"/>
      <c r="AQ1304" s="87">
        <v>12</v>
      </c>
      <c r="AR1304" s="87">
        <v>3</v>
      </c>
      <c r="AS1304" s="87"/>
      <c r="AT1304" s="87"/>
      <c r="AU1304" s="87">
        <v>8</v>
      </c>
      <c r="AV1304" s="87"/>
      <c r="AW1304" s="88" t="str">
        <f>HYPERLINK("http://www.openstreetmap.org/?mlat=34.6898&amp;mlon=44.9563&amp;zoom=12#map=12/34.6898/44.9563","Maplink1")</f>
        <v>Maplink1</v>
      </c>
      <c r="AX1304" s="88" t="str">
        <f>HYPERLINK("https://www.google.iq/maps/search/+34.6898,44.9563/@34.6898,44.9563,14z?hl=en","Maplink2")</f>
        <v>Maplink2</v>
      </c>
      <c r="AY1304" s="88" t="str">
        <f>HYPERLINK("http://www.bing.com/maps/?lvl=14&amp;sty=h&amp;cp=34.6898~44.9563&amp;sp=point.34.6898_44.9563","Maplink3")</f>
        <v>Maplink3</v>
      </c>
      <c r="AZ1304" s="76"/>
    </row>
    <row r="1305" spans="1:52" x14ac:dyDescent="0.25">
      <c r="A1305" s="86">
        <v>25429</v>
      </c>
      <c r="B1305" s="87" t="s">
        <v>17</v>
      </c>
      <c r="C1305" s="87" t="s">
        <v>2564</v>
      </c>
      <c r="D1305" s="87" t="s">
        <v>2589</v>
      </c>
      <c r="E1305" s="87" t="s">
        <v>2590</v>
      </c>
      <c r="F1305" s="87">
        <v>34.591531930499997</v>
      </c>
      <c r="G1305" s="87">
        <v>44.935440448000001</v>
      </c>
      <c r="H1305" s="86">
        <v>140</v>
      </c>
      <c r="I1305" s="86">
        <v>840</v>
      </c>
      <c r="J1305" s="87"/>
      <c r="K1305" s="87"/>
      <c r="L1305" s="87"/>
      <c r="M1305" s="87"/>
      <c r="N1305" s="87"/>
      <c r="O1305" s="87">
        <v>140</v>
      </c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>
        <v>95</v>
      </c>
      <c r="AD1305" s="87"/>
      <c r="AE1305" s="87"/>
      <c r="AF1305" s="87"/>
      <c r="AG1305" s="87"/>
      <c r="AH1305" s="87">
        <v>36</v>
      </c>
      <c r="AI1305" s="87">
        <v>9</v>
      </c>
      <c r="AJ1305" s="87"/>
      <c r="AK1305" s="87"/>
      <c r="AL1305" s="87"/>
      <c r="AM1305" s="87"/>
      <c r="AN1305" s="87"/>
      <c r="AO1305" s="87">
        <v>100</v>
      </c>
      <c r="AP1305" s="87"/>
      <c r="AQ1305" s="87"/>
      <c r="AR1305" s="87"/>
      <c r="AS1305" s="87"/>
      <c r="AT1305" s="87"/>
      <c r="AU1305" s="87">
        <v>40</v>
      </c>
      <c r="AV1305" s="87"/>
      <c r="AW1305" s="88" t="str">
        <f>HYPERLINK("http://www.openstreetmap.org/?mlat=34.5915&amp;mlon=44.9354&amp;zoom=12#map=12/34.5915/44.9354","Maplink1")</f>
        <v>Maplink1</v>
      </c>
      <c r="AX1305" s="88" t="str">
        <f>HYPERLINK("https://www.google.iq/maps/search/+34.5915,44.9354/@34.5915,44.9354,14z?hl=en","Maplink2")</f>
        <v>Maplink2</v>
      </c>
      <c r="AY1305" s="88" t="str">
        <f>HYPERLINK("http://www.bing.com/maps/?lvl=14&amp;sty=h&amp;cp=34.5915~44.9354&amp;sp=point.34.5915_44.9354","Maplink3")</f>
        <v>Maplink3</v>
      </c>
      <c r="AZ1305" s="76"/>
    </row>
    <row r="1306" spans="1:52" x14ac:dyDescent="0.25">
      <c r="A1306" s="86">
        <v>25256</v>
      </c>
      <c r="B1306" s="87" t="s">
        <v>17</v>
      </c>
      <c r="C1306" s="87" t="s">
        <v>2564</v>
      </c>
      <c r="D1306" s="87" t="s">
        <v>2591</v>
      </c>
      <c r="E1306" s="87" t="s">
        <v>2592</v>
      </c>
      <c r="F1306" s="87">
        <v>34.459331351099998</v>
      </c>
      <c r="G1306" s="87">
        <v>45.026298901099999</v>
      </c>
      <c r="H1306" s="86">
        <v>4</v>
      </c>
      <c r="I1306" s="86">
        <v>24</v>
      </c>
      <c r="J1306" s="87"/>
      <c r="K1306" s="87"/>
      <c r="L1306" s="87"/>
      <c r="M1306" s="87"/>
      <c r="N1306" s="87"/>
      <c r="O1306" s="87">
        <v>4</v>
      </c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>
        <v>4</v>
      </c>
      <c r="AD1306" s="87"/>
      <c r="AE1306" s="87"/>
      <c r="AF1306" s="87"/>
      <c r="AG1306" s="87"/>
      <c r="AH1306" s="87"/>
      <c r="AI1306" s="87"/>
      <c r="AJ1306" s="87"/>
      <c r="AK1306" s="87"/>
      <c r="AL1306" s="87"/>
      <c r="AM1306" s="87"/>
      <c r="AN1306" s="87"/>
      <c r="AO1306" s="87">
        <v>4</v>
      </c>
      <c r="AP1306" s="87"/>
      <c r="AQ1306" s="87"/>
      <c r="AR1306" s="87"/>
      <c r="AS1306" s="87"/>
      <c r="AT1306" s="87"/>
      <c r="AU1306" s="87"/>
      <c r="AV1306" s="87"/>
      <c r="AW1306" s="88" t="str">
        <f>HYPERLINK("http://www.openstreetmap.org/?mlat=34.4593&amp;mlon=45.0263&amp;zoom=12#map=12/34.4593/45.0263","Maplink1")</f>
        <v>Maplink1</v>
      </c>
      <c r="AX1306" s="88" t="str">
        <f>HYPERLINK("https://www.google.iq/maps/search/+34.4593,45.0263/@34.4593,45.0263,14z?hl=en","Maplink2")</f>
        <v>Maplink2</v>
      </c>
      <c r="AY1306" s="88" t="str">
        <f>HYPERLINK("http://www.bing.com/maps/?lvl=14&amp;sty=h&amp;cp=34.4593~45.0263&amp;sp=point.34.4593_45.0263","Maplink3")</f>
        <v>Maplink3</v>
      </c>
      <c r="AZ1306" s="76"/>
    </row>
    <row r="1307" spans="1:52" x14ac:dyDescent="0.25">
      <c r="A1307" s="86">
        <v>28432</v>
      </c>
      <c r="B1307" s="87" t="s">
        <v>17</v>
      </c>
      <c r="C1307" s="87" t="s">
        <v>2564</v>
      </c>
      <c r="D1307" s="87" t="s">
        <v>2593</v>
      </c>
      <c r="E1307" s="87" t="s">
        <v>2039</v>
      </c>
      <c r="F1307" s="87">
        <v>34.688239299999999</v>
      </c>
      <c r="G1307" s="87">
        <v>44.963743299999997</v>
      </c>
      <c r="H1307" s="86">
        <v>89</v>
      </c>
      <c r="I1307" s="86">
        <v>534</v>
      </c>
      <c r="J1307" s="87">
        <v>3</v>
      </c>
      <c r="K1307" s="87">
        <v>6</v>
      </c>
      <c r="L1307" s="87">
        <v>7</v>
      </c>
      <c r="M1307" s="87"/>
      <c r="N1307" s="87"/>
      <c r="O1307" s="87">
        <v>40</v>
      </c>
      <c r="P1307" s="87"/>
      <c r="Q1307" s="87"/>
      <c r="R1307" s="87"/>
      <c r="S1307" s="87"/>
      <c r="T1307" s="87"/>
      <c r="U1307" s="87"/>
      <c r="V1307" s="87">
        <v>2</v>
      </c>
      <c r="W1307" s="87"/>
      <c r="X1307" s="87">
        <v>31</v>
      </c>
      <c r="Y1307" s="87"/>
      <c r="Z1307" s="87"/>
      <c r="AA1307" s="87"/>
      <c r="AB1307" s="87"/>
      <c r="AC1307" s="87"/>
      <c r="AD1307" s="87"/>
      <c r="AE1307" s="87"/>
      <c r="AF1307" s="87"/>
      <c r="AG1307" s="87"/>
      <c r="AH1307" s="87">
        <v>89</v>
      </c>
      <c r="AI1307" s="87"/>
      <c r="AJ1307" s="87"/>
      <c r="AK1307" s="87"/>
      <c r="AL1307" s="87"/>
      <c r="AM1307" s="87"/>
      <c r="AN1307" s="87">
        <v>2</v>
      </c>
      <c r="AO1307" s="87">
        <v>22</v>
      </c>
      <c r="AP1307" s="87">
        <v>5</v>
      </c>
      <c r="AQ1307" s="87">
        <v>28</v>
      </c>
      <c r="AR1307" s="87">
        <v>2</v>
      </c>
      <c r="AS1307" s="87"/>
      <c r="AT1307" s="87"/>
      <c r="AU1307" s="87">
        <v>29</v>
      </c>
      <c r="AV1307" s="87">
        <v>1</v>
      </c>
      <c r="AW1307" s="88" t="str">
        <f>HYPERLINK("http://www.openstreetmap.org/?mlat=34.6882&amp;mlon=44.9637&amp;zoom=12#map=12/34.6882/44.9637","Maplink1")</f>
        <v>Maplink1</v>
      </c>
      <c r="AX1307" s="88" t="str">
        <f>HYPERLINK("https://www.google.iq/maps/search/+34.6882,44.9637/@34.6882,44.9637,14z?hl=en","Maplink2")</f>
        <v>Maplink2</v>
      </c>
      <c r="AY1307" s="88" t="str">
        <f>HYPERLINK("http://www.bing.com/maps/?lvl=14&amp;sty=h&amp;cp=34.6882~44.9637&amp;sp=point.34.6882_44.9637","Maplink3")</f>
        <v>Maplink3</v>
      </c>
      <c r="AZ1307" s="76"/>
    </row>
    <row r="1308" spans="1:52" x14ac:dyDescent="0.25">
      <c r="A1308" s="86">
        <v>10592</v>
      </c>
      <c r="B1308" s="87" t="s">
        <v>17</v>
      </c>
      <c r="C1308" s="87" t="s">
        <v>2564</v>
      </c>
      <c r="D1308" s="87" t="s">
        <v>2594</v>
      </c>
      <c r="E1308" s="87" t="s">
        <v>2595</v>
      </c>
      <c r="F1308" s="87">
        <v>34.430316309299997</v>
      </c>
      <c r="G1308" s="87">
        <v>44.928978603200001</v>
      </c>
      <c r="H1308" s="86">
        <v>125</v>
      </c>
      <c r="I1308" s="86">
        <v>750</v>
      </c>
      <c r="J1308" s="87"/>
      <c r="K1308" s="87"/>
      <c r="L1308" s="87"/>
      <c r="M1308" s="87"/>
      <c r="N1308" s="87"/>
      <c r="O1308" s="87">
        <v>125</v>
      </c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>
        <v>50</v>
      </c>
      <c r="AD1308" s="87"/>
      <c r="AE1308" s="87"/>
      <c r="AF1308" s="87"/>
      <c r="AG1308" s="87"/>
      <c r="AH1308" s="87">
        <v>60</v>
      </c>
      <c r="AI1308" s="87">
        <v>15</v>
      </c>
      <c r="AJ1308" s="87"/>
      <c r="AK1308" s="87"/>
      <c r="AL1308" s="87"/>
      <c r="AM1308" s="87"/>
      <c r="AN1308" s="87"/>
      <c r="AO1308" s="87">
        <v>125</v>
      </c>
      <c r="AP1308" s="87"/>
      <c r="AQ1308" s="87"/>
      <c r="AR1308" s="87"/>
      <c r="AS1308" s="87"/>
      <c r="AT1308" s="87"/>
      <c r="AU1308" s="87"/>
      <c r="AV1308" s="87"/>
      <c r="AW1308" s="88" t="str">
        <f>HYPERLINK("http://www.openstreetmap.org/?mlat=34.4303&amp;mlon=44.929&amp;zoom=12#map=12/34.4303/44.929","Maplink1")</f>
        <v>Maplink1</v>
      </c>
      <c r="AX1308" s="88" t="str">
        <f>HYPERLINK("https://www.google.iq/maps/search/+34.4303,44.929/@34.4303,44.929,14z?hl=en","Maplink2")</f>
        <v>Maplink2</v>
      </c>
      <c r="AY1308" s="88" t="str">
        <f>HYPERLINK("http://www.bing.com/maps/?lvl=14&amp;sty=h&amp;cp=34.4303~44.929&amp;sp=point.34.4303_44.929","Maplink3")</f>
        <v>Maplink3</v>
      </c>
      <c r="AZ1308" s="76"/>
    </row>
    <row r="1309" spans="1:52" x14ac:dyDescent="0.25">
      <c r="A1309" s="86">
        <v>28430</v>
      </c>
      <c r="B1309" s="87" t="s">
        <v>17</v>
      </c>
      <c r="C1309" s="87" t="s">
        <v>2564</v>
      </c>
      <c r="D1309" s="87" t="s">
        <v>2596</v>
      </c>
      <c r="E1309" s="87" t="s">
        <v>2597</v>
      </c>
      <c r="F1309" s="87">
        <v>34.679541700000001</v>
      </c>
      <c r="G1309" s="87">
        <v>44.954896300000001</v>
      </c>
      <c r="H1309" s="86">
        <v>64</v>
      </c>
      <c r="I1309" s="86">
        <v>384</v>
      </c>
      <c r="J1309" s="87">
        <v>5</v>
      </c>
      <c r="K1309" s="87">
        <v>9</v>
      </c>
      <c r="L1309" s="87">
        <v>7</v>
      </c>
      <c r="M1309" s="87"/>
      <c r="N1309" s="87"/>
      <c r="O1309" s="87">
        <v>23</v>
      </c>
      <c r="P1309" s="87"/>
      <c r="Q1309" s="87"/>
      <c r="R1309" s="87"/>
      <c r="S1309" s="87"/>
      <c r="T1309" s="87"/>
      <c r="U1309" s="87"/>
      <c r="V1309" s="87"/>
      <c r="W1309" s="87"/>
      <c r="X1309" s="87">
        <v>20</v>
      </c>
      <c r="Y1309" s="87"/>
      <c r="Z1309" s="87"/>
      <c r="AA1309" s="87"/>
      <c r="AB1309" s="87"/>
      <c r="AC1309" s="87"/>
      <c r="AD1309" s="87"/>
      <c r="AE1309" s="87"/>
      <c r="AF1309" s="87"/>
      <c r="AG1309" s="87"/>
      <c r="AH1309" s="87">
        <v>64</v>
      </c>
      <c r="AI1309" s="87"/>
      <c r="AJ1309" s="87"/>
      <c r="AK1309" s="87"/>
      <c r="AL1309" s="87"/>
      <c r="AM1309" s="87"/>
      <c r="AN1309" s="87"/>
      <c r="AO1309" s="87">
        <v>13</v>
      </c>
      <c r="AP1309" s="87"/>
      <c r="AQ1309" s="87">
        <v>20</v>
      </c>
      <c r="AR1309" s="87">
        <v>13</v>
      </c>
      <c r="AS1309" s="87"/>
      <c r="AT1309" s="87">
        <v>6</v>
      </c>
      <c r="AU1309" s="87">
        <v>12</v>
      </c>
      <c r="AV1309" s="87"/>
      <c r="AW1309" s="88" t="str">
        <f>HYPERLINK("http://www.openstreetmap.org/?mlat=34.6795&amp;mlon=44.9549&amp;zoom=12#map=12/34.6795/44.9549","Maplink1")</f>
        <v>Maplink1</v>
      </c>
      <c r="AX1309" s="88" t="str">
        <f>HYPERLINK("https://www.google.iq/maps/search/+34.6795,44.9549/@34.6795,44.9549,14z?hl=en","Maplink2")</f>
        <v>Maplink2</v>
      </c>
      <c r="AY1309" s="88" t="str">
        <f>HYPERLINK("http://www.bing.com/maps/?lvl=14&amp;sty=h&amp;cp=34.6795~44.9549&amp;sp=point.34.6795_44.9549","Maplink3")</f>
        <v>Maplink3</v>
      </c>
      <c r="AZ1309" s="76"/>
    </row>
    <row r="1310" spans="1:52" x14ac:dyDescent="0.25">
      <c r="A1310" s="86">
        <v>28428</v>
      </c>
      <c r="B1310" s="87" t="s">
        <v>17</v>
      </c>
      <c r="C1310" s="87" t="s">
        <v>2564</v>
      </c>
      <c r="D1310" s="87" t="s">
        <v>2598</v>
      </c>
      <c r="E1310" s="87" t="s">
        <v>2049</v>
      </c>
      <c r="F1310" s="87">
        <v>34.693646299999997</v>
      </c>
      <c r="G1310" s="87">
        <v>44.9614081</v>
      </c>
      <c r="H1310" s="86">
        <v>57</v>
      </c>
      <c r="I1310" s="86">
        <v>342</v>
      </c>
      <c r="J1310" s="87">
        <v>8</v>
      </c>
      <c r="K1310" s="87">
        <v>14</v>
      </c>
      <c r="L1310" s="87">
        <v>6</v>
      </c>
      <c r="M1310" s="87"/>
      <c r="N1310" s="87"/>
      <c r="O1310" s="87">
        <v>14</v>
      </c>
      <c r="P1310" s="87"/>
      <c r="Q1310" s="87"/>
      <c r="R1310" s="87"/>
      <c r="S1310" s="87"/>
      <c r="T1310" s="87"/>
      <c r="U1310" s="87"/>
      <c r="V1310" s="87">
        <v>2</v>
      </c>
      <c r="W1310" s="87"/>
      <c r="X1310" s="87">
        <v>13</v>
      </c>
      <c r="Y1310" s="87"/>
      <c r="Z1310" s="87"/>
      <c r="AA1310" s="87"/>
      <c r="AB1310" s="87"/>
      <c r="AC1310" s="87"/>
      <c r="AD1310" s="87"/>
      <c r="AE1310" s="87"/>
      <c r="AF1310" s="87"/>
      <c r="AG1310" s="87"/>
      <c r="AH1310" s="87">
        <v>50</v>
      </c>
      <c r="AI1310" s="87"/>
      <c r="AJ1310" s="87"/>
      <c r="AK1310" s="87">
        <v>7</v>
      </c>
      <c r="AL1310" s="87"/>
      <c r="AM1310" s="87"/>
      <c r="AN1310" s="87"/>
      <c r="AO1310" s="87">
        <v>14</v>
      </c>
      <c r="AP1310" s="87">
        <v>8</v>
      </c>
      <c r="AQ1310" s="87">
        <v>12</v>
      </c>
      <c r="AR1310" s="87">
        <v>5</v>
      </c>
      <c r="AS1310" s="87"/>
      <c r="AT1310" s="87"/>
      <c r="AU1310" s="87">
        <v>18</v>
      </c>
      <c r="AV1310" s="87"/>
      <c r="AW1310" s="88" t="str">
        <f>HYPERLINK("http://www.openstreetmap.org/?mlat=34.6936&amp;mlon=44.9614&amp;zoom=12#map=12/34.6936/44.9614","Maplink1")</f>
        <v>Maplink1</v>
      </c>
      <c r="AX1310" s="88" t="str">
        <f>HYPERLINK("https://www.google.iq/maps/search/+34.6936,44.9614/@34.6936,44.9614,14z?hl=en","Maplink2")</f>
        <v>Maplink2</v>
      </c>
      <c r="AY1310" s="88" t="str">
        <f>HYPERLINK("http://www.bing.com/maps/?lvl=14&amp;sty=h&amp;cp=34.6936~44.9614&amp;sp=point.34.6936_44.9614","Maplink3")</f>
        <v>Maplink3</v>
      </c>
      <c r="AZ1310" s="76"/>
    </row>
    <row r="1311" spans="1:52" x14ac:dyDescent="0.25">
      <c r="A1311" s="86">
        <v>11023</v>
      </c>
      <c r="B1311" s="87" t="s">
        <v>17</v>
      </c>
      <c r="C1311" s="87" t="s">
        <v>2564</v>
      </c>
      <c r="D1311" s="87" t="s">
        <v>2599</v>
      </c>
      <c r="E1311" s="87" t="s">
        <v>2600</v>
      </c>
      <c r="F1311" s="87">
        <v>34.742797500000002</v>
      </c>
      <c r="G1311" s="87">
        <v>45.065323599999999</v>
      </c>
      <c r="H1311" s="86">
        <v>143</v>
      </c>
      <c r="I1311" s="86">
        <v>858</v>
      </c>
      <c r="J1311" s="87">
        <v>1</v>
      </c>
      <c r="K1311" s="87">
        <v>7</v>
      </c>
      <c r="L1311" s="87">
        <v>5</v>
      </c>
      <c r="M1311" s="87"/>
      <c r="N1311" s="87"/>
      <c r="O1311" s="87">
        <v>81</v>
      </c>
      <c r="P1311" s="87"/>
      <c r="Q1311" s="87"/>
      <c r="R1311" s="87"/>
      <c r="S1311" s="87"/>
      <c r="T1311" s="87"/>
      <c r="U1311" s="87"/>
      <c r="V1311" s="87">
        <v>6</v>
      </c>
      <c r="W1311" s="87"/>
      <c r="X1311" s="87">
        <v>43</v>
      </c>
      <c r="Y1311" s="87"/>
      <c r="Z1311" s="87"/>
      <c r="AA1311" s="87"/>
      <c r="AB1311" s="87"/>
      <c r="AC1311" s="87"/>
      <c r="AD1311" s="87"/>
      <c r="AE1311" s="87"/>
      <c r="AF1311" s="87"/>
      <c r="AG1311" s="87"/>
      <c r="AH1311" s="87">
        <v>143</v>
      </c>
      <c r="AI1311" s="87"/>
      <c r="AJ1311" s="87"/>
      <c r="AK1311" s="87"/>
      <c r="AL1311" s="87"/>
      <c r="AM1311" s="87"/>
      <c r="AN1311" s="87">
        <v>7</v>
      </c>
      <c r="AO1311" s="87">
        <v>27</v>
      </c>
      <c r="AP1311" s="87">
        <v>20</v>
      </c>
      <c r="AQ1311" s="87">
        <v>23</v>
      </c>
      <c r="AR1311" s="87">
        <v>18</v>
      </c>
      <c r="AS1311" s="87">
        <v>15</v>
      </c>
      <c r="AT1311" s="87">
        <v>18</v>
      </c>
      <c r="AU1311" s="87">
        <v>12</v>
      </c>
      <c r="AV1311" s="87">
        <v>3</v>
      </c>
      <c r="AW1311" s="88" t="str">
        <f>HYPERLINK("http://www.openstreetmap.org/?mlat=34.7428&amp;mlon=45.0653&amp;zoom=12#map=12/34.7428/45.0653","Maplink1")</f>
        <v>Maplink1</v>
      </c>
      <c r="AX1311" s="88" t="str">
        <f>HYPERLINK("https://www.google.iq/maps/search/+34.7428,45.0653/@34.7428,45.0653,14z?hl=en","Maplink2")</f>
        <v>Maplink2</v>
      </c>
      <c r="AY1311" s="88" t="str">
        <f>HYPERLINK("http://www.bing.com/maps/?lvl=14&amp;sty=h&amp;cp=34.7428~45.0653&amp;sp=point.34.7428_45.0653","Maplink3")</f>
        <v>Maplink3</v>
      </c>
      <c r="AZ1311" s="76"/>
    </row>
    <row r="1312" spans="1:52" x14ac:dyDescent="0.25">
      <c r="A1312" s="86">
        <v>33394</v>
      </c>
      <c r="B1312" s="87" t="s">
        <v>17</v>
      </c>
      <c r="C1312" s="87" t="s">
        <v>2564</v>
      </c>
      <c r="D1312" s="87" t="s">
        <v>2601</v>
      </c>
      <c r="E1312" s="87" t="s">
        <v>2055</v>
      </c>
      <c r="F1312" s="87">
        <v>34.684166900000001</v>
      </c>
      <c r="G1312" s="87">
        <v>44.952000699999999</v>
      </c>
      <c r="H1312" s="86">
        <v>48</v>
      </c>
      <c r="I1312" s="86">
        <v>288</v>
      </c>
      <c r="J1312" s="87">
        <v>2</v>
      </c>
      <c r="K1312" s="87">
        <v>8</v>
      </c>
      <c r="L1312" s="87">
        <v>7</v>
      </c>
      <c r="M1312" s="87"/>
      <c r="N1312" s="87"/>
      <c r="O1312" s="87">
        <v>11</v>
      </c>
      <c r="P1312" s="87"/>
      <c r="Q1312" s="87"/>
      <c r="R1312" s="87"/>
      <c r="S1312" s="87"/>
      <c r="T1312" s="87"/>
      <c r="U1312" s="87"/>
      <c r="V1312" s="87"/>
      <c r="W1312" s="87"/>
      <c r="X1312" s="87">
        <v>20</v>
      </c>
      <c r="Y1312" s="87"/>
      <c r="Z1312" s="87"/>
      <c r="AA1312" s="87"/>
      <c r="AB1312" s="87"/>
      <c r="AC1312" s="87"/>
      <c r="AD1312" s="87"/>
      <c r="AE1312" s="87"/>
      <c r="AF1312" s="87"/>
      <c r="AG1312" s="87"/>
      <c r="AH1312" s="87">
        <v>48</v>
      </c>
      <c r="AI1312" s="87"/>
      <c r="AJ1312" s="87"/>
      <c r="AK1312" s="87"/>
      <c r="AL1312" s="87"/>
      <c r="AM1312" s="87"/>
      <c r="AN1312" s="87"/>
      <c r="AO1312" s="87">
        <v>11</v>
      </c>
      <c r="AP1312" s="87">
        <v>4</v>
      </c>
      <c r="AQ1312" s="87">
        <v>12</v>
      </c>
      <c r="AR1312" s="87">
        <v>1</v>
      </c>
      <c r="AS1312" s="87"/>
      <c r="AT1312" s="87"/>
      <c r="AU1312" s="87">
        <v>19</v>
      </c>
      <c r="AV1312" s="87">
        <v>1</v>
      </c>
      <c r="AW1312" s="88" t="str">
        <f>HYPERLINK("http://www.openstreetmap.org/?mlat=34.6842&amp;mlon=44.952&amp;zoom=12#map=12/34.6842/44.952","Maplink1")</f>
        <v>Maplink1</v>
      </c>
      <c r="AX1312" s="88" t="str">
        <f>HYPERLINK("https://www.google.iq/maps/search/+34.6842,44.952/@34.6842,44.952,14z?hl=en","Maplink2")</f>
        <v>Maplink2</v>
      </c>
      <c r="AY1312" s="88" t="str">
        <f>HYPERLINK("http://www.bing.com/maps/?lvl=14&amp;sty=h&amp;cp=34.6842~44.952&amp;sp=point.34.6842_44.952","Maplink3")</f>
        <v>Maplink3</v>
      </c>
      <c r="AZ1312" s="76"/>
    </row>
    <row r="1313" spans="1:52" x14ac:dyDescent="0.25">
      <c r="A1313" s="86">
        <v>28429</v>
      </c>
      <c r="B1313" s="87" t="s">
        <v>17</v>
      </c>
      <c r="C1313" s="87" t="s">
        <v>2564</v>
      </c>
      <c r="D1313" s="87" t="s">
        <v>2602</v>
      </c>
      <c r="E1313" s="87" t="s">
        <v>2156</v>
      </c>
      <c r="F1313" s="87">
        <v>34.686570199999998</v>
      </c>
      <c r="G1313" s="87">
        <v>44.952727799999998</v>
      </c>
      <c r="H1313" s="86">
        <v>54</v>
      </c>
      <c r="I1313" s="86">
        <v>324</v>
      </c>
      <c r="J1313" s="87">
        <v>4</v>
      </c>
      <c r="K1313" s="87">
        <v>4</v>
      </c>
      <c r="L1313" s="87">
        <v>7</v>
      </c>
      <c r="M1313" s="87"/>
      <c r="N1313" s="87"/>
      <c r="O1313" s="87">
        <v>21</v>
      </c>
      <c r="P1313" s="87"/>
      <c r="Q1313" s="87"/>
      <c r="R1313" s="87"/>
      <c r="S1313" s="87"/>
      <c r="T1313" s="87"/>
      <c r="U1313" s="87"/>
      <c r="V1313" s="87">
        <v>1</v>
      </c>
      <c r="W1313" s="87"/>
      <c r="X1313" s="87">
        <v>17</v>
      </c>
      <c r="Y1313" s="87"/>
      <c r="Z1313" s="87"/>
      <c r="AA1313" s="87"/>
      <c r="AB1313" s="87"/>
      <c r="AC1313" s="87"/>
      <c r="AD1313" s="87"/>
      <c r="AE1313" s="87"/>
      <c r="AF1313" s="87"/>
      <c r="AG1313" s="87"/>
      <c r="AH1313" s="87">
        <v>54</v>
      </c>
      <c r="AI1313" s="87"/>
      <c r="AJ1313" s="87"/>
      <c r="AK1313" s="87"/>
      <c r="AL1313" s="87"/>
      <c r="AM1313" s="87"/>
      <c r="AN1313" s="87"/>
      <c r="AO1313" s="87">
        <v>8</v>
      </c>
      <c r="AP1313" s="87">
        <v>8</v>
      </c>
      <c r="AQ1313" s="87">
        <v>14</v>
      </c>
      <c r="AR1313" s="87">
        <v>9</v>
      </c>
      <c r="AS1313" s="87">
        <v>4</v>
      </c>
      <c r="AT1313" s="87">
        <v>4</v>
      </c>
      <c r="AU1313" s="87">
        <v>7</v>
      </c>
      <c r="AV1313" s="87"/>
      <c r="AW1313" s="88" t="str">
        <f>HYPERLINK("http://www.openstreetmap.org/?mlat=34.6866&amp;mlon=44.9527&amp;zoom=12#map=12/34.6866/44.9527","Maplink1")</f>
        <v>Maplink1</v>
      </c>
      <c r="AX1313" s="88" t="str">
        <f>HYPERLINK("https://www.google.iq/maps/search/+34.6866,44.9527/@34.6866,44.9527,14z?hl=en","Maplink2")</f>
        <v>Maplink2</v>
      </c>
      <c r="AY1313" s="88" t="str">
        <f>HYPERLINK("http://www.bing.com/maps/?lvl=14&amp;sty=h&amp;cp=34.6866~44.9527&amp;sp=point.34.6866_44.9527","Maplink3")</f>
        <v>Maplink3</v>
      </c>
      <c r="AZ1313" s="76"/>
    </row>
    <row r="1314" spans="1:52" x14ac:dyDescent="0.25">
      <c r="A1314" s="86">
        <v>33153</v>
      </c>
      <c r="B1314" s="87" t="s">
        <v>17</v>
      </c>
      <c r="C1314" s="87" t="s">
        <v>2564</v>
      </c>
      <c r="D1314" s="87" t="s">
        <v>2603</v>
      </c>
      <c r="E1314" s="87" t="s">
        <v>2604</v>
      </c>
      <c r="F1314" s="87">
        <v>34.8799657</v>
      </c>
      <c r="G1314" s="87">
        <v>44.849640899999997</v>
      </c>
      <c r="H1314" s="86">
        <v>100</v>
      </c>
      <c r="I1314" s="86">
        <v>600</v>
      </c>
      <c r="J1314" s="87"/>
      <c r="K1314" s="87"/>
      <c r="L1314" s="87"/>
      <c r="M1314" s="87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  <c r="X1314" s="87">
        <v>100</v>
      </c>
      <c r="Y1314" s="87"/>
      <c r="Z1314" s="87"/>
      <c r="AA1314" s="87"/>
      <c r="AB1314" s="87"/>
      <c r="AC1314" s="87"/>
      <c r="AD1314" s="87"/>
      <c r="AE1314" s="87"/>
      <c r="AF1314" s="87"/>
      <c r="AG1314" s="87"/>
      <c r="AH1314" s="87">
        <v>100</v>
      </c>
      <c r="AI1314" s="87"/>
      <c r="AJ1314" s="87"/>
      <c r="AK1314" s="87"/>
      <c r="AL1314" s="87"/>
      <c r="AM1314" s="87"/>
      <c r="AN1314" s="87"/>
      <c r="AO1314" s="87"/>
      <c r="AP1314" s="87"/>
      <c r="AQ1314" s="87"/>
      <c r="AR1314" s="87"/>
      <c r="AS1314" s="87"/>
      <c r="AT1314" s="87"/>
      <c r="AU1314" s="87">
        <v>100</v>
      </c>
      <c r="AV1314" s="87"/>
      <c r="AW1314" s="88" t="str">
        <f>HYPERLINK("http://www.openstreetmap.org/?mlat=34.88&amp;mlon=44.8496&amp;zoom=12#map=12/34.88/44.8496","Maplink1")</f>
        <v>Maplink1</v>
      </c>
      <c r="AX1314" s="88" t="str">
        <f>HYPERLINK("https://www.google.iq/maps/search/+34.88,44.8496/@34.88,44.8496,14z?hl=en","Maplink2")</f>
        <v>Maplink2</v>
      </c>
      <c r="AY1314" s="88" t="str">
        <f>HYPERLINK("http://www.bing.com/maps/?lvl=14&amp;sty=h&amp;cp=34.88~44.8496&amp;sp=point.34.88_44.8496","Maplink3")</f>
        <v>Maplink3</v>
      </c>
      <c r="AZ1314" s="76"/>
    </row>
    <row r="1315" spans="1:52" x14ac:dyDescent="0.25">
      <c r="A1315" s="86">
        <v>21582</v>
      </c>
      <c r="B1315" s="87" t="s">
        <v>18</v>
      </c>
      <c r="C1315" s="87" t="s">
        <v>18</v>
      </c>
      <c r="D1315" s="87" t="s">
        <v>2605</v>
      </c>
      <c r="E1315" s="87" t="s">
        <v>2606</v>
      </c>
      <c r="F1315" s="87">
        <v>36.206985831200001</v>
      </c>
      <c r="G1315" s="87">
        <v>44.143868500000004</v>
      </c>
      <c r="H1315" s="86">
        <v>65</v>
      </c>
      <c r="I1315" s="86">
        <v>390</v>
      </c>
      <c r="J1315" s="87">
        <v>15</v>
      </c>
      <c r="K1315" s="87"/>
      <c r="L1315" s="87"/>
      <c r="M1315" s="87"/>
      <c r="N1315" s="87"/>
      <c r="O1315" s="87"/>
      <c r="P1315" s="87"/>
      <c r="Q1315" s="87"/>
      <c r="R1315" s="87"/>
      <c r="S1315" s="87"/>
      <c r="T1315" s="87"/>
      <c r="U1315" s="87"/>
      <c r="V1315" s="87">
        <v>45</v>
      </c>
      <c r="W1315" s="87"/>
      <c r="X1315" s="87">
        <v>5</v>
      </c>
      <c r="Y1315" s="87"/>
      <c r="Z1315" s="87"/>
      <c r="AA1315" s="87"/>
      <c r="AB1315" s="87"/>
      <c r="AC1315" s="87"/>
      <c r="AD1315" s="87"/>
      <c r="AE1315" s="87"/>
      <c r="AF1315" s="87"/>
      <c r="AG1315" s="87"/>
      <c r="AH1315" s="87">
        <v>65</v>
      </c>
      <c r="AI1315" s="87"/>
      <c r="AJ1315" s="87"/>
      <c r="AK1315" s="87"/>
      <c r="AL1315" s="87"/>
      <c r="AM1315" s="87"/>
      <c r="AN1315" s="87">
        <v>10</v>
      </c>
      <c r="AO1315" s="87">
        <v>35</v>
      </c>
      <c r="AP1315" s="87"/>
      <c r="AQ1315" s="87"/>
      <c r="AR1315" s="87">
        <v>5</v>
      </c>
      <c r="AS1315" s="87"/>
      <c r="AT1315" s="87">
        <v>15</v>
      </c>
      <c r="AU1315" s="87"/>
      <c r="AV1315" s="87"/>
      <c r="AW1315" s="88" t="str">
        <f>HYPERLINK("http://www.openstreetmap.org/?mlat=36.207&amp;mlon=44.1439&amp;zoom=12#map=12/36.207/44.1439","Maplink1")</f>
        <v>Maplink1</v>
      </c>
      <c r="AX1315" s="88" t="str">
        <f>HYPERLINK("https://www.google.iq/maps/search/+36.207,44.1439/@36.207,44.1439,14z?hl=en","Maplink2")</f>
        <v>Maplink2</v>
      </c>
      <c r="AY1315" s="88" t="str">
        <f>HYPERLINK("http://www.bing.com/maps/?lvl=14&amp;sty=h&amp;cp=36.207~44.1439&amp;sp=point.36.207_44.1439","Maplink3")</f>
        <v>Maplink3</v>
      </c>
      <c r="AZ1315" s="76"/>
    </row>
    <row r="1316" spans="1:52" x14ac:dyDescent="0.25">
      <c r="A1316" s="86">
        <v>20980</v>
      </c>
      <c r="B1316" s="87" t="s">
        <v>18</v>
      </c>
      <c r="C1316" s="87" t="s">
        <v>18</v>
      </c>
      <c r="D1316" s="87" t="s">
        <v>2607</v>
      </c>
      <c r="E1316" s="87" t="s">
        <v>2608</v>
      </c>
      <c r="F1316" s="87">
        <v>36.243498340000002</v>
      </c>
      <c r="G1316" s="87">
        <v>43.983620999999999</v>
      </c>
      <c r="H1316" s="86">
        <v>616</v>
      </c>
      <c r="I1316" s="86">
        <v>3696</v>
      </c>
      <c r="J1316" s="87">
        <v>50</v>
      </c>
      <c r="K1316" s="87"/>
      <c r="L1316" s="87">
        <v>105</v>
      </c>
      <c r="M1316" s="87"/>
      <c r="N1316" s="87"/>
      <c r="O1316" s="87"/>
      <c r="P1316" s="87"/>
      <c r="Q1316" s="87"/>
      <c r="R1316" s="87"/>
      <c r="S1316" s="87"/>
      <c r="T1316" s="87"/>
      <c r="U1316" s="87"/>
      <c r="V1316" s="87">
        <v>441</v>
      </c>
      <c r="W1316" s="87"/>
      <c r="X1316" s="87">
        <v>20</v>
      </c>
      <c r="Y1316" s="87"/>
      <c r="Z1316" s="87"/>
      <c r="AA1316" s="87"/>
      <c r="AB1316" s="87"/>
      <c r="AC1316" s="87"/>
      <c r="AD1316" s="87"/>
      <c r="AE1316" s="87"/>
      <c r="AF1316" s="87"/>
      <c r="AG1316" s="87"/>
      <c r="AH1316" s="87">
        <v>616</v>
      </c>
      <c r="AI1316" s="87"/>
      <c r="AJ1316" s="87"/>
      <c r="AK1316" s="87"/>
      <c r="AL1316" s="87"/>
      <c r="AM1316" s="87"/>
      <c r="AN1316" s="87">
        <v>20</v>
      </c>
      <c r="AO1316" s="87">
        <v>400</v>
      </c>
      <c r="AP1316" s="87"/>
      <c r="AQ1316" s="87">
        <v>105</v>
      </c>
      <c r="AR1316" s="87">
        <v>30</v>
      </c>
      <c r="AS1316" s="87"/>
      <c r="AT1316" s="87">
        <v>61</v>
      </c>
      <c r="AU1316" s="87"/>
      <c r="AV1316" s="87"/>
      <c r="AW1316" s="88" t="str">
        <f>HYPERLINK("http://www.openstreetmap.org/?mlat=36.2435&amp;mlon=43.9836&amp;zoom=12#map=12/36.2435/43.9836","Maplink1")</f>
        <v>Maplink1</v>
      </c>
      <c r="AX1316" s="88" t="str">
        <f>HYPERLINK("https://www.google.iq/maps/search/+36.2435,43.9836/@36.2435,43.9836,14z?hl=en","Maplink2")</f>
        <v>Maplink2</v>
      </c>
      <c r="AY1316" s="88" t="str">
        <f>HYPERLINK("http://www.bing.com/maps/?lvl=14&amp;sty=h&amp;cp=36.2435~43.9836&amp;sp=point.36.2435_43.9836","Maplink3")</f>
        <v>Maplink3</v>
      </c>
      <c r="AZ1316" s="76"/>
    </row>
    <row r="1317" spans="1:52" x14ac:dyDescent="0.25">
      <c r="A1317" s="86">
        <v>27147</v>
      </c>
      <c r="B1317" s="87" t="s">
        <v>18</v>
      </c>
      <c r="C1317" s="87" t="s">
        <v>18</v>
      </c>
      <c r="D1317" s="87" t="s">
        <v>2609</v>
      </c>
      <c r="E1317" s="87" t="s">
        <v>2610</v>
      </c>
      <c r="F1317" s="87">
        <v>36.231406100000001</v>
      </c>
      <c r="G1317" s="87">
        <v>43.997479599999998</v>
      </c>
      <c r="H1317" s="86">
        <v>10</v>
      </c>
      <c r="I1317" s="86">
        <v>60</v>
      </c>
      <c r="J1317" s="87"/>
      <c r="K1317" s="87"/>
      <c r="L1317" s="87"/>
      <c r="M1317" s="87"/>
      <c r="N1317" s="87"/>
      <c r="O1317" s="87"/>
      <c r="P1317" s="87"/>
      <c r="Q1317" s="87"/>
      <c r="R1317" s="87"/>
      <c r="S1317" s="87"/>
      <c r="T1317" s="87"/>
      <c r="U1317" s="87"/>
      <c r="V1317" s="87">
        <v>10</v>
      </c>
      <c r="W1317" s="87"/>
      <c r="X1317" s="87"/>
      <c r="Y1317" s="87"/>
      <c r="Z1317" s="87"/>
      <c r="AA1317" s="87"/>
      <c r="AB1317" s="87"/>
      <c r="AC1317" s="87"/>
      <c r="AD1317" s="87"/>
      <c r="AE1317" s="87"/>
      <c r="AF1317" s="87"/>
      <c r="AG1317" s="87"/>
      <c r="AH1317" s="87">
        <v>10</v>
      </c>
      <c r="AI1317" s="87"/>
      <c r="AJ1317" s="87"/>
      <c r="AK1317" s="87"/>
      <c r="AL1317" s="87"/>
      <c r="AM1317" s="87"/>
      <c r="AN1317" s="87"/>
      <c r="AO1317" s="87">
        <v>10</v>
      </c>
      <c r="AP1317" s="87"/>
      <c r="AQ1317" s="87"/>
      <c r="AR1317" s="87"/>
      <c r="AS1317" s="87"/>
      <c r="AT1317" s="87"/>
      <c r="AU1317" s="87"/>
      <c r="AV1317" s="87"/>
      <c r="AW1317" s="88" t="str">
        <f>HYPERLINK("http://www.openstreetmap.org/?mlat=36.2314&amp;mlon=43.9975&amp;zoom=12#map=12/36.2314/43.9975","Maplink1")</f>
        <v>Maplink1</v>
      </c>
      <c r="AX1317" s="88" t="str">
        <f>HYPERLINK("https://www.google.iq/maps/search/+36.2314,43.9975/@36.2314,43.9975,14z?hl=en","Maplink2")</f>
        <v>Maplink2</v>
      </c>
      <c r="AY1317" s="88" t="str">
        <f>HYPERLINK("http://www.bing.com/maps/?lvl=14&amp;sty=h&amp;cp=36.2314~43.9975&amp;sp=point.36.2314_43.9975","Maplink3")</f>
        <v>Maplink3</v>
      </c>
      <c r="AZ1317" s="76"/>
    </row>
    <row r="1318" spans="1:52" x14ac:dyDescent="0.25">
      <c r="A1318" s="86">
        <v>21874</v>
      </c>
      <c r="B1318" s="87" t="s">
        <v>18</v>
      </c>
      <c r="C1318" s="87" t="s">
        <v>18</v>
      </c>
      <c r="D1318" s="87" t="s">
        <v>2611</v>
      </c>
      <c r="E1318" s="87" t="s">
        <v>385</v>
      </c>
      <c r="F1318" s="87">
        <v>36.172738420000002</v>
      </c>
      <c r="G1318" s="87">
        <v>44.022143059999998</v>
      </c>
      <c r="H1318" s="86">
        <v>502</v>
      </c>
      <c r="I1318" s="86">
        <v>3012</v>
      </c>
      <c r="J1318" s="87">
        <v>200</v>
      </c>
      <c r="K1318" s="87"/>
      <c r="L1318" s="87">
        <v>20</v>
      </c>
      <c r="M1318" s="87"/>
      <c r="N1318" s="87"/>
      <c r="O1318" s="87"/>
      <c r="P1318" s="87"/>
      <c r="Q1318" s="87"/>
      <c r="R1318" s="87"/>
      <c r="S1318" s="87"/>
      <c r="T1318" s="87"/>
      <c r="U1318" s="87"/>
      <c r="V1318" s="87">
        <v>260</v>
      </c>
      <c r="W1318" s="87"/>
      <c r="X1318" s="87">
        <v>22</v>
      </c>
      <c r="Y1318" s="87"/>
      <c r="Z1318" s="87"/>
      <c r="AA1318" s="87"/>
      <c r="AB1318" s="87"/>
      <c r="AC1318" s="87"/>
      <c r="AD1318" s="87"/>
      <c r="AE1318" s="87"/>
      <c r="AF1318" s="87"/>
      <c r="AG1318" s="87"/>
      <c r="AH1318" s="87">
        <v>502</v>
      </c>
      <c r="AI1318" s="87"/>
      <c r="AJ1318" s="87"/>
      <c r="AK1318" s="87"/>
      <c r="AL1318" s="87"/>
      <c r="AM1318" s="87"/>
      <c r="AN1318" s="87">
        <v>4</v>
      </c>
      <c r="AO1318" s="87">
        <v>27</v>
      </c>
      <c r="AP1318" s="87">
        <v>16</v>
      </c>
      <c r="AQ1318" s="87">
        <v>20</v>
      </c>
      <c r="AR1318" s="87">
        <v>177</v>
      </c>
      <c r="AS1318" s="87">
        <v>15</v>
      </c>
      <c r="AT1318" s="87">
        <v>243</v>
      </c>
      <c r="AU1318" s="87"/>
      <c r="AV1318" s="87"/>
      <c r="AW1318" s="88" t="str">
        <f>HYPERLINK("http://www.openstreetmap.org/?mlat=36.1727&amp;mlon=44.0221&amp;zoom=12#map=12/36.1727/44.0221","Maplink1")</f>
        <v>Maplink1</v>
      </c>
      <c r="AX1318" s="88" t="str">
        <f>HYPERLINK("https://www.google.iq/maps/search/+36.1727,44.0221/@36.1727,44.0221,14z?hl=en","Maplink2")</f>
        <v>Maplink2</v>
      </c>
      <c r="AY1318" s="88" t="str">
        <f>HYPERLINK("http://www.bing.com/maps/?lvl=14&amp;sty=h&amp;cp=36.1727~44.0221&amp;sp=point.36.1727_44.0221","Maplink3")</f>
        <v>Maplink3</v>
      </c>
      <c r="AZ1318" s="76"/>
    </row>
    <row r="1319" spans="1:52" x14ac:dyDescent="0.25">
      <c r="A1319" s="86">
        <v>23908</v>
      </c>
      <c r="B1319" s="87" t="s">
        <v>18</v>
      </c>
      <c r="C1319" s="87" t="s">
        <v>18</v>
      </c>
      <c r="D1319" s="87" t="s">
        <v>2612</v>
      </c>
      <c r="E1319" s="87" t="s">
        <v>2613</v>
      </c>
      <c r="F1319" s="87">
        <v>36.192393000000003</v>
      </c>
      <c r="G1319" s="87">
        <v>44.015497699999997</v>
      </c>
      <c r="H1319" s="86">
        <v>45</v>
      </c>
      <c r="I1319" s="86">
        <v>270</v>
      </c>
      <c r="J1319" s="87">
        <v>18</v>
      </c>
      <c r="K1319" s="87"/>
      <c r="L1319" s="87"/>
      <c r="M1319" s="87"/>
      <c r="N1319" s="87"/>
      <c r="O1319" s="87"/>
      <c r="P1319" s="87"/>
      <c r="Q1319" s="87"/>
      <c r="R1319" s="87"/>
      <c r="S1319" s="87"/>
      <c r="T1319" s="87"/>
      <c r="U1319" s="87"/>
      <c r="V1319" s="87">
        <v>23</v>
      </c>
      <c r="W1319" s="87"/>
      <c r="X1319" s="87">
        <v>4</v>
      </c>
      <c r="Y1319" s="87"/>
      <c r="Z1319" s="87"/>
      <c r="AA1319" s="87"/>
      <c r="AB1319" s="87"/>
      <c r="AC1319" s="87"/>
      <c r="AD1319" s="87">
        <v>14</v>
      </c>
      <c r="AE1319" s="87"/>
      <c r="AF1319" s="87"/>
      <c r="AG1319" s="87"/>
      <c r="AH1319" s="87">
        <v>31</v>
      </c>
      <c r="AI1319" s="87"/>
      <c r="AJ1319" s="87"/>
      <c r="AK1319" s="87"/>
      <c r="AL1319" s="87"/>
      <c r="AM1319" s="87"/>
      <c r="AN1319" s="87">
        <v>5</v>
      </c>
      <c r="AO1319" s="87">
        <v>13</v>
      </c>
      <c r="AP1319" s="87"/>
      <c r="AQ1319" s="87"/>
      <c r="AR1319" s="87">
        <v>13</v>
      </c>
      <c r="AS1319" s="87"/>
      <c r="AT1319" s="87">
        <v>14</v>
      </c>
      <c r="AU1319" s="87"/>
      <c r="AV1319" s="87"/>
      <c r="AW1319" s="88" t="str">
        <f>HYPERLINK("http://www.openstreetmap.org/?mlat=36.1924&amp;mlon=44.0155&amp;zoom=12#map=12/36.1924/44.0155","Maplink1")</f>
        <v>Maplink1</v>
      </c>
      <c r="AX1319" s="88" t="str">
        <f>HYPERLINK("https://www.google.iq/maps/search/+36.1924,44.0155/@36.1924,44.0155,14z?hl=en","Maplink2")</f>
        <v>Maplink2</v>
      </c>
      <c r="AY1319" s="88" t="str">
        <f>HYPERLINK("http://www.bing.com/maps/?lvl=14&amp;sty=h&amp;cp=36.1924~44.0155&amp;sp=point.36.1924_44.0155","Maplink3")</f>
        <v>Maplink3</v>
      </c>
      <c r="AZ1319" s="76"/>
    </row>
    <row r="1320" spans="1:52" x14ac:dyDescent="0.25">
      <c r="A1320" s="86">
        <v>27333</v>
      </c>
      <c r="B1320" s="87" t="s">
        <v>18</v>
      </c>
      <c r="C1320" s="87" t="s">
        <v>18</v>
      </c>
      <c r="D1320" s="87" t="s">
        <v>2614</v>
      </c>
      <c r="E1320" s="87" t="s">
        <v>2615</v>
      </c>
      <c r="F1320" s="87">
        <v>36.214798700000003</v>
      </c>
      <c r="G1320" s="87">
        <v>44.1428528</v>
      </c>
      <c r="H1320" s="86">
        <v>45</v>
      </c>
      <c r="I1320" s="86">
        <v>270</v>
      </c>
      <c r="J1320" s="87">
        <v>20</v>
      </c>
      <c r="K1320" s="87"/>
      <c r="L1320" s="87"/>
      <c r="M1320" s="87"/>
      <c r="N1320" s="87"/>
      <c r="O1320" s="87"/>
      <c r="P1320" s="87"/>
      <c r="Q1320" s="87"/>
      <c r="R1320" s="87"/>
      <c r="S1320" s="87"/>
      <c r="T1320" s="87"/>
      <c r="U1320" s="87"/>
      <c r="V1320" s="87">
        <v>25</v>
      </c>
      <c r="W1320" s="87"/>
      <c r="X1320" s="87"/>
      <c r="Y1320" s="87"/>
      <c r="Z1320" s="87"/>
      <c r="AA1320" s="87"/>
      <c r="AB1320" s="87"/>
      <c r="AC1320" s="87"/>
      <c r="AD1320" s="87"/>
      <c r="AE1320" s="87"/>
      <c r="AF1320" s="87"/>
      <c r="AG1320" s="87"/>
      <c r="AH1320" s="87">
        <v>42</v>
      </c>
      <c r="AI1320" s="87"/>
      <c r="AJ1320" s="87"/>
      <c r="AK1320" s="87"/>
      <c r="AL1320" s="87">
        <v>3</v>
      </c>
      <c r="AM1320" s="87"/>
      <c r="AN1320" s="87">
        <v>3</v>
      </c>
      <c r="AO1320" s="87">
        <v>4</v>
      </c>
      <c r="AP1320" s="87"/>
      <c r="AQ1320" s="87"/>
      <c r="AR1320" s="87">
        <v>17</v>
      </c>
      <c r="AS1320" s="87"/>
      <c r="AT1320" s="87">
        <v>21</v>
      </c>
      <c r="AU1320" s="87"/>
      <c r="AV1320" s="87"/>
      <c r="AW1320" s="88" t="str">
        <f>HYPERLINK("http://www.openstreetmap.org/?mlat=36.2148&amp;mlon=44.1429&amp;zoom=12#map=12/36.2148/44.1429","Maplink1")</f>
        <v>Maplink1</v>
      </c>
      <c r="AX1320" s="88" t="str">
        <f>HYPERLINK("https://www.google.iq/maps/search/+36.2148,44.1429/@36.2148,44.1429,14z?hl=en","Maplink2")</f>
        <v>Maplink2</v>
      </c>
      <c r="AY1320" s="88" t="str">
        <f>HYPERLINK("http://www.bing.com/maps/?lvl=14&amp;sty=h&amp;cp=36.2148~44.1429&amp;sp=point.36.2148_44.1429","Maplink3")</f>
        <v>Maplink3</v>
      </c>
      <c r="AZ1320" s="76"/>
    </row>
    <row r="1321" spans="1:52" x14ac:dyDescent="0.25">
      <c r="A1321" s="86">
        <v>29558</v>
      </c>
      <c r="B1321" s="87" t="s">
        <v>18</v>
      </c>
      <c r="C1321" s="87" t="s">
        <v>18</v>
      </c>
      <c r="D1321" s="87" t="s">
        <v>2616</v>
      </c>
      <c r="E1321" s="87" t="s">
        <v>2617</v>
      </c>
      <c r="F1321" s="87">
        <v>36.1872726</v>
      </c>
      <c r="G1321" s="87">
        <v>44.013247738899999</v>
      </c>
      <c r="H1321" s="86">
        <v>110</v>
      </c>
      <c r="I1321" s="86">
        <v>660</v>
      </c>
      <c r="J1321" s="87"/>
      <c r="K1321" s="87"/>
      <c r="L1321" s="87"/>
      <c r="M1321" s="87"/>
      <c r="N1321" s="87"/>
      <c r="O1321" s="87"/>
      <c r="P1321" s="87"/>
      <c r="Q1321" s="87"/>
      <c r="R1321" s="87"/>
      <c r="S1321" s="87"/>
      <c r="T1321" s="87"/>
      <c r="U1321" s="87"/>
      <c r="V1321" s="87">
        <v>110</v>
      </c>
      <c r="W1321" s="87"/>
      <c r="X1321" s="87"/>
      <c r="Y1321" s="87"/>
      <c r="Z1321" s="87"/>
      <c r="AA1321" s="87"/>
      <c r="AB1321" s="87"/>
      <c r="AC1321" s="87"/>
      <c r="AD1321" s="87"/>
      <c r="AE1321" s="87">
        <v>110</v>
      </c>
      <c r="AF1321" s="87"/>
      <c r="AG1321" s="87"/>
      <c r="AH1321" s="87"/>
      <c r="AI1321" s="87"/>
      <c r="AJ1321" s="87"/>
      <c r="AK1321" s="87"/>
      <c r="AL1321" s="87"/>
      <c r="AM1321" s="87"/>
      <c r="AN1321" s="87"/>
      <c r="AO1321" s="87"/>
      <c r="AP1321" s="87">
        <v>110</v>
      </c>
      <c r="AQ1321" s="87"/>
      <c r="AR1321" s="87"/>
      <c r="AS1321" s="87"/>
      <c r="AT1321" s="87"/>
      <c r="AU1321" s="87"/>
      <c r="AV1321" s="87"/>
      <c r="AW1321" s="88" t="str">
        <f>HYPERLINK("http://www.openstreetmap.org/?mlat=36.1873&amp;mlon=44.0132&amp;zoom=12#map=12/36.1873/44.0132","Maplink1")</f>
        <v>Maplink1</v>
      </c>
      <c r="AX1321" s="88" t="str">
        <f>HYPERLINK("https://www.google.iq/maps/search/+36.1873,44.0132/@36.1873,44.0132,14z?hl=en","Maplink2")</f>
        <v>Maplink2</v>
      </c>
      <c r="AY1321" s="88" t="str">
        <f>HYPERLINK("http://www.bing.com/maps/?lvl=14&amp;sty=h&amp;cp=36.1873~44.0132&amp;sp=point.36.1873_44.0132","Maplink3")</f>
        <v>Maplink3</v>
      </c>
      <c r="AZ1321" s="76"/>
    </row>
    <row r="1322" spans="1:52" x14ac:dyDescent="0.25">
      <c r="A1322" s="86">
        <v>25732</v>
      </c>
      <c r="B1322" s="87" t="s">
        <v>18</v>
      </c>
      <c r="C1322" s="87" t="s">
        <v>18</v>
      </c>
      <c r="D1322" s="87" t="s">
        <v>2618</v>
      </c>
      <c r="E1322" s="87" t="s">
        <v>118</v>
      </c>
      <c r="F1322" s="87">
        <v>36.211463324599997</v>
      </c>
      <c r="G1322" s="87">
        <v>44.040591760300003</v>
      </c>
      <c r="H1322" s="86">
        <v>96</v>
      </c>
      <c r="I1322" s="86">
        <v>576</v>
      </c>
      <c r="J1322" s="87">
        <v>29</v>
      </c>
      <c r="K1322" s="87"/>
      <c r="L1322" s="87">
        <v>7</v>
      </c>
      <c r="M1322" s="87"/>
      <c r="N1322" s="87"/>
      <c r="O1322" s="87"/>
      <c r="P1322" s="87"/>
      <c r="Q1322" s="87"/>
      <c r="R1322" s="87"/>
      <c r="S1322" s="87"/>
      <c r="T1322" s="87"/>
      <c r="U1322" s="87"/>
      <c r="V1322" s="87">
        <v>43</v>
      </c>
      <c r="W1322" s="87"/>
      <c r="X1322" s="87">
        <v>17</v>
      </c>
      <c r="Y1322" s="87"/>
      <c r="Z1322" s="87"/>
      <c r="AA1322" s="87"/>
      <c r="AB1322" s="87"/>
      <c r="AC1322" s="87"/>
      <c r="AD1322" s="87"/>
      <c r="AE1322" s="87"/>
      <c r="AF1322" s="87"/>
      <c r="AG1322" s="87"/>
      <c r="AH1322" s="87">
        <v>96</v>
      </c>
      <c r="AI1322" s="87"/>
      <c r="AJ1322" s="87"/>
      <c r="AK1322" s="87"/>
      <c r="AL1322" s="87"/>
      <c r="AM1322" s="87"/>
      <c r="AN1322" s="87"/>
      <c r="AO1322" s="87">
        <v>60</v>
      </c>
      <c r="AP1322" s="87"/>
      <c r="AQ1322" s="87">
        <v>7</v>
      </c>
      <c r="AR1322" s="87">
        <v>29</v>
      </c>
      <c r="AS1322" s="87"/>
      <c r="AT1322" s="87"/>
      <c r="AU1322" s="87"/>
      <c r="AV1322" s="87"/>
      <c r="AW1322" s="88" t="str">
        <f>HYPERLINK("http://www.openstreetmap.org/?mlat=36.2115&amp;mlon=44.0406&amp;zoom=12#map=12/36.2115/44.0406","Maplink1")</f>
        <v>Maplink1</v>
      </c>
      <c r="AX1322" s="88" t="str">
        <f>HYPERLINK("https://www.google.iq/maps/search/+36.2115,44.0406/@36.2115,44.0406,14z?hl=en","Maplink2")</f>
        <v>Maplink2</v>
      </c>
      <c r="AY1322" s="88" t="str">
        <f>HYPERLINK("http://www.bing.com/maps/?lvl=14&amp;sty=h&amp;cp=36.2115~44.0406&amp;sp=point.36.2115_44.0406","Maplink3")</f>
        <v>Maplink3</v>
      </c>
      <c r="AZ1322" s="76"/>
    </row>
    <row r="1323" spans="1:52" x14ac:dyDescent="0.25">
      <c r="A1323" s="86">
        <v>25731</v>
      </c>
      <c r="B1323" s="87" t="s">
        <v>18</v>
      </c>
      <c r="C1323" s="87" t="s">
        <v>18</v>
      </c>
      <c r="D1323" s="87" t="s">
        <v>2619</v>
      </c>
      <c r="E1323" s="87" t="s">
        <v>2620</v>
      </c>
      <c r="F1323" s="87">
        <v>36.166706352600002</v>
      </c>
      <c r="G1323" s="87">
        <v>44.037418817599999</v>
      </c>
      <c r="H1323" s="86">
        <v>30</v>
      </c>
      <c r="I1323" s="86">
        <v>180</v>
      </c>
      <c r="J1323" s="87">
        <v>9</v>
      </c>
      <c r="K1323" s="87"/>
      <c r="L1323" s="87">
        <v>9</v>
      </c>
      <c r="M1323" s="87"/>
      <c r="N1323" s="87"/>
      <c r="O1323" s="87"/>
      <c r="P1323" s="87"/>
      <c r="Q1323" s="87"/>
      <c r="R1323" s="87"/>
      <c r="S1323" s="87"/>
      <c r="T1323" s="87"/>
      <c r="U1323" s="87"/>
      <c r="V1323" s="87">
        <v>5</v>
      </c>
      <c r="W1323" s="87"/>
      <c r="X1323" s="87">
        <v>7</v>
      </c>
      <c r="Y1323" s="87"/>
      <c r="Z1323" s="87"/>
      <c r="AA1323" s="87"/>
      <c r="AB1323" s="87"/>
      <c r="AC1323" s="87"/>
      <c r="AD1323" s="87"/>
      <c r="AE1323" s="87"/>
      <c r="AF1323" s="87"/>
      <c r="AG1323" s="87"/>
      <c r="AH1323" s="87">
        <v>30</v>
      </c>
      <c r="AI1323" s="87"/>
      <c r="AJ1323" s="87"/>
      <c r="AK1323" s="87"/>
      <c r="AL1323" s="87"/>
      <c r="AM1323" s="87"/>
      <c r="AN1323" s="87"/>
      <c r="AO1323" s="87">
        <v>7</v>
      </c>
      <c r="AP1323" s="87"/>
      <c r="AQ1323" s="87">
        <v>9</v>
      </c>
      <c r="AR1323" s="87">
        <v>4</v>
      </c>
      <c r="AS1323" s="87"/>
      <c r="AT1323" s="87">
        <v>5</v>
      </c>
      <c r="AU1323" s="87">
        <v>5</v>
      </c>
      <c r="AV1323" s="87"/>
      <c r="AW1323" s="88" t="str">
        <f>HYPERLINK("http://www.openstreetmap.org/?mlat=36.1667&amp;mlon=44.0374&amp;zoom=12#map=12/36.1667/44.0374","Maplink1")</f>
        <v>Maplink1</v>
      </c>
      <c r="AX1323" s="88" t="str">
        <f>HYPERLINK("https://www.google.iq/maps/search/+36.1667,44.0374/@36.1667,44.0374,14z?hl=en","Maplink2")</f>
        <v>Maplink2</v>
      </c>
      <c r="AY1323" s="88" t="str">
        <f>HYPERLINK("http://www.bing.com/maps/?lvl=14&amp;sty=h&amp;cp=36.1667~44.0374&amp;sp=point.36.1667_44.0374","Maplink3")</f>
        <v>Maplink3</v>
      </c>
      <c r="AZ1323" s="76"/>
    </row>
    <row r="1324" spans="1:52" x14ac:dyDescent="0.25">
      <c r="A1324" s="86">
        <v>13685</v>
      </c>
      <c r="B1324" s="87" t="s">
        <v>18</v>
      </c>
      <c r="C1324" s="87" t="s">
        <v>18</v>
      </c>
      <c r="D1324" s="87" t="s">
        <v>2621</v>
      </c>
      <c r="E1324" s="87" t="s">
        <v>2622</v>
      </c>
      <c r="F1324" s="87">
        <v>36.200589600000001</v>
      </c>
      <c r="G1324" s="87">
        <v>44.121762400000001</v>
      </c>
      <c r="H1324" s="86">
        <v>405</v>
      </c>
      <c r="I1324" s="86">
        <v>2430</v>
      </c>
      <c r="J1324" s="87">
        <v>228</v>
      </c>
      <c r="K1324" s="87"/>
      <c r="L1324" s="87"/>
      <c r="M1324" s="87"/>
      <c r="N1324" s="87"/>
      <c r="O1324" s="87"/>
      <c r="P1324" s="87"/>
      <c r="Q1324" s="87"/>
      <c r="R1324" s="87"/>
      <c r="S1324" s="87"/>
      <c r="T1324" s="87"/>
      <c r="U1324" s="87"/>
      <c r="V1324" s="87">
        <v>150</v>
      </c>
      <c r="W1324" s="87"/>
      <c r="X1324" s="87">
        <v>27</v>
      </c>
      <c r="Y1324" s="87"/>
      <c r="Z1324" s="87"/>
      <c r="AA1324" s="87"/>
      <c r="AB1324" s="87"/>
      <c r="AC1324" s="87"/>
      <c r="AD1324" s="87"/>
      <c r="AE1324" s="87"/>
      <c r="AF1324" s="87"/>
      <c r="AG1324" s="87"/>
      <c r="AH1324" s="87">
        <v>394</v>
      </c>
      <c r="AI1324" s="87"/>
      <c r="AJ1324" s="87"/>
      <c r="AK1324" s="87"/>
      <c r="AL1324" s="87">
        <v>11</v>
      </c>
      <c r="AM1324" s="87"/>
      <c r="AN1324" s="87">
        <v>205</v>
      </c>
      <c r="AO1324" s="87">
        <v>99</v>
      </c>
      <c r="AP1324" s="87">
        <v>45</v>
      </c>
      <c r="AQ1324" s="87"/>
      <c r="AR1324" s="87">
        <v>8</v>
      </c>
      <c r="AS1324" s="87"/>
      <c r="AT1324" s="87">
        <v>28</v>
      </c>
      <c r="AU1324" s="87">
        <v>20</v>
      </c>
      <c r="AV1324" s="87"/>
      <c r="AW1324" s="88" t="str">
        <f>HYPERLINK("http://www.openstreetmap.org/?mlat=36.2006&amp;mlon=44.1218&amp;zoom=12#map=12/36.2006/44.1218","Maplink1")</f>
        <v>Maplink1</v>
      </c>
      <c r="AX1324" s="88" t="str">
        <f>HYPERLINK("https://www.google.iq/maps/search/+36.2006,44.1218/@36.2006,44.1218,14z?hl=en","Maplink2")</f>
        <v>Maplink2</v>
      </c>
      <c r="AY1324" s="88" t="str">
        <f>HYPERLINK("http://www.bing.com/maps/?lvl=14&amp;sty=h&amp;cp=36.2006~44.1218&amp;sp=point.36.2006_44.1218","Maplink3")</f>
        <v>Maplink3</v>
      </c>
      <c r="AZ1324" s="76"/>
    </row>
    <row r="1325" spans="1:52" x14ac:dyDescent="0.25">
      <c r="A1325" s="86">
        <v>13687</v>
      </c>
      <c r="B1325" s="87" t="s">
        <v>18</v>
      </c>
      <c r="C1325" s="87" t="s">
        <v>18</v>
      </c>
      <c r="D1325" s="87" t="s">
        <v>2623</v>
      </c>
      <c r="E1325" s="87" t="s">
        <v>2624</v>
      </c>
      <c r="F1325" s="87">
        <v>36.174243500000003</v>
      </c>
      <c r="G1325" s="87">
        <v>44.122578500000003</v>
      </c>
      <c r="H1325" s="86">
        <v>270</v>
      </c>
      <c r="I1325" s="86">
        <v>1620</v>
      </c>
      <c r="J1325" s="87">
        <v>103</v>
      </c>
      <c r="K1325" s="87"/>
      <c r="L1325" s="87"/>
      <c r="M1325" s="87"/>
      <c r="N1325" s="87"/>
      <c r="O1325" s="87"/>
      <c r="P1325" s="87"/>
      <c r="Q1325" s="87"/>
      <c r="R1325" s="87">
        <v>12</v>
      </c>
      <c r="S1325" s="87"/>
      <c r="T1325" s="87"/>
      <c r="U1325" s="87"/>
      <c r="V1325" s="87">
        <v>145</v>
      </c>
      <c r="W1325" s="87"/>
      <c r="X1325" s="87">
        <v>10</v>
      </c>
      <c r="Y1325" s="87"/>
      <c r="Z1325" s="87"/>
      <c r="AA1325" s="87"/>
      <c r="AB1325" s="87"/>
      <c r="AC1325" s="87"/>
      <c r="AD1325" s="87"/>
      <c r="AE1325" s="87"/>
      <c r="AF1325" s="87"/>
      <c r="AG1325" s="87"/>
      <c r="AH1325" s="87">
        <v>270</v>
      </c>
      <c r="AI1325" s="87"/>
      <c r="AJ1325" s="87"/>
      <c r="AK1325" s="87"/>
      <c r="AL1325" s="87"/>
      <c r="AM1325" s="87"/>
      <c r="AN1325" s="87">
        <v>79</v>
      </c>
      <c r="AO1325" s="87">
        <v>122</v>
      </c>
      <c r="AP1325" s="87">
        <v>20</v>
      </c>
      <c r="AQ1325" s="87"/>
      <c r="AR1325" s="87">
        <v>14</v>
      </c>
      <c r="AS1325" s="87"/>
      <c r="AT1325" s="87">
        <v>15</v>
      </c>
      <c r="AU1325" s="87">
        <v>20</v>
      </c>
      <c r="AV1325" s="87"/>
      <c r="AW1325" s="88" t="str">
        <f>HYPERLINK("http://www.openstreetmap.org/?mlat=36.1742&amp;mlon=44.1226&amp;zoom=12#map=12/36.1742/44.1226","Maplink1")</f>
        <v>Maplink1</v>
      </c>
      <c r="AX1325" s="88" t="str">
        <f>HYPERLINK("https://www.google.iq/maps/search/+36.1742,44.1226/@36.1742,44.1226,14z?hl=en","Maplink2")</f>
        <v>Maplink2</v>
      </c>
      <c r="AY1325" s="88" t="str">
        <f>HYPERLINK("http://www.bing.com/maps/?lvl=14&amp;sty=h&amp;cp=36.1742~44.1226&amp;sp=point.36.1742_44.1226","Maplink3")</f>
        <v>Maplink3</v>
      </c>
      <c r="AZ1325" s="76"/>
    </row>
    <row r="1326" spans="1:52" x14ac:dyDescent="0.25">
      <c r="A1326" s="86">
        <v>27341</v>
      </c>
      <c r="B1326" s="87" t="s">
        <v>18</v>
      </c>
      <c r="C1326" s="87" t="s">
        <v>18</v>
      </c>
      <c r="D1326" s="87" t="s">
        <v>2625</v>
      </c>
      <c r="E1326" s="87" t="s">
        <v>2626</v>
      </c>
      <c r="F1326" s="87">
        <v>36.213308300000001</v>
      </c>
      <c r="G1326" s="87">
        <v>44.127211299999999</v>
      </c>
      <c r="H1326" s="86">
        <v>500</v>
      </c>
      <c r="I1326" s="86">
        <v>3000</v>
      </c>
      <c r="J1326" s="87">
        <v>153</v>
      </c>
      <c r="K1326" s="87"/>
      <c r="L1326" s="87"/>
      <c r="M1326" s="87"/>
      <c r="N1326" s="87"/>
      <c r="O1326" s="87"/>
      <c r="P1326" s="87"/>
      <c r="Q1326" s="87"/>
      <c r="R1326" s="87">
        <v>310</v>
      </c>
      <c r="S1326" s="87"/>
      <c r="T1326" s="87"/>
      <c r="U1326" s="87"/>
      <c r="V1326" s="87">
        <v>33</v>
      </c>
      <c r="W1326" s="87"/>
      <c r="X1326" s="87">
        <v>4</v>
      </c>
      <c r="Y1326" s="87"/>
      <c r="Z1326" s="87"/>
      <c r="AA1326" s="87"/>
      <c r="AB1326" s="87"/>
      <c r="AC1326" s="87">
        <v>10</v>
      </c>
      <c r="AD1326" s="87"/>
      <c r="AE1326" s="87"/>
      <c r="AF1326" s="87"/>
      <c r="AG1326" s="87"/>
      <c r="AH1326" s="87">
        <v>490</v>
      </c>
      <c r="AI1326" s="87"/>
      <c r="AJ1326" s="87"/>
      <c r="AK1326" s="87"/>
      <c r="AL1326" s="87"/>
      <c r="AM1326" s="87"/>
      <c r="AN1326" s="87">
        <v>42</v>
      </c>
      <c r="AO1326" s="87">
        <v>4</v>
      </c>
      <c r="AP1326" s="87"/>
      <c r="AQ1326" s="87"/>
      <c r="AR1326" s="87">
        <v>86</v>
      </c>
      <c r="AS1326" s="87"/>
      <c r="AT1326" s="87">
        <v>33</v>
      </c>
      <c r="AU1326" s="87">
        <v>335</v>
      </c>
      <c r="AV1326" s="87"/>
      <c r="AW1326" s="88" t="str">
        <f>HYPERLINK("http://www.openstreetmap.org/?mlat=36.2133&amp;mlon=44.1272&amp;zoom=12#map=12/36.2133/44.1272","Maplink1")</f>
        <v>Maplink1</v>
      </c>
      <c r="AX1326" s="88" t="str">
        <f>HYPERLINK("https://www.google.iq/maps/search/+36.2133,44.1272/@36.2133,44.1272,14z?hl=en","Maplink2")</f>
        <v>Maplink2</v>
      </c>
      <c r="AY1326" s="88" t="str">
        <f>HYPERLINK("http://www.bing.com/maps/?lvl=14&amp;sty=h&amp;cp=36.2133~44.1272&amp;sp=point.36.2133_44.1272","Maplink3")</f>
        <v>Maplink3</v>
      </c>
      <c r="AZ1326" s="76"/>
    </row>
    <row r="1327" spans="1:52" x14ac:dyDescent="0.25">
      <c r="A1327" s="86">
        <v>29556</v>
      </c>
      <c r="B1327" s="87" t="s">
        <v>18</v>
      </c>
      <c r="C1327" s="87" t="s">
        <v>18</v>
      </c>
      <c r="D1327" s="87" t="s">
        <v>2627</v>
      </c>
      <c r="E1327" s="87" t="s">
        <v>2628</v>
      </c>
      <c r="F1327" s="87">
        <v>36.214874199999997</v>
      </c>
      <c r="G1327" s="87">
        <v>44.154924399999999</v>
      </c>
      <c r="H1327" s="86">
        <v>280</v>
      </c>
      <c r="I1327" s="86">
        <v>1680</v>
      </c>
      <c r="J1327" s="87">
        <v>121</v>
      </c>
      <c r="K1327" s="87"/>
      <c r="L1327" s="87"/>
      <c r="M1327" s="87"/>
      <c r="N1327" s="87"/>
      <c r="O1327" s="87"/>
      <c r="P1327" s="87"/>
      <c r="Q1327" s="87"/>
      <c r="R1327" s="87"/>
      <c r="S1327" s="87"/>
      <c r="T1327" s="87"/>
      <c r="U1327" s="87"/>
      <c r="V1327" s="87">
        <v>71</v>
      </c>
      <c r="W1327" s="87"/>
      <c r="X1327" s="87">
        <v>88</v>
      </c>
      <c r="Y1327" s="87"/>
      <c r="Z1327" s="87"/>
      <c r="AA1327" s="87"/>
      <c r="AB1327" s="87"/>
      <c r="AC1327" s="87"/>
      <c r="AD1327" s="87"/>
      <c r="AE1327" s="87"/>
      <c r="AF1327" s="87"/>
      <c r="AG1327" s="87"/>
      <c r="AH1327" s="87">
        <v>273</v>
      </c>
      <c r="AI1327" s="87"/>
      <c r="AJ1327" s="87"/>
      <c r="AK1327" s="87"/>
      <c r="AL1327" s="87">
        <v>7</v>
      </c>
      <c r="AM1327" s="87"/>
      <c r="AN1327" s="87">
        <v>127</v>
      </c>
      <c r="AO1327" s="87">
        <v>112</v>
      </c>
      <c r="AP1327" s="87">
        <v>22</v>
      </c>
      <c r="AQ1327" s="87"/>
      <c r="AR1327" s="87"/>
      <c r="AS1327" s="87"/>
      <c r="AT1327" s="87">
        <v>19</v>
      </c>
      <c r="AU1327" s="87"/>
      <c r="AV1327" s="87"/>
      <c r="AW1327" s="88" t="str">
        <f>HYPERLINK("http://www.openstreetmap.org/?mlat=36.2149&amp;mlon=44.1549&amp;zoom=12#map=12/36.2149/44.1549","Maplink1")</f>
        <v>Maplink1</v>
      </c>
      <c r="AX1327" s="88" t="str">
        <f>HYPERLINK("https://www.google.iq/maps/search/+36.2149,44.1549/@36.2149,44.1549,14z?hl=en","Maplink2")</f>
        <v>Maplink2</v>
      </c>
      <c r="AY1327" s="88" t="str">
        <f>HYPERLINK("http://www.bing.com/maps/?lvl=14&amp;sty=h&amp;cp=36.2149~44.1549&amp;sp=point.36.2149_44.1549","Maplink3")</f>
        <v>Maplink3</v>
      </c>
      <c r="AZ1327" s="76"/>
    </row>
    <row r="1328" spans="1:52" x14ac:dyDescent="0.25">
      <c r="A1328" s="86">
        <v>33151</v>
      </c>
      <c r="B1328" s="87" t="s">
        <v>18</v>
      </c>
      <c r="C1328" s="87" t="s">
        <v>18</v>
      </c>
      <c r="D1328" s="87" t="s">
        <v>2629</v>
      </c>
      <c r="E1328" s="87" t="s">
        <v>2630</v>
      </c>
      <c r="F1328" s="87">
        <v>36.145628299999998</v>
      </c>
      <c r="G1328" s="87">
        <v>44.087964399999997</v>
      </c>
      <c r="H1328" s="86">
        <v>315</v>
      </c>
      <c r="I1328" s="86">
        <v>1890</v>
      </c>
      <c r="J1328" s="87">
        <v>55</v>
      </c>
      <c r="K1328" s="87"/>
      <c r="L1328" s="87"/>
      <c r="M1328" s="87"/>
      <c r="N1328" s="87"/>
      <c r="O1328" s="87"/>
      <c r="P1328" s="87"/>
      <c r="Q1328" s="87"/>
      <c r="R1328" s="87"/>
      <c r="S1328" s="87"/>
      <c r="T1328" s="87"/>
      <c r="U1328" s="87"/>
      <c r="V1328" s="87">
        <v>80</v>
      </c>
      <c r="W1328" s="87"/>
      <c r="X1328" s="87">
        <v>180</v>
      </c>
      <c r="Y1328" s="87"/>
      <c r="Z1328" s="87"/>
      <c r="AA1328" s="87"/>
      <c r="AB1328" s="87"/>
      <c r="AC1328" s="87"/>
      <c r="AD1328" s="87"/>
      <c r="AE1328" s="87"/>
      <c r="AF1328" s="87"/>
      <c r="AG1328" s="87"/>
      <c r="AH1328" s="87">
        <v>315</v>
      </c>
      <c r="AI1328" s="87"/>
      <c r="AJ1328" s="87"/>
      <c r="AK1328" s="87"/>
      <c r="AL1328" s="87"/>
      <c r="AM1328" s="87"/>
      <c r="AN1328" s="87">
        <v>20</v>
      </c>
      <c r="AO1328" s="87">
        <v>190</v>
      </c>
      <c r="AP1328" s="87"/>
      <c r="AQ1328" s="87"/>
      <c r="AR1328" s="87">
        <v>35</v>
      </c>
      <c r="AS1328" s="87"/>
      <c r="AT1328" s="87">
        <v>70</v>
      </c>
      <c r="AU1328" s="87"/>
      <c r="AV1328" s="87"/>
      <c r="AW1328" s="88" t="str">
        <f>HYPERLINK("http://www.openstreetmap.org/?mlat=36.1456&amp;mlon=44.088&amp;zoom=12#map=12/36.1456/44.088","Maplink1")</f>
        <v>Maplink1</v>
      </c>
      <c r="AX1328" s="88" t="str">
        <f>HYPERLINK("https://www.google.iq/maps/search/+36.1456,44.088/@36.1456,44.088,14z?hl=en","Maplink2")</f>
        <v>Maplink2</v>
      </c>
      <c r="AY1328" s="88" t="str">
        <f>HYPERLINK("http://www.bing.com/maps/?lvl=14&amp;sty=h&amp;cp=36.1456~44.088&amp;sp=point.36.1456_44.088","Maplink3")</f>
        <v>Maplink3</v>
      </c>
      <c r="AZ1328" s="76"/>
    </row>
    <row r="1329" spans="1:52" x14ac:dyDescent="0.25">
      <c r="A1329" s="86">
        <v>25472</v>
      </c>
      <c r="B1329" s="87" t="s">
        <v>18</v>
      </c>
      <c r="C1329" s="87" t="s">
        <v>18</v>
      </c>
      <c r="D1329" s="87" t="s">
        <v>2631</v>
      </c>
      <c r="E1329" s="87" t="s">
        <v>2632</v>
      </c>
      <c r="F1329" s="87">
        <v>36.203490700000003</v>
      </c>
      <c r="G1329" s="87">
        <v>44.126255</v>
      </c>
      <c r="H1329" s="86">
        <v>160</v>
      </c>
      <c r="I1329" s="86">
        <v>960</v>
      </c>
      <c r="J1329" s="87">
        <v>82</v>
      </c>
      <c r="K1329" s="87"/>
      <c r="L1329" s="87"/>
      <c r="M1329" s="87"/>
      <c r="N1329" s="87"/>
      <c r="O1329" s="87"/>
      <c r="P1329" s="87"/>
      <c r="Q1329" s="87"/>
      <c r="R1329" s="87"/>
      <c r="S1329" s="87"/>
      <c r="T1329" s="87"/>
      <c r="U1329" s="87"/>
      <c r="V1329" s="87">
        <v>65</v>
      </c>
      <c r="W1329" s="87"/>
      <c r="X1329" s="87">
        <v>13</v>
      </c>
      <c r="Y1329" s="87"/>
      <c r="Z1329" s="87"/>
      <c r="AA1329" s="87"/>
      <c r="AB1329" s="87"/>
      <c r="AC1329" s="87"/>
      <c r="AD1329" s="87"/>
      <c r="AE1329" s="87"/>
      <c r="AF1329" s="87"/>
      <c r="AG1329" s="87"/>
      <c r="AH1329" s="87">
        <v>156</v>
      </c>
      <c r="AI1329" s="87"/>
      <c r="AJ1329" s="87"/>
      <c r="AK1329" s="87"/>
      <c r="AL1329" s="87">
        <v>4</v>
      </c>
      <c r="AM1329" s="87"/>
      <c r="AN1329" s="87">
        <v>23</v>
      </c>
      <c r="AO1329" s="87">
        <v>30</v>
      </c>
      <c r="AP1329" s="87">
        <v>7</v>
      </c>
      <c r="AQ1329" s="87">
        <v>3</v>
      </c>
      <c r="AR1329" s="87">
        <v>59</v>
      </c>
      <c r="AS1329" s="87"/>
      <c r="AT1329" s="87">
        <v>38</v>
      </c>
      <c r="AU1329" s="87"/>
      <c r="AV1329" s="87"/>
      <c r="AW1329" s="88" t="str">
        <f>HYPERLINK("http://www.openstreetmap.org/?mlat=36.2035&amp;mlon=44.1263&amp;zoom=12#map=12/36.2035/44.1263","Maplink1")</f>
        <v>Maplink1</v>
      </c>
      <c r="AX1329" s="88" t="str">
        <f>HYPERLINK("https://www.google.iq/maps/search/+36.2035,44.1263/@36.2035,44.1263,14z?hl=en","Maplink2")</f>
        <v>Maplink2</v>
      </c>
      <c r="AY1329" s="88" t="str">
        <f>HYPERLINK("http://www.bing.com/maps/?lvl=14&amp;sty=h&amp;cp=36.2035~44.1263&amp;sp=point.36.2035_44.1263","Maplink3")</f>
        <v>Maplink3</v>
      </c>
      <c r="AZ1329" s="76"/>
    </row>
    <row r="1330" spans="1:52" x14ac:dyDescent="0.25">
      <c r="A1330" s="86">
        <v>27329</v>
      </c>
      <c r="B1330" s="87" t="s">
        <v>18</v>
      </c>
      <c r="C1330" s="87" t="s">
        <v>18</v>
      </c>
      <c r="D1330" s="87" t="s">
        <v>2633</v>
      </c>
      <c r="E1330" s="87" t="s">
        <v>2634</v>
      </c>
      <c r="F1330" s="87">
        <v>36.182880699999998</v>
      </c>
      <c r="G1330" s="87">
        <v>44.127927300000003</v>
      </c>
      <c r="H1330" s="86">
        <v>80</v>
      </c>
      <c r="I1330" s="86">
        <v>480</v>
      </c>
      <c r="J1330" s="87">
        <v>10</v>
      </c>
      <c r="K1330" s="87"/>
      <c r="L1330" s="87"/>
      <c r="M1330" s="87"/>
      <c r="N1330" s="87"/>
      <c r="O1330" s="87"/>
      <c r="P1330" s="87"/>
      <c r="Q1330" s="87"/>
      <c r="R1330" s="87"/>
      <c r="S1330" s="87"/>
      <c r="T1330" s="87"/>
      <c r="U1330" s="87"/>
      <c r="V1330" s="87">
        <v>70</v>
      </c>
      <c r="W1330" s="87"/>
      <c r="X1330" s="87"/>
      <c r="Y1330" s="87"/>
      <c r="Z1330" s="87"/>
      <c r="AA1330" s="87"/>
      <c r="AB1330" s="87"/>
      <c r="AC1330" s="87"/>
      <c r="AD1330" s="87"/>
      <c r="AE1330" s="87"/>
      <c r="AF1330" s="87"/>
      <c r="AG1330" s="87"/>
      <c r="AH1330" s="87">
        <v>80</v>
      </c>
      <c r="AI1330" s="87"/>
      <c r="AJ1330" s="87"/>
      <c r="AK1330" s="87"/>
      <c r="AL1330" s="87"/>
      <c r="AM1330" s="87"/>
      <c r="AN1330" s="87">
        <v>3</v>
      </c>
      <c r="AO1330" s="87">
        <v>15</v>
      </c>
      <c r="AP1330" s="87">
        <v>10</v>
      </c>
      <c r="AQ1330" s="87"/>
      <c r="AR1330" s="87">
        <v>7</v>
      </c>
      <c r="AS1330" s="87"/>
      <c r="AT1330" s="87">
        <v>45</v>
      </c>
      <c r="AU1330" s="87"/>
      <c r="AV1330" s="87"/>
      <c r="AW1330" s="88" t="str">
        <f>HYPERLINK("http://www.openstreetmap.org/?mlat=36.1829&amp;mlon=44.1279&amp;zoom=12#map=12/36.1829/44.1279","Maplink1")</f>
        <v>Maplink1</v>
      </c>
      <c r="AX1330" s="88" t="str">
        <f>HYPERLINK("https://www.google.iq/maps/search/+36.1829,44.1279/@36.1829,44.1279,14z?hl=en","Maplink2")</f>
        <v>Maplink2</v>
      </c>
      <c r="AY1330" s="88" t="str">
        <f>HYPERLINK("http://www.bing.com/maps/?lvl=14&amp;sty=h&amp;cp=36.1829~44.1279&amp;sp=point.36.1829_44.1279","Maplink3")</f>
        <v>Maplink3</v>
      </c>
      <c r="AZ1330" s="76"/>
    </row>
    <row r="1331" spans="1:52" x14ac:dyDescent="0.25">
      <c r="A1331" s="86">
        <v>27148</v>
      </c>
      <c r="B1331" s="87" t="s">
        <v>18</v>
      </c>
      <c r="C1331" s="87" t="s">
        <v>18</v>
      </c>
      <c r="D1331" s="87" t="s">
        <v>2635</v>
      </c>
      <c r="E1331" s="87" t="s">
        <v>2636</v>
      </c>
      <c r="F1331" s="87">
        <v>36.230655900000002</v>
      </c>
      <c r="G1331" s="87">
        <v>44.002256709999997</v>
      </c>
      <c r="H1331" s="86">
        <v>25</v>
      </c>
      <c r="I1331" s="86">
        <v>150</v>
      </c>
      <c r="J1331" s="87"/>
      <c r="K1331" s="87"/>
      <c r="L1331" s="87"/>
      <c r="M1331" s="87"/>
      <c r="N1331" s="87"/>
      <c r="O1331" s="87"/>
      <c r="P1331" s="87"/>
      <c r="Q1331" s="87"/>
      <c r="R1331" s="87"/>
      <c r="S1331" s="87"/>
      <c r="T1331" s="87"/>
      <c r="U1331" s="87"/>
      <c r="V1331" s="87">
        <v>25</v>
      </c>
      <c r="W1331" s="87"/>
      <c r="X1331" s="87"/>
      <c r="Y1331" s="87"/>
      <c r="Z1331" s="87"/>
      <c r="AA1331" s="87"/>
      <c r="AB1331" s="87"/>
      <c r="AC1331" s="87"/>
      <c r="AD1331" s="87"/>
      <c r="AE1331" s="87"/>
      <c r="AF1331" s="87"/>
      <c r="AG1331" s="87"/>
      <c r="AH1331" s="87">
        <v>25</v>
      </c>
      <c r="AI1331" s="87"/>
      <c r="AJ1331" s="87"/>
      <c r="AK1331" s="87"/>
      <c r="AL1331" s="87"/>
      <c r="AM1331" s="87"/>
      <c r="AN1331" s="87"/>
      <c r="AO1331" s="87">
        <v>25</v>
      </c>
      <c r="AP1331" s="87"/>
      <c r="AQ1331" s="87"/>
      <c r="AR1331" s="87"/>
      <c r="AS1331" s="87"/>
      <c r="AT1331" s="87"/>
      <c r="AU1331" s="87"/>
      <c r="AV1331" s="87"/>
      <c r="AW1331" s="88" t="str">
        <f>HYPERLINK("http://www.openstreetmap.org/?mlat=36.2307&amp;mlon=44.0023&amp;zoom=12#map=12/36.2307/44.0023","Maplink1")</f>
        <v>Maplink1</v>
      </c>
      <c r="AX1331" s="88" t="str">
        <f>HYPERLINK("https://www.google.iq/maps/search/+36.2307,44.0023/@36.2307,44.0023,14z?hl=en","Maplink2")</f>
        <v>Maplink2</v>
      </c>
      <c r="AY1331" s="88" t="str">
        <f>HYPERLINK("http://www.bing.com/maps/?lvl=14&amp;sty=h&amp;cp=36.2307~44.0023&amp;sp=point.36.2307_44.0023","Maplink3")</f>
        <v>Maplink3</v>
      </c>
      <c r="AZ1331" s="76"/>
    </row>
    <row r="1332" spans="1:52" x14ac:dyDescent="0.25">
      <c r="A1332" s="86">
        <v>13230</v>
      </c>
      <c r="B1332" s="87" t="s">
        <v>18</v>
      </c>
      <c r="C1332" s="87" t="s">
        <v>18</v>
      </c>
      <c r="D1332" s="87" t="s">
        <v>2637</v>
      </c>
      <c r="E1332" s="87" t="s">
        <v>2638</v>
      </c>
      <c r="F1332" s="87">
        <v>36.294700900000002</v>
      </c>
      <c r="G1332" s="87">
        <v>43.990115299999999</v>
      </c>
      <c r="H1332" s="86">
        <v>936</v>
      </c>
      <c r="I1332" s="86">
        <v>5616</v>
      </c>
      <c r="J1332" s="87">
        <v>20</v>
      </c>
      <c r="K1332" s="87"/>
      <c r="L1332" s="87">
        <v>2</v>
      </c>
      <c r="M1332" s="87"/>
      <c r="N1332" s="87"/>
      <c r="O1332" s="87"/>
      <c r="P1332" s="87"/>
      <c r="Q1332" s="87"/>
      <c r="R1332" s="87">
        <v>2</v>
      </c>
      <c r="S1332" s="87"/>
      <c r="T1332" s="87"/>
      <c r="U1332" s="87"/>
      <c r="V1332" s="87">
        <v>842</v>
      </c>
      <c r="W1332" s="87"/>
      <c r="X1332" s="87">
        <v>70</v>
      </c>
      <c r="Y1332" s="87"/>
      <c r="Z1332" s="87"/>
      <c r="AA1332" s="87"/>
      <c r="AB1332" s="87">
        <v>936</v>
      </c>
      <c r="AC1332" s="87"/>
      <c r="AD1332" s="87"/>
      <c r="AE1332" s="87"/>
      <c r="AF1332" s="87"/>
      <c r="AG1332" s="87"/>
      <c r="AH1332" s="87"/>
      <c r="AI1332" s="87"/>
      <c r="AJ1332" s="87"/>
      <c r="AK1332" s="87"/>
      <c r="AL1332" s="87"/>
      <c r="AM1332" s="87"/>
      <c r="AN1332" s="87">
        <v>9</v>
      </c>
      <c r="AO1332" s="87">
        <v>308</v>
      </c>
      <c r="AP1332" s="87">
        <v>114</v>
      </c>
      <c r="AQ1332" s="87">
        <v>2</v>
      </c>
      <c r="AR1332" s="87">
        <v>10</v>
      </c>
      <c r="AS1332" s="87"/>
      <c r="AT1332" s="87">
        <v>490</v>
      </c>
      <c r="AU1332" s="87">
        <v>3</v>
      </c>
      <c r="AV1332" s="87"/>
      <c r="AW1332" s="88" t="str">
        <f>HYPERLINK("http://www.openstreetmap.org/?mlat=36.2947&amp;mlon=43.9901&amp;zoom=12#map=12/36.2947/43.9901","Maplink1")</f>
        <v>Maplink1</v>
      </c>
      <c r="AX1332" s="88" t="str">
        <f>HYPERLINK("https://www.google.iq/maps/search/+36.2947,43.9901/@36.2947,43.9901,14z?hl=en","Maplink2")</f>
        <v>Maplink2</v>
      </c>
      <c r="AY1332" s="88" t="str">
        <f>HYPERLINK("http://www.bing.com/maps/?lvl=14&amp;sty=h&amp;cp=36.2947~43.9901&amp;sp=point.36.2947_43.9901","Maplink3")</f>
        <v>Maplink3</v>
      </c>
      <c r="AZ1332" s="76"/>
    </row>
    <row r="1333" spans="1:52" x14ac:dyDescent="0.25">
      <c r="A1333" s="86">
        <v>27138</v>
      </c>
      <c r="B1333" s="87" t="s">
        <v>18</v>
      </c>
      <c r="C1333" s="87" t="s">
        <v>18</v>
      </c>
      <c r="D1333" s="87" t="s">
        <v>2639</v>
      </c>
      <c r="E1333" s="87" t="s">
        <v>2640</v>
      </c>
      <c r="F1333" s="87">
        <v>36.302024600000003</v>
      </c>
      <c r="G1333" s="87">
        <v>44.025065099999999</v>
      </c>
      <c r="H1333" s="86">
        <v>156</v>
      </c>
      <c r="I1333" s="86">
        <v>936</v>
      </c>
      <c r="J1333" s="87">
        <v>36</v>
      </c>
      <c r="K1333" s="87"/>
      <c r="L1333" s="87">
        <v>9</v>
      </c>
      <c r="M1333" s="87"/>
      <c r="N1333" s="87"/>
      <c r="O1333" s="87"/>
      <c r="P1333" s="87"/>
      <c r="Q1333" s="87"/>
      <c r="R1333" s="87">
        <v>15</v>
      </c>
      <c r="S1333" s="87"/>
      <c r="T1333" s="87"/>
      <c r="U1333" s="87"/>
      <c r="V1333" s="87">
        <v>71</v>
      </c>
      <c r="W1333" s="87"/>
      <c r="X1333" s="87">
        <v>25</v>
      </c>
      <c r="Y1333" s="87"/>
      <c r="Z1333" s="87"/>
      <c r="AA1333" s="87"/>
      <c r="AB1333" s="87"/>
      <c r="AC1333" s="87"/>
      <c r="AD1333" s="87"/>
      <c r="AE1333" s="87"/>
      <c r="AF1333" s="87"/>
      <c r="AG1333" s="87"/>
      <c r="AH1333" s="87">
        <v>156</v>
      </c>
      <c r="AI1333" s="87"/>
      <c r="AJ1333" s="87"/>
      <c r="AK1333" s="87"/>
      <c r="AL1333" s="87"/>
      <c r="AM1333" s="87"/>
      <c r="AN1333" s="87">
        <v>10</v>
      </c>
      <c r="AO1333" s="87">
        <v>68</v>
      </c>
      <c r="AP1333" s="87">
        <v>15</v>
      </c>
      <c r="AQ1333" s="87">
        <v>9</v>
      </c>
      <c r="AR1333" s="87">
        <v>25</v>
      </c>
      <c r="AS1333" s="87"/>
      <c r="AT1333" s="87">
        <v>4</v>
      </c>
      <c r="AU1333" s="87">
        <v>25</v>
      </c>
      <c r="AV1333" s="87"/>
      <c r="AW1333" s="88" t="str">
        <f>HYPERLINK("http://www.openstreetmap.org/?mlat=36.302&amp;mlon=44.0251&amp;zoom=12#map=12/36.302/44.0251","Maplink1")</f>
        <v>Maplink1</v>
      </c>
      <c r="AX1333" s="88" t="str">
        <f>HYPERLINK("https://www.google.iq/maps/search/+36.302,44.0251/@36.302,44.0251,14z?hl=en","Maplink2")</f>
        <v>Maplink2</v>
      </c>
      <c r="AY1333" s="88" t="str">
        <f>HYPERLINK("http://www.bing.com/maps/?lvl=14&amp;sty=h&amp;cp=36.302~44.0251&amp;sp=point.36.302_44.0251","Maplink3")</f>
        <v>Maplink3</v>
      </c>
      <c r="AZ1333" s="76"/>
    </row>
    <row r="1334" spans="1:52" x14ac:dyDescent="0.25">
      <c r="A1334" s="86">
        <v>12370</v>
      </c>
      <c r="B1334" s="87" t="s">
        <v>18</v>
      </c>
      <c r="C1334" s="87" t="s">
        <v>18</v>
      </c>
      <c r="D1334" s="87" t="s">
        <v>2641</v>
      </c>
      <c r="E1334" s="87" t="s">
        <v>2642</v>
      </c>
      <c r="F1334" s="87">
        <v>36.314391999999998</v>
      </c>
      <c r="G1334" s="87">
        <v>44.031879500000002</v>
      </c>
      <c r="H1334" s="86">
        <v>520</v>
      </c>
      <c r="I1334" s="86">
        <v>3120</v>
      </c>
      <c r="J1334" s="87">
        <v>68</v>
      </c>
      <c r="K1334" s="87"/>
      <c r="L1334" s="87">
        <v>8</v>
      </c>
      <c r="M1334" s="87"/>
      <c r="N1334" s="87"/>
      <c r="O1334" s="87"/>
      <c r="P1334" s="87"/>
      <c r="Q1334" s="87"/>
      <c r="R1334" s="87">
        <v>18</v>
      </c>
      <c r="S1334" s="87"/>
      <c r="T1334" s="87"/>
      <c r="U1334" s="87"/>
      <c r="V1334" s="87">
        <v>397</v>
      </c>
      <c r="W1334" s="87"/>
      <c r="X1334" s="87">
        <v>29</v>
      </c>
      <c r="Y1334" s="87"/>
      <c r="Z1334" s="87"/>
      <c r="AA1334" s="87"/>
      <c r="AB1334" s="87"/>
      <c r="AC1334" s="87"/>
      <c r="AD1334" s="87"/>
      <c r="AE1334" s="87"/>
      <c r="AF1334" s="87"/>
      <c r="AG1334" s="87"/>
      <c r="AH1334" s="87">
        <v>520</v>
      </c>
      <c r="AI1334" s="87"/>
      <c r="AJ1334" s="87"/>
      <c r="AK1334" s="87"/>
      <c r="AL1334" s="87"/>
      <c r="AM1334" s="87"/>
      <c r="AN1334" s="87">
        <v>23</v>
      </c>
      <c r="AO1334" s="87">
        <v>372</v>
      </c>
      <c r="AP1334" s="87">
        <v>30</v>
      </c>
      <c r="AQ1334" s="87">
        <v>5</v>
      </c>
      <c r="AR1334" s="87">
        <v>50</v>
      </c>
      <c r="AS1334" s="87">
        <v>4</v>
      </c>
      <c r="AT1334" s="87">
        <v>11</v>
      </c>
      <c r="AU1334" s="87">
        <v>25</v>
      </c>
      <c r="AV1334" s="87"/>
      <c r="AW1334" s="88" t="str">
        <f>HYPERLINK("http://www.openstreetmap.org/?mlat=36.3144&amp;mlon=44.0319&amp;zoom=12#map=12/36.3144/44.0319","Maplink1")</f>
        <v>Maplink1</v>
      </c>
      <c r="AX1334" s="88" t="str">
        <f>HYPERLINK("https://www.google.iq/maps/search/+36.3144,44.0319/@36.3144,44.0319,14z?hl=en","Maplink2")</f>
        <v>Maplink2</v>
      </c>
      <c r="AY1334" s="88" t="str">
        <f>HYPERLINK("http://www.bing.com/maps/?lvl=14&amp;sty=h&amp;cp=36.3144~44.0319&amp;sp=point.36.3144_44.0319","Maplink3")</f>
        <v>Maplink3</v>
      </c>
      <c r="AZ1334" s="76"/>
    </row>
    <row r="1335" spans="1:52" x14ac:dyDescent="0.25">
      <c r="A1335" s="86">
        <v>27137</v>
      </c>
      <c r="B1335" s="87" t="s">
        <v>18</v>
      </c>
      <c r="C1335" s="87" t="s">
        <v>18</v>
      </c>
      <c r="D1335" s="87" t="s">
        <v>2643</v>
      </c>
      <c r="E1335" s="87" t="s">
        <v>2644</v>
      </c>
      <c r="F1335" s="87">
        <v>36.304753400000003</v>
      </c>
      <c r="G1335" s="87">
        <v>44.028186599999998</v>
      </c>
      <c r="H1335" s="86">
        <v>525</v>
      </c>
      <c r="I1335" s="86">
        <v>3150</v>
      </c>
      <c r="J1335" s="87">
        <v>300</v>
      </c>
      <c r="K1335" s="87"/>
      <c r="L1335" s="87">
        <v>45</v>
      </c>
      <c r="M1335" s="87"/>
      <c r="N1335" s="87"/>
      <c r="O1335" s="87"/>
      <c r="P1335" s="87"/>
      <c r="Q1335" s="87"/>
      <c r="R1335" s="87">
        <v>12</v>
      </c>
      <c r="S1335" s="87"/>
      <c r="T1335" s="87"/>
      <c r="U1335" s="87"/>
      <c r="V1335" s="87">
        <v>141</v>
      </c>
      <c r="W1335" s="87"/>
      <c r="X1335" s="87">
        <v>27</v>
      </c>
      <c r="Y1335" s="87"/>
      <c r="Z1335" s="87"/>
      <c r="AA1335" s="87"/>
      <c r="AB1335" s="87"/>
      <c r="AC1335" s="87"/>
      <c r="AD1335" s="87"/>
      <c r="AE1335" s="87"/>
      <c r="AF1335" s="87"/>
      <c r="AG1335" s="87"/>
      <c r="AH1335" s="87">
        <v>525</v>
      </c>
      <c r="AI1335" s="87"/>
      <c r="AJ1335" s="87"/>
      <c r="AK1335" s="87"/>
      <c r="AL1335" s="87"/>
      <c r="AM1335" s="87"/>
      <c r="AN1335" s="87">
        <v>15</v>
      </c>
      <c r="AO1335" s="87">
        <v>122</v>
      </c>
      <c r="AP1335" s="87">
        <v>10</v>
      </c>
      <c r="AQ1335" s="87">
        <v>38</v>
      </c>
      <c r="AR1335" s="87">
        <v>281</v>
      </c>
      <c r="AS1335" s="87">
        <v>15</v>
      </c>
      <c r="AT1335" s="87">
        <v>32</v>
      </c>
      <c r="AU1335" s="87">
        <v>12</v>
      </c>
      <c r="AV1335" s="87"/>
      <c r="AW1335" s="88" t="str">
        <f>HYPERLINK("http://www.openstreetmap.org/?mlat=36.3048&amp;mlon=44.0282&amp;zoom=12#map=12/36.3048/44.0282","Maplink1")</f>
        <v>Maplink1</v>
      </c>
      <c r="AX1335" s="88" t="str">
        <f>HYPERLINK("https://www.google.iq/maps/search/+36.3048,44.0282/@36.3048,44.0282,14z?hl=en","Maplink2")</f>
        <v>Maplink2</v>
      </c>
      <c r="AY1335" s="88" t="str">
        <f>HYPERLINK("http://www.bing.com/maps/?lvl=14&amp;sty=h&amp;cp=36.3048~44.0282&amp;sp=point.36.3048_44.0282","Maplink3")</f>
        <v>Maplink3</v>
      </c>
      <c r="AZ1335" s="76"/>
    </row>
    <row r="1336" spans="1:52" x14ac:dyDescent="0.25">
      <c r="A1336" s="86">
        <v>25471</v>
      </c>
      <c r="B1336" s="87" t="s">
        <v>18</v>
      </c>
      <c r="C1336" s="87" t="s">
        <v>18</v>
      </c>
      <c r="D1336" s="87" t="s">
        <v>2645</v>
      </c>
      <c r="E1336" s="87" t="s">
        <v>2646</v>
      </c>
      <c r="F1336" s="87">
        <v>36.209834000000001</v>
      </c>
      <c r="G1336" s="87">
        <v>44.115015999999997</v>
      </c>
      <c r="H1336" s="86">
        <v>180</v>
      </c>
      <c r="I1336" s="86">
        <v>1080</v>
      </c>
      <c r="J1336" s="87">
        <v>59</v>
      </c>
      <c r="K1336" s="87"/>
      <c r="L1336" s="87"/>
      <c r="M1336" s="87"/>
      <c r="N1336" s="87"/>
      <c r="O1336" s="87"/>
      <c r="P1336" s="87"/>
      <c r="Q1336" s="87"/>
      <c r="R1336" s="87">
        <v>35</v>
      </c>
      <c r="S1336" s="87"/>
      <c r="T1336" s="87"/>
      <c r="U1336" s="87"/>
      <c r="V1336" s="87">
        <v>69</v>
      </c>
      <c r="W1336" s="87"/>
      <c r="X1336" s="87">
        <v>17</v>
      </c>
      <c r="Y1336" s="87"/>
      <c r="Z1336" s="87"/>
      <c r="AA1336" s="87"/>
      <c r="AB1336" s="87"/>
      <c r="AC1336" s="87"/>
      <c r="AD1336" s="87"/>
      <c r="AE1336" s="87"/>
      <c r="AF1336" s="87"/>
      <c r="AG1336" s="87"/>
      <c r="AH1336" s="87">
        <v>180</v>
      </c>
      <c r="AI1336" s="87"/>
      <c r="AJ1336" s="87"/>
      <c r="AK1336" s="87"/>
      <c r="AL1336" s="87"/>
      <c r="AM1336" s="87"/>
      <c r="AN1336" s="87">
        <v>49</v>
      </c>
      <c r="AO1336" s="87">
        <v>47</v>
      </c>
      <c r="AP1336" s="87">
        <v>20</v>
      </c>
      <c r="AQ1336" s="87"/>
      <c r="AR1336" s="87">
        <v>10</v>
      </c>
      <c r="AS1336" s="87"/>
      <c r="AT1336" s="87">
        <v>19</v>
      </c>
      <c r="AU1336" s="87">
        <v>35</v>
      </c>
      <c r="AV1336" s="87"/>
      <c r="AW1336" s="88" t="str">
        <f>HYPERLINK("http://www.openstreetmap.org/?mlat=36.2098&amp;mlon=44.115&amp;zoom=12#map=12/36.2098/44.115","Maplink1")</f>
        <v>Maplink1</v>
      </c>
      <c r="AX1336" s="88" t="str">
        <f>HYPERLINK("https://www.google.iq/maps/search/+36.2098,44.115/@36.2098,44.115,14z?hl=en","Maplink2")</f>
        <v>Maplink2</v>
      </c>
      <c r="AY1336" s="88" t="str">
        <f>HYPERLINK("http://www.bing.com/maps/?lvl=14&amp;sty=h&amp;cp=36.2098~44.115&amp;sp=point.36.2098_44.115","Maplink3")</f>
        <v>Maplink3</v>
      </c>
      <c r="AZ1336" s="76"/>
    </row>
    <row r="1337" spans="1:52" x14ac:dyDescent="0.25">
      <c r="A1337" s="86">
        <v>27153</v>
      </c>
      <c r="B1337" s="87" t="s">
        <v>18</v>
      </c>
      <c r="C1337" s="87" t="s">
        <v>18</v>
      </c>
      <c r="D1337" s="87" t="s">
        <v>2647</v>
      </c>
      <c r="E1337" s="87" t="s">
        <v>2648</v>
      </c>
      <c r="F1337" s="87">
        <v>36.262774299999997</v>
      </c>
      <c r="G1337" s="87">
        <v>43.994216780000002</v>
      </c>
      <c r="H1337" s="86">
        <v>26</v>
      </c>
      <c r="I1337" s="86">
        <v>156</v>
      </c>
      <c r="J1337" s="87"/>
      <c r="K1337" s="87"/>
      <c r="L1337" s="87"/>
      <c r="M1337" s="87"/>
      <c r="N1337" s="87"/>
      <c r="O1337" s="87"/>
      <c r="P1337" s="87"/>
      <c r="Q1337" s="87"/>
      <c r="R1337" s="87"/>
      <c r="S1337" s="87"/>
      <c r="T1337" s="87"/>
      <c r="U1337" s="87"/>
      <c r="V1337" s="87">
        <v>26</v>
      </c>
      <c r="W1337" s="87"/>
      <c r="X1337" s="87"/>
      <c r="Y1337" s="87"/>
      <c r="Z1337" s="87"/>
      <c r="AA1337" s="87"/>
      <c r="AB1337" s="87"/>
      <c r="AC1337" s="87"/>
      <c r="AD1337" s="87"/>
      <c r="AE1337" s="87"/>
      <c r="AF1337" s="87"/>
      <c r="AG1337" s="87"/>
      <c r="AH1337" s="87">
        <v>26</v>
      </c>
      <c r="AI1337" s="87"/>
      <c r="AJ1337" s="87"/>
      <c r="AK1337" s="87"/>
      <c r="AL1337" s="87"/>
      <c r="AM1337" s="87"/>
      <c r="AN1337" s="87"/>
      <c r="AO1337" s="87">
        <v>26</v>
      </c>
      <c r="AP1337" s="87"/>
      <c r="AQ1337" s="87"/>
      <c r="AR1337" s="87"/>
      <c r="AS1337" s="87"/>
      <c r="AT1337" s="87"/>
      <c r="AU1337" s="87"/>
      <c r="AV1337" s="87"/>
      <c r="AW1337" s="88" t="str">
        <f>HYPERLINK("http://www.openstreetmap.org/?mlat=36.2628&amp;mlon=43.9942&amp;zoom=12#map=12/36.2628/43.9942","Maplink1")</f>
        <v>Maplink1</v>
      </c>
      <c r="AX1337" s="88" t="str">
        <f>HYPERLINK("https://www.google.iq/maps/search/+36.2628,43.9942/@36.2628,43.9942,14z?hl=en","Maplink2")</f>
        <v>Maplink2</v>
      </c>
      <c r="AY1337" s="88" t="str">
        <f>HYPERLINK("http://www.bing.com/maps/?lvl=14&amp;sty=h&amp;cp=36.2628~43.9942&amp;sp=point.36.2628_43.9942","Maplink3")</f>
        <v>Maplink3</v>
      </c>
      <c r="AZ1337" s="76"/>
    </row>
    <row r="1338" spans="1:52" x14ac:dyDescent="0.25">
      <c r="A1338" s="86">
        <v>25726</v>
      </c>
      <c r="B1338" s="87" t="s">
        <v>18</v>
      </c>
      <c r="C1338" s="87" t="s">
        <v>18</v>
      </c>
      <c r="D1338" s="87" t="s">
        <v>2649</v>
      </c>
      <c r="E1338" s="87" t="s">
        <v>2650</v>
      </c>
      <c r="F1338" s="87">
        <v>36.155135999999999</v>
      </c>
      <c r="G1338" s="87">
        <v>44.1032917291</v>
      </c>
      <c r="H1338" s="86">
        <v>361</v>
      </c>
      <c r="I1338" s="86">
        <v>2166</v>
      </c>
      <c r="J1338" s="87">
        <v>48</v>
      </c>
      <c r="K1338" s="87"/>
      <c r="L1338" s="87"/>
      <c r="M1338" s="87"/>
      <c r="N1338" s="87"/>
      <c r="O1338" s="87"/>
      <c r="P1338" s="87"/>
      <c r="Q1338" s="87"/>
      <c r="R1338" s="87">
        <v>215</v>
      </c>
      <c r="S1338" s="87"/>
      <c r="T1338" s="87"/>
      <c r="U1338" s="87"/>
      <c r="V1338" s="87">
        <v>65</v>
      </c>
      <c r="W1338" s="87"/>
      <c r="X1338" s="87">
        <v>33</v>
      </c>
      <c r="Y1338" s="87"/>
      <c r="Z1338" s="87"/>
      <c r="AA1338" s="87"/>
      <c r="AB1338" s="87"/>
      <c r="AC1338" s="87">
        <v>5</v>
      </c>
      <c r="AD1338" s="87"/>
      <c r="AE1338" s="87"/>
      <c r="AF1338" s="87"/>
      <c r="AG1338" s="87"/>
      <c r="AH1338" s="87">
        <v>356</v>
      </c>
      <c r="AI1338" s="87"/>
      <c r="AJ1338" s="87"/>
      <c r="AK1338" s="87"/>
      <c r="AL1338" s="87"/>
      <c r="AM1338" s="87"/>
      <c r="AN1338" s="87">
        <v>40</v>
      </c>
      <c r="AO1338" s="87">
        <v>54</v>
      </c>
      <c r="AP1338" s="87"/>
      <c r="AQ1338" s="87"/>
      <c r="AR1338" s="87">
        <v>8</v>
      </c>
      <c r="AS1338" s="87"/>
      <c r="AT1338" s="87">
        <v>44</v>
      </c>
      <c r="AU1338" s="87">
        <v>215</v>
      </c>
      <c r="AV1338" s="87"/>
      <c r="AW1338" s="88" t="str">
        <f>HYPERLINK("http://www.openstreetmap.org/?mlat=36.1551&amp;mlon=44.1033&amp;zoom=12#map=12/36.1551/44.1033","Maplink1")</f>
        <v>Maplink1</v>
      </c>
      <c r="AX1338" s="88" t="str">
        <f>HYPERLINK("https://www.google.iq/maps/search/+36.1551,44.1033/@36.1551,44.1033,14z?hl=en","Maplink2")</f>
        <v>Maplink2</v>
      </c>
      <c r="AY1338" s="88" t="str">
        <f>HYPERLINK("http://www.bing.com/maps/?lvl=14&amp;sty=h&amp;cp=36.1551~44.1033&amp;sp=point.36.1551_44.1033","Maplink3")</f>
        <v>Maplink3</v>
      </c>
      <c r="AZ1338" s="76"/>
    </row>
    <row r="1339" spans="1:52" x14ac:dyDescent="0.25">
      <c r="A1339" s="86">
        <v>27145</v>
      </c>
      <c r="B1339" s="87" t="s">
        <v>18</v>
      </c>
      <c r="C1339" s="87" t="s">
        <v>18</v>
      </c>
      <c r="D1339" s="87" t="s">
        <v>2651</v>
      </c>
      <c r="E1339" s="87" t="s">
        <v>2652</v>
      </c>
      <c r="F1339" s="87">
        <v>36.125099800000001</v>
      </c>
      <c r="G1339" s="87">
        <v>44.043770100000003</v>
      </c>
      <c r="H1339" s="86">
        <v>100</v>
      </c>
      <c r="I1339" s="86">
        <v>600</v>
      </c>
      <c r="J1339" s="87">
        <v>15</v>
      </c>
      <c r="K1339" s="87"/>
      <c r="L1339" s="87"/>
      <c r="M1339" s="87"/>
      <c r="N1339" s="87"/>
      <c r="O1339" s="87"/>
      <c r="P1339" s="87"/>
      <c r="Q1339" s="87"/>
      <c r="R1339" s="87"/>
      <c r="S1339" s="87"/>
      <c r="T1339" s="87"/>
      <c r="U1339" s="87"/>
      <c r="V1339" s="87">
        <v>85</v>
      </c>
      <c r="W1339" s="87"/>
      <c r="X1339" s="87"/>
      <c r="Y1339" s="87"/>
      <c r="Z1339" s="87"/>
      <c r="AA1339" s="87"/>
      <c r="AB1339" s="87"/>
      <c r="AC1339" s="87"/>
      <c r="AD1339" s="87"/>
      <c r="AE1339" s="87"/>
      <c r="AF1339" s="87"/>
      <c r="AG1339" s="87"/>
      <c r="AH1339" s="87">
        <v>100</v>
      </c>
      <c r="AI1339" s="87"/>
      <c r="AJ1339" s="87"/>
      <c r="AK1339" s="87"/>
      <c r="AL1339" s="87"/>
      <c r="AM1339" s="87"/>
      <c r="AN1339" s="87">
        <v>5</v>
      </c>
      <c r="AO1339" s="87">
        <v>15</v>
      </c>
      <c r="AP1339" s="87"/>
      <c r="AQ1339" s="87"/>
      <c r="AR1339" s="87">
        <v>10</v>
      </c>
      <c r="AS1339" s="87"/>
      <c r="AT1339" s="87">
        <v>70</v>
      </c>
      <c r="AU1339" s="87"/>
      <c r="AV1339" s="87"/>
      <c r="AW1339" s="88" t="str">
        <f>HYPERLINK("http://www.openstreetmap.org/?mlat=36.1251&amp;mlon=44.0438&amp;zoom=12#map=12/36.1251/44.0438","Maplink1")</f>
        <v>Maplink1</v>
      </c>
      <c r="AX1339" s="88" t="str">
        <f>HYPERLINK("https://www.google.iq/maps/search/+36.1251,44.0438/@36.1251,44.0438,14z?hl=en","Maplink2")</f>
        <v>Maplink2</v>
      </c>
      <c r="AY1339" s="88" t="str">
        <f>HYPERLINK("http://www.bing.com/maps/?lvl=14&amp;sty=h&amp;cp=36.1251~44.0438&amp;sp=point.36.1251_44.0438","Maplink3")</f>
        <v>Maplink3</v>
      </c>
      <c r="AZ1339" s="76"/>
    </row>
    <row r="1340" spans="1:52" x14ac:dyDescent="0.25">
      <c r="A1340" s="86">
        <v>27140</v>
      </c>
      <c r="B1340" s="87" t="s">
        <v>18</v>
      </c>
      <c r="C1340" s="87" t="s">
        <v>18</v>
      </c>
      <c r="D1340" s="87" t="s">
        <v>2653</v>
      </c>
      <c r="E1340" s="87" t="s">
        <v>2654</v>
      </c>
      <c r="F1340" s="87">
        <v>36.117506200000001</v>
      </c>
      <c r="G1340" s="87">
        <v>44.069950900000002</v>
      </c>
      <c r="H1340" s="86">
        <v>100</v>
      </c>
      <c r="I1340" s="86">
        <v>600</v>
      </c>
      <c r="J1340" s="87">
        <v>7</v>
      </c>
      <c r="K1340" s="87"/>
      <c r="L1340" s="87"/>
      <c r="M1340" s="87"/>
      <c r="N1340" s="87"/>
      <c r="O1340" s="87"/>
      <c r="P1340" s="87"/>
      <c r="Q1340" s="87"/>
      <c r="R1340" s="87">
        <v>20</v>
      </c>
      <c r="S1340" s="87"/>
      <c r="T1340" s="87"/>
      <c r="U1340" s="87"/>
      <c r="V1340" s="87">
        <v>58</v>
      </c>
      <c r="W1340" s="87"/>
      <c r="X1340" s="87">
        <v>15</v>
      </c>
      <c r="Y1340" s="87"/>
      <c r="Z1340" s="87"/>
      <c r="AA1340" s="87"/>
      <c r="AB1340" s="87"/>
      <c r="AC1340" s="87"/>
      <c r="AD1340" s="87"/>
      <c r="AE1340" s="87"/>
      <c r="AF1340" s="87"/>
      <c r="AG1340" s="87"/>
      <c r="AH1340" s="87">
        <v>100</v>
      </c>
      <c r="AI1340" s="87"/>
      <c r="AJ1340" s="87"/>
      <c r="AK1340" s="87"/>
      <c r="AL1340" s="87"/>
      <c r="AM1340" s="87"/>
      <c r="AN1340" s="87"/>
      <c r="AO1340" s="87">
        <v>48</v>
      </c>
      <c r="AP1340" s="87">
        <v>15</v>
      </c>
      <c r="AQ1340" s="87"/>
      <c r="AR1340" s="87">
        <v>7</v>
      </c>
      <c r="AS1340" s="87"/>
      <c r="AT1340" s="87">
        <v>10</v>
      </c>
      <c r="AU1340" s="87">
        <v>20</v>
      </c>
      <c r="AV1340" s="87"/>
      <c r="AW1340" s="88" t="str">
        <f>HYPERLINK("http://www.openstreetmap.org/?mlat=36.1175&amp;mlon=44.07&amp;zoom=12#map=12/36.1175/44.07","Maplink1")</f>
        <v>Maplink1</v>
      </c>
      <c r="AX1340" s="88" t="str">
        <f>HYPERLINK("https://www.google.iq/maps/search/+36.1175,44.07/@36.1175,44.07,14z?hl=en","Maplink2")</f>
        <v>Maplink2</v>
      </c>
      <c r="AY1340" s="88" t="str">
        <f>HYPERLINK("http://www.bing.com/maps/?lvl=14&amp;sty=h&amp;cp=36.1175~44.07&amp;sp=point.36.1175_44.07","Maplink3")</f>
        <v>Maplink3</v>
      </c>
      <c r="AZ1340" s="76"/>
    </row>
    <row r="1341" spans="1:52" x14ac:dyDescent="0.25">
      <c r="A1341" s="86">
        <v>21669</v>
      </c>
      <c r="B1341" s="87" t="s">
        <v>18</v>
      </c>
      <c r="C1341" s="87" t="s">
        <v>18</v>
      </c>
      <c r="D1341" s="87" t="s">
        <v>2655</v>
      </c>
      <c r="E1341" s="87" t="s">
        <v>2656</v>
      </c>
      <c r="F1341" s="87">
        <v>36.115109099999998</v>
      </c>
      <c r="G1341" s="87">
        <v>44.079953664100003</v>
      </c>
      <c r="H1341" s="86">
        <v>354</v>
      </c>
      <c r="I1341" s="86">
        <v>2124</v>
      </c>
      <c r="J1341" s="87">
        <v>114</v>
      </c>
      <c r="K1341" s="87"/>
      <c r="L1341" s="87"/>
      <c r="M1341" s="87"/>
      <c r="N1341" s="87"/>
      <c r="O1341" s="87"/>
      <c r="P1341" s="87"/>
      <c r="Q1341" s="87"/>
      <c r="R1341" s="87">
        <v>30</v>
      </c>
      <c r="S1341" s="87"/>
      <c r="T1341" s="87"/>
      <c r="U1341" s="87"/>
      <c r="V1341" s="87">
        <v>100</v>
      </c>
      <c r="W1341" s="87"/>
      <c r="X1341" s="87">
        <v>110</v>
      </c>
      <c r="Y1341" s="87"/>
      <c r="Z1341" s="87"/>
      <c r="AA1341" s="87"/>
      <c r="AB1341" s="87"/>
      <c r="AC1341" s="87"/>
      <c r="AD1341" s="87"/>
      <c r="AE1341" s="87"/>
      <c r="AF1341" s="87"/>
      <c r="AG1341" s="87"/>
      <c r="AH1341" s="87">
        <v>354</v>
      </c>
      <c r="AI1341" s="87"/>
      <c r="AJ1341" s="87"/>
      <c r="AK1341" s="87"/>
      <c r="AL1341" s="87"/>
      <c r="AM1341" s="87"/>
      <c r="AN1341" s="87">
        <v>20</v>
      </c>
      <c r="AO1341" s="87">
        <v>140</v>
      </c>
      <c r="AP1341" s="87">
        <v>15</v>
      </c>
      <c r="AQ1341" s="87"/>
      <c r="AR1341" s="87">
        <v>94</v>
      </c>
      <c r="AS1341" s="87"/>
      <c r="AT1341" s="87">
        <v>55</v>
      </c>
      <c r="AU1341" s="87">
        <v>30</v>
      </c>
      <c r="AV1341" s="87"/>
      <c r="AW1341" s="88" t="str">
        <f>HYPERLINK("http://www.openstreetmap.org/?mlat=36.1151&amp;mlon=44.08&amp;zoom=12#map=12/36.1151/44.08","Maplink1")</f>
        <v>Maplink1</v>
      </c>
      <c r="AX1341" s="88" t="str">
        <f>HYPERLINK("https://www.google.iq/maps/search/+36.1151,44.08/@36.1151,44.08,14z?hl=en","Maplink2")</f>
        <v>Maplink2</v>
      </c>
      <c r="AY1341" s="88" t="str">
        <f>HYPERLINK("http://www.bing.com/maps/?lvl=14&amp;sty=h&amp;cp=36.1151~44.08&amp;sp=point.36.1151_44.08","Maplink3")</f>
        <v>Maplink3</v>
      </c>
      <c r="AZ1341" s="76"/>
    </row>
    <row r="1342" spans="1:52" x14ac:dyDescent="0.25">
      <c r="A1342" s="86">
        <v>33152</v>
      </c>
      <c r="B1342" s="87" t="s">
        <v>18</v>
      </c>
      <c r="C1342" s="87" t="s">
        <v>18</v>
      </c>
      <c r="D1342" s="87" t="s">
        <v>2657</v>
      </c>
      <c r="E1342" s="87" t="s">
        <v>2658</v>
      </c>
      <c r="F1342" s="87">
        <v>36.218896200000003</v>
      </c>
      <c r="G1342" s="87">
        <v>44.1396503</v>
      </c>
      <c r="H1342" s="86">
        <v>45</v>
      </c>
      <c r="I1342" s="86">
        <v>270</v>
      </c>
      <c r="J1342" s="87"/>
      <c r="K1342" s="87"/>
      <c r="L1342" s="87"/>
      <c r="M1342" s="87"/>
      <c r="N1342" s="87"/>
      <c r="O1342" s="87"/>
      <c r="P1342" s="87"/>
      <c r="Q1342" s="87"/>
      <c r="R1342" s="87">
        <v>45</v>
      </c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87"/>
      <c r="AE1342" s="87"/>
      <c r="AF1342" s="87"/>
      <c r="AG1342" s="87"/>
      <c r="AH1342" s="87"/>
      <c r="AI1342" s="87"/>
      <c r="AJ1342" s="87"/>
      <c r="AK1342" s="87">
        <v>45</v>
      </c>
      <c r="AL1342" s="87"/>
      <c r="AM1342" s="87"/>
      <c r="AN1342" s="87"/>
      <c r="AO1342" s="87"/>
      <c r="AP1342" s="87"/>
      <c r="AQ1342" s="87"/>
      <c r="AR1342" s="87"/>
      <c r="AS1342" s="87"/>
      <c r="AT1342" s="87"/>
      <c r="AU1342" s="87">
        <v>45</v>
      </c>
      <c r="AV1342" s="87"/>
      <c r="AW1342" s="88" t="str">
        <f>HYPERLINK("http://www.openstreetmap.org/?mlat=36.2189&amp;mlon=44.1397&amp;zoom=12#map=12/36.2189/44.1397","Maplink1")</f>
        <v>Maplink1</v>
      </c>
      <c r="AX1342" s="88" t="str">
        <f>HYPERLINK("https://www.google.iq/maps/search/+36.2189,44.1397/@36.2189,44.1397,14z?hl=en","Maplink2")</f>
        <v>Maplink2</v>
      </c>
      <c r="AY1342" s="88" t="str">
        <f>HYPERLINK("http://www.bing.com/maps/?lvl=14&amp;sty=h&amp;cp=36.2189~44.1397&amp;sp=point.36.2189_44.1397","Maplink3")</f>
        <v>Maplink3</v>
      </c>
      <c r="AZ1342" s="76"/>
    </row>
    <row r="1343" spans="1:52" x14ac:dyDescent="0.25">
      <c r="A1343" s="86">
        <v>13203</v>
      </c>
      <c r="B1343" s="87" t="s">
        <v>18</v>
      </c>
      <c r="C1343" s="87" t="s">
        <v>18</v>
      </c>
      <c r="D1343" s="87" t="s">
        <v>2659</v>
      </c>
      <c r="E1343" s="87" t="s">
        <v>2660</v>
      </c>
      <c r="F1343" s="87">
        <v>36.021991914399997</v>
      </c>
      <c r="G1343" s="87">
        <v>43.911521200000003</v>
      </c>
      <c r="H1343" s="86">
        <v>695</v>
      </c>
      <c r="I1343" s="86">
        <v>4170</v>
      </c>
      <c r="J1343" s="87">
        <v>360</v>
      </c>
      <c r="K1343" s="87"/>
      <c r="L1343" s="87"/>
      <c r="M1343" s="87"/>
      <c r="N1343" s="87"/>
      <c r="O1343" s="87"/>
      <c r="P1343" s="87">
        <v>195</v>
      </c>
      <c r="Q1343" s="87"/>
      <c r="R1343" s="87">
        <v>10</v>
      </c>
      <c r="S1343" s="87"/>
      <c r="T1343" s="87"/>
      <c r="U1343" s="87"/>
      <c r="V1343" s="87">
        <v>70</v>
      </c>
      <c r="W1343" s="87"/>
      <c r="X1343" s="87">
        <v>60</v>
      </c>
      <c r="Y1343" s="87"/>
      <c r="Z1343" s="87"/>
      <c r="AA1343" s="87"/>
      <c r="AB1343" s="87"/>
      <c r="AC1343" s="87"/>
      <c r="AD1343" s="87"/>
      <c r="AE1343" s="87"/>
      <c r="AF1343" s="87"/>
      <c r="AG1343" s="87"/>
      <c r="AH1343" s="87">
        <v>695</v>
      </c>
      <c r="AI1343" s="87"/>
      <c r="AJ1343" s="87"/>
      <c r="AK1343" s="87"/>
      <c r="AL1343" s="87"/>
      <c r="AM1343" s="87"/>
      <c r="AN1343" s="87">
        <v>250</v>
      </c>
      <c r="AO1343" s="87">
        <v>65</v>
      </c>
      <c r="AP1343" s="87">
        <v>15</v>
      </c>
      <c r="AQ1343" s="87"/>
      <c r="AR1343" s="87">
        <v>99</v>
      </c>
      <c r="AS1343" s="87">
        <v>5</v>
      </c>
      <c r="AT1343" s="87">
        <v>50</v>
      </c>
      <c r="AU1343" s="87">
        <v>211</v>
      </c>
      <c r="AV1343" s="87"/>
      <c r="AW1343" s="88" t="str">
        <f>HYPERLINK("http://www.openstreetmap.org/?mlat=36.022&amp;mlon=43.9115&amp;zoom=12#map=12/36.022/43.9115","Maplink1")</f>
        <v>Maplink1</v>
      </c>
      <c r="AX1343" s="88" t="str">
        <f>HYPERLINK("https://www.google.iq/maps/search/+36.022,43.9115/@36.022,43.9115,14z?hl=en","Maplink2")</f>
        <v>Maplink2</v>
      </c>
      <c r="AY1343" s="88" t="str">
        <f>HYPERLINK("http://www.bing.com/maps/?lvl=14&amp;sty=h&amp;cp=36.022~43.9115&amp;sp=point.36.022_43.9115","Maplink3")</f>
        <v>Maplink3</v>
      </c>
      <c r="AZ1343" s="76"/>
    </row>
    <row r="1344" spans="1:52" x14ac:dyDescent="0.25">
      <c r="A1344" s="86">
        <v>24419</v>
      </c>
      <c r="B1344" s="87" t="s">
        <v>18</v>
      </c>
      <c r="C1344" s="87" t="s">
        <v>18</v>
      </c>
      <c r="D1344" s="87" t="s">
        <v>2661</v>
      </c>
      <c r="E1344" s="87" t="s">
        <v>2662</v>
      </c>
      <c r="F1344" s="87">
        <v>36.288822528200001</v>
      </c>
      <c r="G1344" s="87">
        <v>44.0348909999</v>
      </c>
      <c r="H1344" s="86">
        <v>333</v>
      </c>
      <c r="I1344" s="86">
        <v>1998</v>
      </c>
      <c r="J1344" s="87">
        <v>55</v>
      </c>
      <c r="K1344" s="87"/>
      <c r="L1344" s="87"/>
      <c r="M1344" s="87"/>
      <c r="N1344" s="87"/>
      <c r="O1344" s="87"/>
      <c r="P1344" s="87"/>
      <c r="Q1344" s="87"/>
      <c r="R1344" s="87"/>
      <c r="S1344" s="87"/>
      <c r="T1344" s="87"/>
      <c r="U1344" s="87"/>
      <c r="V1344" s="87">
        <v>190</v>
      </c>
      <c r="W1344" s="87"/>
      <c r="X1344" s="87">
        <v>88</v>
      </c>
      <c r="Y1344" s="87"/>
      <c r="Z1344" s="87"/>
      <c r="AA1344" s="87"/>
      <c r="AB1344" s="87"/>
      <c r="AC1344" s="87"/>
      <c r="AD1344" s="87"/>
      <c r="AE1344" s="87"/>
      <c r="AF1344" s="87"/>
      <c r="AG1344" s="87"/>
      <c r="AH1344" s="87">
        <v>333</v>
      </c>
      <c r="AI1344" s="87"/>
      <c r="AJ1344" s="87"/>
      <c r="AK1344" s="87"/>
      <c r="AL1344" s="87"/>
      <c r="AM1344" s="87"/>
      <c r="AN1344" s="87">
        <v>35</v>
      </c>
      <c r="AO1344" s="87">
        <v>258</v>
      </c>
      <c r="AP1344" s="87">
        <v>10</v>
      </c>
      <c r="AQ1344" s="87"/>
      <c r="AR1344" s="87">
        <v>15</v>
      </c>
      <c r="AS1344" s="87">
        <v>10</v>
      </c>
      <c r="AT1344" s="87">
        <v>5</v>
      </c>
      <c r="AU1344" s="87"/>
      <c r="AV1344" s="87"/>
      <c r="AW1344" s="88" t="str">
        <f>HYPERLINK("http://www.openstreetmap.org/?mlat=36.2888&amp;mlon=44.0349&amp;zoom=12#map=12/36.2888/44.0349","Maplink1")</f>
        <v>Maplink1</v>
      </c>
      <c r="AX1344" s="88" t="str">
        <f>HYPERLINK("https://www.google.iq/maps/search/+36.2888,44.0349/@36.2888,44.0349,14z?hl=en","Maplink2")</f>
        <v>Maplink2</v>
      </c>
      <c r="AY1344" s="88" t="str">
        <f>HYPERLINK("http://www.bing.com/maps/?lvl=14&amp;sty=h&amp;cp=36.2888~44.0349&amp;sp=point.36.2888_44.0349","Maplink3")</f>
        <v>Maplink3</v>
      </c>
      <c r="AZ1344" s="76"/>
    </row>
    <row r="1345" spans="1:52" x14ac:dyDescent="0.25">
      <c r="A1345" s="86">
        <v>24909</v>
      </c>
      <c r="B1345" s="87" t="s">
        <v>18</v>
      </c>
      <c r="C1345" s="87" t="s">
        <v>18</v>
      </c>
      <c r="D1345" s="87" t="s">
        <v>2663</v>
      </c>
      <c r="E1345" s="87" t="s">
        <v>2664</v>
      </c>
      <c r="F1345" s="87">
        <v>36.2795931892</v>
      </c>
      <c r="G1345" s="87">
        <v>43.934496727899997</v>
      </c>
      <c r="H1345" s="86">
        <v>210</v>
      </c>
      <c r="I1345" s="86">
        <v>1260</v>
      </c>
      <c r="J1345" s="87">
        <v>30</v>
      </c>
      <c r="K1345" s="87"/>
      <c r="L1345" s="87"/>
      <c r="M1345" s="87"/>
      <c r="N1345" s="87"/>
      <c r="O1345" s="87"/>
      <c r="P1345" s="87"/>
      <c r="Q1345" s="87"/>
      <c r="R1345" s="87">
        <v>10</v>
      </c>
      <c r="S1345" s="87"/>
      <c r="T1345" s="87"/>
      <c r="U1345" s="87"/>
      <c r="V1345" s="87">
        <v>160</v>
      </c>
      <c r="W1345" s="87"/>
      <c r="X1345" s="87">
        <v>10</v>
      </c>
      <c r="Y1345" s="87"/>
      <c r="Z1345" s="87"/>
      <c r="AA1345" s="87"/>
      <c r="AB1345" s="87"/>
      <c r="AC1345" s="87"/>
      <c r="AD1345" s="87"/>
      <c r="AE1345" s="87"/>
      <c r="AF1345" s="87"/>
      <c r="AG1345" s="87"/>
      <c r="AH1345" s="87">
        <v>210</v>
      </c>
      <c r="AI1345" s="87"/>
      <c r="AJ1345" s="87"/>
      <c r="AK1345" s="87"/>
      <c r="AL1345" s="87"/>
      <c r="AM1345" s="87"/>
      <c r="AN1345" s="87">
        <v>5</v>
      </c>
      <c r="AO1345" s="87">
        <v>130</v>
      </c>
      <c r="AP1345" s="87">
        <v>10</v>
      </c>
      <c r="AQ1345" s="87"/>
      <c r="AR1345" s="87">
        <v>25</v>
      </c>
      <c r="AS1345" s="87"/>
      <c r="AT1345" s="87">
        <v>30</v>
      </c>
      <c r="AU1345" s="87">
        <v>10</v>
      </c>
      <c r="AV1345" s="87"/>
      <c r="AW1345" s="88" t="str">
        <f>HYPERLINK("http://www.openstreetmap.org/?mlat=36.2796&amp;mlon=43.9345&amp;zoom=12#map=12/36.2796/43.9345","Maplink1")</f>
        <v>Maplink1</v>
      </c>
      <c r="AX1345" s="88" t="str">
        <f>HYPERLINK("https://www.google.iq/maps/search/+36.2796,43.9345/@36.2796,43.9345,14z?hl=en","Maplink2")</f>
        <v>Maplink2</v>
      </c>
      <c r="AY1345" s="88" t="str">
        <f>HYPERLINK("http://www.bing.com/maps/?lvl=14&amp;sty=h&amp;cp=36.2796~43.9345&amp;sp=point.36.2796_43.9345","Maplink3")</f>
        <v>Maplink3</v>
      </c>
      <c r="AZ1345" s="76"/>
    </row>
    <row r="1346" spans="1:52" x14ac:dyDescent="0.25">
      <c r="A1346" s="86">
        <v>33879</v>
      </c>
      <c r="B1346" s="87" t="s">
        <v>18</v>
      </c>
      <c r="C1346" s="87" t="s">
        <v>18</v>
      </c>
      <c r="D1346" s="87" t="s">
        <v>5898</v>
      </c>
      <c r="E1346" s="87" t="s">
        <v>5899</v>
      </c>
      <c r="F1346" s="87">
        <v>36.120848000000002</v>
      </c>
      <c r="G1346" s="87">
        <v>43.970793999999998</v>
      </c>
      <c r="H1346" s="86">
        <v>153</v>
      </c>
      <c r="I1346" s="86">
        <v>918</v>
      </c>
      <c r="J1346" s="87">
        <v>35</v>
      </c>
      <c r="K1346" s="87"/>
      <c r="L1346" s="87">
        <v>5</v>
      </c>
      <c r="M1346" s="87"/>
      <c r="N1346" s="87"/>
      <c r="O1346" s="87">
        <v>5</v>
      </c>
      <c r="P1346" s="87"/>
      <c r="Q1346" s="87"/>
      <c r="R1346" s="87"/>
      <c r="S1346" s="87"/>
      <c r="T1346" s="87"/>
      <c r="U1346" s="87"/>
      <c r="V1346" s="87">
        <v>93</v>
      </c>
      <c r="W1346" s="87"/>
      <c r="X1346" s="87">
        <v>15</v>
      </c>
      <c r="Y1346" s="87"/>
      <c r="Z1346" s="87"/>
      <c r="AA1346" s="87"/>
      <c r="AB1346" s="87"/>
      <c r="AC1346" s="87"/>
      <c r="AD1346" s="87"/>
      <c r="AE1346" s="87"/>
      <c r="AF1346" s="87"/>
      <c r="AG1346" s="87"/>
      <c r="AH1346" s="87">
        <v>153</v>
      </c>
      <c r="AI1346" s="87"/>
      <c r="AJ1346" s="87"/>
      <c r="AK1346" s="87"/>
      <c r="AL1346" s="87"/>
      <c r="AM1346" s="87"/>
      <c r="AN1346" s="87">
        <v>15</v>
      </c>
      <c r="AO1346" s="87">
        <v>15</v>
      </c>
      <c r="AP1346" s="87"/>
      <c r="AQ1346" s="87">
        <v>5</v>
      </c>
      <c r="AR1346" s="87">
        <v>25</v>
      </c>
      <c r="AS1346" s="87"/>
      <c r="AT1346" s="87">
        <v>93</v>
      </c>
      <c r="AU1346" s="87"/>
      <c r="AV1346" s="87"/>
      <c r="AW1346" s="88" t="str">
        <f>HYPERLINK("http://www.openstreetmap.org/?mlat=36.1208&amp;mlon=43.9708&amp;zoom=12#map=12/36.1208/43.9708","Maplink1")</f>
        <v>Maplink1</v>
      </c>
      <c r="AX1346" s="88" t="str">
        <f>HYPERLINK("https://www.google.iq/maps/search/+36.1208,43.9708/@36.1208,43.9708,14z?hl=en","Maplink2")</f>
        <v>Maplink2</v>
      </c>
      <c r="AY1346" s="88" t="str">
        <f>HYPERLINK("http://www.bing.com/maps/?lvl=14&amp;sty=h&amp;cp=36.1208~43.9708&amp;sp=point.36.1208_43.9708","Maplink3")</f>
        <v>Maplink3</v>
      </c>
      <c r="AZ1346" s="76"/>
    </row>
    <row r="1347" spans="1:52" x14ac:dyDescent="0.25">
      <c r="A1347" s="86">
        <v>33877</v>
      </c>
      <c r="B1347" s="87" t="s">
        <v>18</v>
      </c>
      <c r="C1347" s="87" t="s">
        <v>18</v>
      </c>
      <c r="D1347" s="87" t="s">
        <v>5900</v>
      </c>
      <c r="E1347" s="87" t="s">
        <v>5901</v>
      </c>
      <c r="F1347" s="87">
        <v>35.9945922</v>
      </c>
      <c r="G1347" s="87">
        <v>44.033348500000002</v>
      </c>
      <c r="H1347" s="86">
        <v>1469</v>
      </c>
      <c r="I1347" s="86">
        <v>8814</v>
      </c>
      <c r="J1347" s="87">
        <v>231</v>
      </c>
      <c r="K1347" s="87"/>
      <c r="L1347" s="87">
        <v>10</v>
      </c>
      <c r="M1347" s="87"/>
      <c r="N1347" s="87"/>
      <c r="O1347" s="87">
        <v>3</v>
      </c>
      <c r="P1347" s="87"/>
      <c r="Q1347" s="87"/>
      <c r="R1347" s="87">
        <v>19</v>
      </c>
      <c r="S1347" s="87"/>
      <c r="T1347" s="87"/>
      <c r="U1347" s="87"/>
      <c r="V1347" s="87">
        <v>1151</v>
      </c>
      <c r="W1347" s="87"/>
      <c r="X1347" s="87">
        <v>55</v>
      </c>
      <c r="Y1347" s="87"/>
      <c r="Z1347" s="87"/>
      <c r="AA1347" s="87"/>
      <c r="AB1347" s="87"/>
      <c r="AC1347" s="87"/>
      <c r="AD1347" s="87"/>
      <c r="AE1347" s="87"/>
      <c r="AF1347" s="87"/>
      <c r="AG1347" s="87"/>
      <c r="AH1347" s="87">
        <v>1469</v>
      </c>
      <c r="AI1347" s="87"/>
      <c r="AJ1347" s="87"/>
      <c r="AK1347" s="87"/>
      <c r="AL1347" s="87"/>
      <c r="AM1347" s="87"/>
      <c r="AN1347" s="87">
        <v>34</v>
      </c>
      <c r="AO1347" s="87">
        <v>306</v>
      </c>
      <c r="AP1347" s="87"/>
      <c r="AQ1347" s="87">
        <v>10</v>
      </c>
      <c r="AR1347" s="87">
        <v>200</v>
      </c>
      <c r="AS1347" s="87"/>
      <c r="AT1347" s="87">
        <v>900</v>
      </c>
      <c r="AU1347" s="87">
        <v>19</v>
      </c>
      <c r="AV1347" s="87"/>
      <c r="AW1347" s="88" t="str">
        <f>HYPERLINK("http://www.openstreetmap.org/?mlat=35.9946&amp;mlon=44.0333&amp;zoom=12#map=12/35.9946/44.0333","Maplink1")</f>
        <v>Maplink1</v>
      </c>
      <c r="AX1347" s="88" t="str">
        <f>HYPERLINK("https://www.google.iq/maps/search/+35.9946,44.0333/@35.9946,44.0333,14z?hl=en","Maplink2")</f>
        <v>Maplink2</v>
      </c>
      <c r="AY1347" s="88" t="str">
        <f>HYPERLINK("http://www.bing.com/maps/?lvl=14&amp;sty=h&amp;cp=35.9946~44.0333&amp;sp=point.35.9946_44.0333","Maplink3")</f>
        <v>Maplink3</v>
      </c>
      <c r="AZ1347" s="76"/>
    </row>
    <row r="1348" spans="1:52" x14ac:dyDescent="0.25">
      <c r="A1348" s="86">
        <v>13677</v>
      </c>
      <c r="B1348" s="87" t="s">
        <v>18</v>
      </c>
      <c r="C1348" s="87" t="s">
        <v>18</v>
      </c>
      <c r="D1348" s="87" t="s">
        <v>2665</v>
      </c>
      <c r="E1348" s="87" t="s">
        <v>2666</v>
      </c>
      <c r="F1348" s="87">
        <v>36.231478019999997</v>
      </c>
      <c r="G1348" s="87">
        <v>43.987833270000003</v>
      </c>
      <c r="H1348" s="86">
        <v>67</v>
      </c>
      <c r="I1348" s="86">
        <v>402</v>
      </c>
      <c r="J1348" s="87"/>
      <c r="K1348" s="87"/>
      <c r="L1348" s="87"/>
      <c r="M1348" s="87"/>
      <c r="N1348" s="87"/>
      <c r="O1348" s="87"/>
      <c r="P1348" s="87"/>
      <c r="Q1348" s="87"/>
      <c r="R1348" s="87"/>
      <c r="S1348" s="87"/>
      <c r="T1348" s="87"/>
      <c r="U1348" s="87"/>
      <c r="V1348" s="87">
        <v>67</v>
      </c>
      <c r="W1348" s="87"/>
      <c r="X1348" s="87"/>
      <c r="Y1348" s="87"/>
      <c r="Z1348" s="87"/>
      <c r="AA1348" s="87"/>
      <c r="AB1348" s="87"/>
      <c r="AC1348" s="87"/>
      <c r="AD1348" s="87"/>
      <c r="AE1348" s="87"/>
      <c r="AF1348" s="87"/>
      <c r="AG1348" s="87"/>
      <c r="AH1348" s="87">
        <v>67</v>
      </c>
      <c r="AI1348" s="87"/>
      <c r="AJ1348" s="87"/>
      <c r="AK1348" s="87"/>
      <c r="AL1348" s="87"/>
      <c r="AM1348" s="87"/>
      <c r="AN1348" s="87"/>
      <c r="AO1348" s="87">
        <v>67</v>
      </c>
      <c r="AP1348" s="87"/>
      <c r="AQ1348" s="87"/>
      <c r="AR1348" s="87"/>
      <c r="AS1348" s="87"/>
      <c r="AT1348" s="87"/>
      <c r="AU1348" s="87"/>
      <c r="AV1348" s="87"/>
      <c r="AW1348" s="88" t="str">
        <f>HYPERLINK("http://www.openstreetmap.org/?mlat=36.2315&amp;mlon=43.9878&amp;zoom=12#map=12/36.2315/43.9878","Maplink1")</f>
        <v>Maplink1</v>
      </c>
      <c r="AX1348" s="88" t="str">
        <f>HYPERLINK("https://www.google.iq/maps/search/+36.2315,43.9878/@36.2315,43.9878,14z?hl=en","Maplink2")</f>
        <v>Maplink2</v>
      </c>
      <c r="AY1348" s="88" t="str">
        <f>HYPERLINK("http://www.bing.com/maps/?lvl=14&amp;sty=h&amp;cp=36.2315~43.9878&amp;sp=point.36.2315_43.9878","Maplink3")</f>
        <v>Maplink3</v>
      </c>
      <c r="AZ1348" s="76"/>
    </row>
    <row r="1349" spans="1:52" x14ac:dyDescent="0.25">
      <c r="A1349" s="86">
        <v>25973</v>
      </c>
      <c r="B1349" s="87" t="s">
        <v>18</v>
      </c>
      <c r="C1349" s="87" t="s">
        <v>18</v>
      </c>
      <c r="D1349" s="87" t="s">
        <v>2667</v>
      </c>
      <c r="E1349" s="87" t="s">
        <v>2668</v>
      </c>
      <c r="F1349" s="87">
        <v>36.119372255999998</v>
      </c>
      <c r="G1349" s="87">
        <v>44.063042699999997</v>
      </c>
      <c r="H1349" s="86">
        <v>90</v>
      </c>
      <c r="I1349" s="86">
        <v>540</v>
      </c>
      <c r="J1349" s="87">
        <v>45</v>
      </c>
      <c r="K1349" s="87"/>
      <c r="L1349" s="87"/>
      <c r="M1349" s="87"/>
      <c r="N1349" s="87"/>
      <c r="O1349" s="87"/>
      <c r="P1349" s="87"/>
      <c r="Q1349" s="87"/>
      <c r="R1349" s="87">
        <v>10</v>
      </c>
      <c r="S1349" s="87"/>
      <c r="T1349" s="87"/>
      <c r="U1349" s="87"/>
      <c r="V1349" s="87">
        <v>30</v>
      </c>
      <c r="W1349" s="87"/>
      <c r="X1349" s="87">
        <v>5</v>
      </c>
      <c r="Y1349" s="87"/>
      <c r="Z1349" s="87"/>
      <c r="AA1349" s="87"/>
      <c r="AB1349" s="87"/>
      <c r="AC1349" s="87"/>
      <c r="AD1349" s="87"/>
      <c r="AE1349" s="87"/>
      <c r="AF1349" s="87"/>
      <c r="AG1349" s="87"/>
      <c r="AH1349" s="87">
        <v>90</v>
      </c>
      <c r="AI1349" s="87"/>
      <c r="AJ1349" s="87"/>
      <c r="AK1349" s="87"/>
      <c r="AL1349" s="87"/>
      <c r="AM1349" s="87"/>
      <c r="AN1349" s="87">
        <v>10</v>
      </c>
      <c r="AO1349" s="87">
        <v>30</v>
      </c>
      <c r="AP1349" s="87"/>
      <c r="AQ1349" s="87"/>
      <c r="AR1349" s="87">
        <v>35</v>
      </c>
      <c r="AS1349" s="87"/>
      <c r="AT1349" s="87">
        <v>5</v>
      </c>
      <c r="AU1349" s="87">
        <v>10</v>
      </c>
      <c r="AV1349" s="87"/>
      <c r="AW1349" s="88" t="str">
        <f>HYPERLINK("http://www.openstreetmap.org/?mlat=36.1194&amp;mlon=44.063&amp;zoom=12#map=12/36.1194/44.063","Maplink1")</f>
        <v>Maplink1</v>
      </c>
      <c r="AX1349" s="88" t="str">
        <f>HYPERLINK("https://www.google.iq/maps/search/+36.1194,44.063/@36.1194,44.063,14z?hl=en","Maplink2")</f>
        <v>Maplink2</v>
      </c>
      <c r="AY1349" s="88" t="str">
        <f>HYPERLINK("http://www.bing.com/maps/?lvl=14&amp;sty=h&amp;cp=36.1194~44.063&amp;sp=point.36.1194_44.063","Maplink3")</f>
        <v>Maplink3</v>
      </c>
      <c r="AZ1349" s="76"/>
    </row>
    <row r="1350" spans="1:52" x14ac:dyDescent="0.25">
      <c r="A1350" s="86">
        <v>24608</v>
      </c>
      <c r="B1350" s="87" t="s">
        <v>18</v>
      </c>
      <c r="C1350" s="87" t="s">
        <v>18</v>
      </c>
      <c r="D1350" s="87" t="s">
        <v>5902</v>
      </c>
      <c r="E1350" s="87" t="s">
        <v>2669</v>
      </c>
      <c r="F1350" s="87">
        <v>36.25869333</v>
      </c>
      <c r="G1350" s="87">
        <v>43.99399142</v>
      </c>
      <c r="H1350" s="86">
        <v>95</v>
      </c>
      <c r="I1350" s="86">
        <v>570</v>
      </c>
      <c r="J1350" s="87"/>
      <c r="K1350" s="87"/>
      <c r="L1350" s="87"/>
      <c r="M1350" s="87"/>
      <c r="N1350" s="87"/>
      <c r="O1350" s="87"/>
      <c r="P1350" s="87"/>
      <c r="Q1350" s="87"/>
      <c r="R1350" s="87">
        <v>7</v>
      </c>
      <c r="S1350" s="87"/>
      <c r="T1350" s="87"/>
      <c r="U1350" s="87"/>
      <c r="V1350" s="87">
        <v>88</v>
      </c>
      <c r="W1350" s="87"/>
      <c r="X1350" s="87"/>
      <c r="Y1350" s="87"/>
      <c r="Z1350" s="87"/>
      <c r="AA1350" s="87"/>
      <c r="AB1350" s="87"/>
      <c r="AC1350" s="87"/>
      <c r="AD1350" s="87"/>
      <c r="AE1350" s="87"/>
      <c r="AF1350" s="87"/>
      <c r="AG1350" s="87"/>
      <c r="AH1350" s="87">
        <v>95</v>
      </c>
      <c r="AI1350" s="87"/>
      <c r="AJ1350" s="87"/>
      <c r="AK1350" s="87"/>
      <c r="AL1350" s="87"/>
      <c r="AM1350" s="87"/>
      <c r="AN1350" s="87"/>
      <c r="AO1350" s="87"/>
      <c r="AP1350" s="87">
        <v>78</v>
      </c>
      <c r="AQ1350" s="87"/>
      <c r="AR1350" s="87"/>
      <c r="AS1350" s="87"/>
      <c r="AT1350" s="87">
        <v>10</v>
      </c>
      <c r="AU1350" s="87">
        <v>7</v>
      </c>
      <c r="AV1350" s="87"/>
      <c r="AW1350" s="88" t="str">
        <f>HYPERLINK("http://www.openstreetmap.org/?mlat=36.2587&amp;mlon=43.994&amp;zoom=12#map=12/36.2587/43.994","Maplink1")</f>
        <v>Maplink1</v>
      </c>
      <c r="AX1350" s="88" t="str">
        <f>HYPERLINK("https://www.google.iq/maps/search/+36.2587,43.994/@36.2587,43.994,14z?hl=en","Maplink2")</f>
        <v>Maplink2</v>
      </c>
      <c r="AY1350" s="88" t="str">
        <f>HYPERLINK("http://www.bing.com/maps/?lvl=14&amp;sty=h&amp;cp=36.2587~43.994&amp;sp=point.36.2587_43.994","Maplink3")</f>
        <v>Maplink3</v>
      </c>
      <c r="AZ1350" s="76"/>
    </row>
    <row r="1351" spans="1:52" x14ac:dyDescent="0.25">
      <c r="A1351" s="86">
        <v>24417</v>
      </c>
      <c r="B1351" s="87" t="s">
        <v>18</v>
      </c>
      <c r="C1351" s="87" t="s">
        <v>18</v>
      </c>
      <c r="D1351" s="87" t="s">
        <v>5903</v>
      </c>
      <c r="E1351" s="87" t="s">
        <v>2670</v>
      </c>
      <c r="F1351" s="87">
        <v>36.297818300000003</v>
      </c>
      <c r="G1351" s="87">
        <v>44.022689700000001</v>
      </c>
      <c r="H1351" s="86">
        <v>290</v>
      </c>
      <c r="I1351" s="86">
        <v>1740</v>
      </c>
      <c r="J1351" s="87">
        <v>49</v>
      </c>
      <c r="K1351" s="87"/>
      <c r="L1351" s="87"/>
      <c r="M1351" s="87"/>
      <c r="N1351" s="87"/>
      <c r="O1351" s="87"/>
      <c r="P1351" s="87"/>
      <c r="Q1351" s="87"/>
      <c r="R1351" s="87"/>
      <c r="S1351" s="87"/>
      <c r="T1351" s="87"/>
      <c r="U1351" s="87"/>
      <c r="V1351" s="87">
        <v>235</v>
      </c>
      <c r="W1351" s="87"/>
      <c r="X1351" s="87">
        <v>6</v>
      </c>
      <c r="Y1351" s="87"/>
      <c r="Z1351" s="87"/>
      <c r="AA1351" s="87"/>
      <c r="AB1351" s="87"/>
      <c r="AC1351" s="87"/>
      <c r="AD1351" s="87"/>
      <c r="AE1351" s="87"/>
      <c r="AF1351" s="87"/>
      <c r="AG1351" s="87"/>
      <c r="AH1351" s="87">
        <v>290</v>
      </c>
      <c r="AI1351" s="87"/>
      <c r="AJ1351" s="87"/>
      <c r="AK1351" s="87"/>
      <c r="AL1351" s="87"/>
      <c r="AM1351" s="87"/>
      <c r="AN1351" s="87">
        <v>29</v>
      </c>
      <c r="AO1351" s="87">
        <v>155</v>
      </c>
      <c r="AP1351" s="87">
        <v>6</v>
      </c>
      <c r="AQ1351" s="87"/>
      <c r="AR1351" s="87">
        <v>15</v>
      </c>
      <c r="AS1351" s="87"/>
      <c r="AT1351" s="87">
        <v>80</v>
      </c>
      <c r="AU1351" s="87">
        <v>5</v>
      </c>
      <c r="AV1351" s="87"/>
      <c r="AW1351" s="88" t="str">
        <f>HYPERLINK("http://www.openstreetmap.org/?mlat=36.2978&amp;mlon=44.0227&amp;zoom=12#map=12/36.2978/44.0227","Maplink1")</f>
        <v>Maplink1</v>
      </c>
      <c r="AX1351" s="88" t="str">
        <f>HYPERLINK("https://www.google.iq/maps/search/+36.2978,44.0227/@36.2978,44.0227,14z?hl=en","Maplink2")</f>
        <v>Maplink2</v>
      </c>
      <c r="AY1351" s="88" t="str">
        <f>HYPERLINK("http://www.bing.com/maps/?lvl=14&amp;sty=h&amp;cp=36.2978~44.0227&amp;sp=point.36.2978_44.0227","Maplink3")</f>
        <v>Maplink3</v>
      </c>
      <c r="AZ1351" s="76"/>
    </row>
    <row r="1352" spans="1:52" x14ac:dyDescent="0.25">
      <c r="A1352" s="86">
        <v>24418</v>
      </c>
      <c r="B1352" s="87" t="s">
        <v>18</v>
      </c>
      <c r="C1352" s="87" t="s">
        <v>18</v>
      </c>
      <c r="D1352" s="87" t="s">
        <v>5904</v>
      </c>
      <c r="E1352" s="87" t="s">
        <v>2671</v>
      </c>
      <c r="F1352" s="87">
        <v>36.2936859</v>
      </c>
      <c r="G1352" s="87">
        <v>44.020381899999997</v>
      </c>
      <c r="H1352" s="86">
        <v>190</v>
      </c>
      <c r="I1352" s="86">
        <v>1140</v>
      </c>
      <c r="J1352" s="87">
        <v>20</v>
      </c>
      <c r="K1352" s="87"/>
      <c r="L1352" s="87">
        <v>25</v>
      </c>
      <c r="M1352" s="87"/>
      <c r="N1352" s="87"/>
      <c r="O1352" s="87"/>
      <c r="P1352" s="87"/>
      <c r="Q1352" s="87"/>
      <c r="R1352" s="87">
        <v>10</v>
      </c>
      <c r="S1352" s="87"/>
      <c r="T1352" s="87"/>
      <c r="U1352" s="87"/>
      <c r="V1352" s="87">
        <v>115</v>
      </c>
      <c r="W1352" s="87"/>
      <c r="X1352" s="87">
        <v>20</v>
      </c>
      <c r="Y1352" s="87"/>
      <c r="Z1352" s="87"/>
      <c r="AA1352" s="87"/>
      <c r="AB1352" s="87"/>
      <c r="AC1352" s="87"/>
      <c r="AD1352" s="87"/>
      <c r="AE1352" s="87"/>
      <c r="AF1352" s="87"/>
      <c r="AG1352" s="87"/>
      <c r="AH1352" s="87">
        <v>190</v>
      </c>
      <c r="AI1352" s="87"/>
      <c r="AJ1352" s="87"/>
      <c r="AK1352" s="87"/>
      <c r="AL1352" s="87"/>
      <c r="AM1352" s="87"/>
      <c r="AN1352" s="87">
        <v>5</v>
      </c>
      <c r="AO1352" s="87">
        <v>20</v>
      </c>
      <c r="AP1352" s="87"/>
      <c r="AQ1352" s="87">
        <v>25</v>
      </c>
      <c r="AR1352" s="87">
        <v>15</v>
      </c>
      <c r="AS1352" s="87"/>
      <c r="AT1352" s="87">
        <v>115</v>
      </c>
      <c r="AU1352" s="87">
        <v>10</v>
      </c>
      <c r="AV1352" s="87"/>
      <c r="AW1352" s="88" t="str">
        <f>HYPERLINK("http://www.openstreetmap.org/?mlat=36.2937&amp;mlon=44.0204&amp;zoom=12#map=12/36.2937/44.0204","Maplink1")</f>
        <v>Maplink1</v>
      </c>
      <c r="AX1352" s="88" t="str">
        <f>HYPERLINK("https://www.google.iq/maps/search/+36.2937,44.0204/@36.2937,44.0204,14z?hl=en","Maplink2")</f>
        <v>Maplink2</v>
      </c>
      <c r="AY1352" s="88" t="str">
        <f>HYPERLINK("http://www.bing.com/maps/?lvl=14&amp;sty=h&amp;cp=36.2937~44.0204&amp;sp=point.36.2937_44.0204","Maplink3")</f>
        <v>Maplink3</v>
      </c>
      <c r="AZ1352" s="76"/>
    </row>
    <row r="1353" spans="1:52" x14ac:dyDescent="0.25">
      <c r="A1353" s="86">
        <v>24606</v>
      </c>
      <c r="B1353" s="87" t="s">
        <v>18</v>
      </c>
      <c r="C1353" s="87" t="s">
        <v>18</v>
      </c>
      <c r="D1353" s="87" t="s">
        <v>2672</v>
      </c>
      <c r="E1353" s="87" t="s">
        <v>2673</v>
      </c>
      <c r="F1353" s="87">
        <v>36.256247899999998</v>
      </c>
      <c r="G1353" s="87">
        <v>43.9953875</v>
      </c>
      <c r="H1353" s="86">
        <v>296</v>
      </c>
      <c r="I1353" s="86">
        <v>1776</v>
      </c>
      <c r="J1353" s="87">
        <v>1</v>
      </c>
      <c r="K1353" s="87"/>
      <c r="L1353" s="87"/>
      <c r="M1353" s="87"/>
      <c r="N1353" s="87"/>
      <c r="O1353" s="87">
        <v>2</v>
      </c>
      <c r="P1353" s="87"/>
      <c r="Q1353" s="87"/>
      <c r="R1353" s="87"/>
      <c r="S1353" s="87"/>
      <c r="T1353" s="87"/>
      <c r="U1353" s="87"/>
      <c r="V1353" s="87">
        <v>291</v>
      </c>
      <c r="W1353" s="87"/>
      <c r="X1353" s="87">
        <v>2</v>
      </c>
      <c r="Y1353" s="87"/>
      <c r="Z1353" s="87"/>
      <c r="AA1353" s="87"/>
      <c r="AB1353" s="87">
        <v>296</v>
      </c>
      <c r="AC1353" s="87"/>
      <c r="AD1353" s="87"/>
      <c r="AE1353" s="87"/>
      <c r="AF1353" s="87"/>
      <c r="AG1353" s="87"/>
      <c r="AH1353" s="87"/>
      <c r="AI1353" s="87"/>
      <c r="AJ1353" s="87"/>
      <c r="AK1353" s="87"/>
      <c r="AL1353" s="87"/>
      <c r="AM1353" s="87"/>
      <c r="AN1353" s="87"/>
      <c r="AO1353" s="87">
        <v>5</v>
      </c>
      <c r="AP1353" s="87">
        <v>290</v>
      </c>
      <c r="AQ1353" s="87"/>
      <c r="AR1353" s="87">
        <v>1</v>
      </c>
      <c r="AS1353" s="87"/>
      <c r="AT1353" s="87"/>
      <c r="AU1353" s="87"/>
      <c r="AV1353" s="87"/>
      <c r="AW1353" s="88" t="str">
        <f>HYPERLINK("http://www.openstreetmap.org/?mlat=36.2562&amp;mlon=43.9954&amp;zoom=12#map=12/36.2562/43.9954","Maplink1")</f>
        <v>Maplink1</v>
      </c>
      <c r="AX1353" s="88" t="str">
        <f>HYPERLINK("https://www.google.iq/maps/search/+36.2562,43.9954/@36.2562,43.9954,14z?hl=en","Maplink2")</f>
        <v>Maplink2</v>
      </c>
      <c r="AY1353" s="88" t="str">
        <f>HYPERLINK("http://www.bing.com/maps/?lvl=14&amp;sty=h&amp;cp=36.2562~43.9954&amp;sp=point.36.2562_43.9954","Maplink3")</f>
        <v>Maplink3</v>
      </c>
      <c r="AZ1353" s="76"/>
    </row>
    <row r="1354" spans="1:52" x14ac:dyDescent="0.25">
      <c r="A1354" s="86">
        <v>20790</v>
      </c>
      <c r="B1354" s="87" t="s">
        <v>18</v>
      </c>
      <c r="C1354" s="87" t="s">
        <v>18</v>
      </c>
      <c r="D1354" s="87" t="s">
        <v>2674</v>
      </c>
      <c r="E1354" s="87" t="s">
        <v>2675</v>
      </c>
      <c r="F1354" s="87">
        <v>36.189849799999998</v>
      </c>
      <c r="G1354" s="87">
        <v>44.0489734744</v>
      </c>
      <c r="H1354" s="86">
        <v>298</v>
      </c>
      <c r="I1354" s="86">
        <v>1788</v>
      </c>
      <c r="J1354" s="87">
        <v>197</v>
      </c>
      <c r="K1354" s="87"/>
      <c r="L1354" s="87">
        <v>6</v>
      </c>
      <c r="M1354" s="87"/>
      <c r="N1354" s="87"/>
      <c r="O1354" s="87"/>
      <c r="P1354" s="87"/>
      <c r="Q1354" s="87"/>
      <c r="R1354" s="87">
        <v>5</v>
      </c>
      <c r="S1354" s="87"/>
      <c r="T1354" s="87"/>
      <c r="U1354" s="87"/>
      <c r="V1354" s="87">
        <v>60</v>
      </c>
      <c r="W1354" s="87"/>
      <c r="X1354" s="87">
        <v>30</v>
      </c>
      <c r="Y1354" s="87"/>
      <c r="Z1354" s="87"/>
      <c r="AA1354" s="87"/>
      <c r="AB1354" s="87"/>
      <c r="AC1354" s="87"/>
      <c r="AD1354" s="87"/>
      <c r="AE1354" s="87"/>
      <c r="AF1354" s="87"/>
      <c r="AG1354" s="87"/>
      <c r="AH1354" s="87">
        <v>286</v>
      </c>
      <c r="AI1354" s="87"/>
      <c r="AJ1354" s="87"/>
      <c r="AK1354" s="87"/>
      <c r="AL1354" s="87">
        <v>12</v>
      </c>
      <c r="AM1354" s="87"/>
      <c r="AN1354" s="87">
        <v>133</v>
      </c>
      <c r="AO1354" s="87">
        <v>76</v>
      </c>
      <c r="AP1354" s="87"/>
      <c r="AQ1354" s="87">
        <v>6</v>
      </c>
      <c r="AR1354" s="87">
        <v>49</v>
      </c>
      <c r="AS1354" s="87">
        <v>2</v>
      </c>
      <c r="AT1354" s="87">
        <v>12</v>
      </c>
      <c r="AU1354" s="87">
        <v>20</v>
      </c>
      <c r="AV1354" s="87"/>
      <c r="AW1354" s="88" t="str">
        <f>HYPERLINK("http://www.openstreetmap.org/?mlat=36.1898&amp;mlon=44.049&amp;zoom=12#map=12/36.1898/44.049","Maplink1")</f>
        <v>Maplink1</v>
      </c>
      <c r="AX1354" s="88" t="str">
        <f>HYPERLINK("https://www.google.iq/maps/search/+36.1898,44.049/@36.1898,44.049,14z?hl=en","Maplink2")</f>
        <v>Maplink2</v>
      </c>
      <c r="AY1354" s="88" t="str">
        <f>HYPERLINK("http://www.bing.com/maps/?lvl=14&amp;sty=h&amp;cp=36.1898~44.049&amp;sp=point.36.1898_44.049","Maplink3")</f>
        <v>Maplink3</v>
      </c>
      <c r="AZ1354" s="76"/>
    </row>
    <row r="1355" spans="1:52" x14ac:dyDescent="0.25">
      <c r="A1355" s="86">
        <v>25473</v>
      </c>
      <c r="B1355" s="87" t="s">
        <v>18</v>
      </c>
      <c r="C1355" s="87" t="s">
        <v>18</v>
      </c>
      <c r="D1355" s="87" t="s">
        <v>2676</v>
      </c>
      <c r="E1355" s="87" t="s">
        <v>2677</v>
      </c>
      <c r="F1355" s="87">
        <v>36.184028400000003</v>
      </c>
      <c r="G1355" s="87">
        <v>44.122922500000001</v>
      </c>
      <c r="H1355" s="86">
        <v>90</v>
      </c>
      <c r="I1355" s="86">
        <v>540</v>
      </c>
      <c r="J1355" s="87">
        <v>35</v>
      </c>
      <c r="K1355" s="87"/>
      <c r="L1355" s="87"/>
      <c r="M1355" s="87"/>
      <c r="N1355" s="87"/>
      <c r="O1355" s="87"/>
      <c r="P1355" s="87"/>
      <c r="Q1355" s="87"/>
      <c r="R1355" s="87"/>
      <c r="S1355" s="87"/>
      <c r="T1355" s="87"/>
      <c r="U1355" s="87"/>
      <c r="V1355" s="87">
        <v>55</v>
      </c>
      <c r="W1355" s="87"/>
      <c r="X1355" s="87"/>
      <c r="Y1355" s="87"/>
      <c r="Z1355" s="87"/>
      <c r="AA1355" s="87"/>
      <c r="AB1355" s="87"/>
      <c r="AC1355" s="87"/>
      <c r="AD1355" s="87"/>
      <c r="AE1355" s="87"/>
      <c r="AF1355" s="87"/>
      <c r="AG1355" s="87"/>
      <c r="AH1355" s="87">
        <v>90</v>
      </c>
      <c r="AI1355" s="87"/>
      <c r="AJ1355" s="87"/>
      <c r="AK1355" s="87"/>
      <c r="AL1355" s="87"/>
      <c r="AM1355" s="87"/>
      <c r="AN1355" s="87">
        <v>12</v>
      </c>
      <c r="AO1355" s="87">
        <v>30</v>
      </c>
      <c r="AP1355" s="87">
        <v>10</v>
      </c>
      <c r="AQ1355" s="87"/>
      <c r="AR1355" s="87">
        <v>28</v>
      </c>
      <c r="AS1355" s="87"/>
      <c r="AT1355" s="87">
        <v>10</v>
      </c>
      <c r="AU1355" s="87"/>
      <c r="AV1355" s="87"/>
      <c r="AW1355" s="88" t="str">
        <f>HYPERLINK("http://www.openstreetmap.org/?mlat=36.184&amp;mlon=44.1229&amp;zoom=12#map=12/36.184/44.1229","Maplink1")</f>
        <v>Maplink1</v>
      </c>
      <c r="AX1355" s="88" t="str">
        <f>HYPERLINK("https://www.google.iq/maps/search/+36.184,44.1229/@36.184,44.1229,14z?hl=en","Maplink2")</f>
        <v>Maplink2</v>
      </c>
      <c r="AY1355" s="88" t="str">
        <f>HYPERLINK("http://www.bing.com/maps/?lvl=14&amp;sty=h&amp;cp=36.184~44.1229&amp;sp=point.36.184_44.1229","Maplink3")</f>
        <v>Maplink3</v>
      </c>
      <c r="AZ1355" s="76"/>
    </row>
    <row r="1356" spans="1:52" x14ac:dyDescent="0.25">
      <c r="A1356" s="86">
        <v>27419</v>
      </c>
      <c r="B1356" s="87" t="s">
        <v>18</v>
      </c>
      <c r="C1356" s="87" t="s">
        <v>18</v>
      </c>
      <c r="D1356" s="87" t="s">
        <v>2678</v>
      </c>
      <c r="E1356" s="87" t="s">
        <v>2679</v>
      </c>
      <c r="F1356" s="87">
        <v>36.2113139</v>
      </c>
      <c r="G1356" s="87">
        <v>44.069595200000002</v>
      </c>
      <c r="H1356" s="86">
        <v>373</v>
      </c>
      <c r="I1356" s="86">
        <v>2238</v>
      </c>
      <c r="J1356" s="87">
        <v>190</v>
      </c>
      <c r="K1356" s="87"/>
      <c r="L1356" s="87"/>
      <c r="M1356" s="87"/>
      <c r="N1356" s="87"/>
      <c r="O1356" s="87"/>
      <c r="P1356" s="87"/>
      <c r="Q1356" s="87"/>
      <c r="R1356" s="87"/>
      <c r="S1356" s="87"/>
      <c r="T1356" s="87"/>
      <c r="U1356" s="87"/>
      <c r="V1356" s="87">
        <v>175</v>
      </c>
      <c r="W1356" s="87"/>
      <c r="X1356" s="87">
        <v>8</v>
      </c>
      <c r="Y1356" s="87"/>
      <c r="Z1356" s="87"/>
      <c r="AA1356" s="87"/>
      <c r="AB1356" s="87"/>
      <c r="AC1356" s="87"/>
      <c r="AD1356" s="87"/>
      <c r="AE1356" s="87"/>
      <c r="AF1356" s="87"/>
      <c r="AG1356" s="87"/>
      <c r="AH1356" s="87">
        <v>363</v>
      </c>
      <c r="AI1356" s="87"/>
      <c r="AJ1356" s="87"/>
      <c r="AK1356" s="87"/>
      <c r="AL1356" s="87">
        <v>10</v>
      </c>
      <c r="AM1356" s="87"/>
      <c r="AN1356" s="87">
        <v>85</v>
      </c>
      <c r="AO1356" s="87">
        <v>78</v>
      </c>
      <c r="AP1356" s="87">
        <v>8</v>
      </c>
      <c r="AQ1356" s="87"/>
      <c r="AR1356" s="87">
        <v>105</v>
      </c>
      <c r="AS1356" s="87"/>
      <c r="AT1356" s="87">
        <v>97</v>
      </c>
      <c r="AU1356" s="87"/>
      <c r="AV1356" s="87"/>
      <c r="AW1356" s="88" t="str">
        <f>HYPERLINK("http://www.openstreetmap.org/?mlat=36.2113&amp;mlon=44.0696&amp;zoom=12#map=12/36.2113/44.0696","Maplink1")</f>
        <v>Maplink1</v>
      </c>
      <c r="AX1356" s="88" t="str">
        <f>HYPERLINK("https://www.google.iq/maps/search/+36.2113,44.0696/@36.2113,44.0696,14z?hl=en","Maplink2")</f>
        <v>Maplink2</v>
      </c>
      <c r="AY1356" s="88" t="str">
        <f>HYPERLINK("http://www.bing.com/maps/?lvl=14&amp;sty=h&amp;cp=36.2113~44.0696&amp;sp=point.36.2113_44.0696","Maplink3")</f>
        <v>Maplink3</v>
      </c>
      <c r="AZ1356" s="76"/>
    </row>
    <row r="1357" spans="1:52" x14ac:dyDescent="0.25">
      <c r="A1357" s="86">
        <v>13668</v>
      </c>
      <c r="B1357" s="87" t="s">
        <v>18</v>
      </c>
      <c r="C1357" s="87" t="s">
        <v>18</v>
      </c>
      <c r="D1357" s="87" t="s">
        <v>2680</v>
      </c>
      <c r="E1357" s="87" t="s">
        <v>2448</v>
      </c>
      <c r="F1357" s="87">
        <v>36.163858269999999</v>
      </c>
      <c r="G1357" s="87">
        <v>43.975273840299998</v>
      </c>
      <c r="H1357" s="86">
        <v>598</v>
      </c>
      <c r="I1357" s="86">
        <v>3588</v>
      </c>
      <c r="J1357" s="87">
        <v>160</v>
      </c>
      <c r="K1357" s="87"/>
      <c r="L1357" s="87"/>
      <c r="M1357" s="87"/>
      <c r="N1357" s="87"/>
      <c r="O1357" s="87"/>
      <c r="P1357" s="87"/>
      <c r="Q1357" s="87"/>
      <c r="R1357" s="87">
        <v>10</v>
      </c>
      <c r="S1357" s="87"/>
      <c r="T1357" s="87"/>
      <c r="U1357" s="87"/>
      <c r="V1357" s="87">
        <v>350</v>
      </c>
      <c r="W1357" s="87"/>
      <c r="X1357" s="87">
        <v>78</v>
      </c>
      <c r="Y1357" s="87"/>
      <c r="Z1357" s="87"/>
      <c r="AA1357" s="87"/>
      <c r="AB1357" s="87"/>
      <c r="AC1357" s="87"/>
      <c r="AD1357" s="87"/>
      <c r="AE1357" s="87"/>
      <c r="AF1357" s="87"/>
      <c r="AG1357" s="87"/>
      <c r="AH1357" s="87">
        <v>598</v>
      </c>
      <c r="AI1357" s="87"/>
      <c r="AJ1357" s="87"/>
      <c r="AK1357" s="87"/>
      <c r="AL1357" s="87"/>
      <c r="AM1357" s="87"/>
      <c r="AN1357" s="87">
        <v>100</v>
      </c>
      <c r="AO1357" s="87">
        <v>98</v>
      </c>
      <c r="AP1357" s="87">
        <v>30</v>
      </c>
      <c r="AQ1357" s="87"/>
      <c r="AR1357" s="87">
        <v>50</v>
      </c>
      <c r="AS1357" s="87"/>
      <c r="AT1357" s="87">
        <v>300</v>
      </c>
      <c r="AU1357" s="87">
        <v>20</v>
      </c>
      <c r="AV1357" s="87"/>
      <c r="AW1357" s="88" t="str">
        <f>HYPERLINK("http://www.openstreetmap.org/?mlat=36.1639&amp;mlon=43.9753&amp;zoom=12#map=12/36.1639/43.9753","Maplink1")</f>
        <v>Maplink1</v>
      </c>
      <c r="AX1357" s="88" t="str">
        <f>HYPERLINK("https://www.google.iq/maps/search/+36.1639,43.9753/@36.1639,43.9753,14z?hl=en","Maplink2")</f>
        <v>Maplink2</v>
      </c>
      <c r="AY1357" s="88" t="str">
        <f>HYPERLINK("http://www.bing.com/maps/?lvl=14&amp;sty=h&amp;cp=36.1639~43.9753&amp;sp=point.36.1639_43.9753","Maplink3")</f>
        <v>Maplink3</v>
      </c>
      <c r="AZ1357" s="76"/>
    </row>
    <row r="1358" spans="1:52" x14ac:dyDescent="0.25">
      <c r="A1358" s="86">
        <v>25470</v>
      </c>
      <c r="B1358" s="87" t="s">
        <v>18</v>
      </c>
      <c r="C1358" s="87" t="s">
        <v>18</v>
      </c>
      <c r="D1358" s="87" t="s">
        <v>2681</v>
      </c>
      <c r="E1358" s="87" t="s">
        <v>2682</v>
      </c>
      <c r="F1358" s="87">
        <v>36.169132099999999</v>
      </c>
      <c r="G1358" s="87">
        <v>44.124658400000001</v>
      </c>
      <c r="H1358" s="86">
        <v>160</v>
      </c>
      <c r="I1358" s="86">
        <v>960</v>
      </c>
      <c r="J1358" s="87">
        <v>45</v>
      </c>
      <c r="K1358" s="87"/>
      <c r="L1358" s="87"/>
      <c r="M1358" s="87"/>
      <c r="N1358" s="87"/>
      <c r="O1358" s="87"/>
      <c r="P1358" s="87"/>
      <c r="Q1358" s="87"/>
      <c r="R1358" s="87"/>
      <c r="S1358" s="87"/>
      <c r="T1358" s="87"/>
      <c r="U1358" s="87"/>
      <c r="V1358" s="87">
        <v>100</v>
      </c>
      <c r="W1358" s="87"/>
      <c r="X1358" s="87">
        <v>15</v>
      </c>
      <c r="Y1358" s="87"/>
      <c r="Z1358" s="87"/>
      <c r="AA1358" s="87"/>
      <c r="AB1358" s="87"/>
      <c r="AC1358" s="87"/>
      <c r="AD1358" s="87"/>
      <c r="AE1358" s="87"/>
      <c r="AF1358" s="87"/>
      <c r="AG1358" s="87"/>
      <c r="AH1358" s="87">
        <v>160</v>
      </c>
      <c r="AI1358" s="87"/>
      <c r="AJ1358" s="87"/>
      <c r="AK1358" s="87"/>
      <c r="AL1358" s="87"/>
      <c r="AM1358" s="87"/>
      <c r="AN1358" s="87">
        <v>30</v>
      </c>
      <c r="AO1358" s="87">
        <v>25</v>
      </c>
      <c r="AP1358" s="87">
        <v>20</v>
      </c>
      <c r="AQ1358" s="87"/>
      <c r="AR1358" s="87">
        <v>10</v>
      </c>
      <c r="AS1358" s="87"/>
      <c r="AT1358" s="87">
        <v>70</v>
      </c>
      <c r="AU1358" s="87">
        <v>5</v>
      </c>
      <c r="AV1358" s="87"/>
      <c r="AW1358" s="88" t="str">
        <f>HYPERLINK("http://www.openstreetmap.org/?mlat=36.1691&amp;mlon=44.1247&amp;zoom=12#map=12/36.1691/44.1247","Maplink1")</f>
        <v>Maplink1</v>
      </c>
      <c r="AX1358" s="88" t="str">
        <f>HYPERLINK("https://www.google.iq/maps/search/+36.1691,44.1247/@36.1691,44.1247,14z?hl=en","Maplink2")</f>
        <v>Maplink2</v>
      </c>
      <c r="AY1358" s="88" t="str">
        <f>HYPERLINK("http://www.bing.com/maps/?lvl=14&amp;sty=h&amp;cp=36.1691~44.1247&amp;sp=point.36.1691_44.1247","Maplink3")</f>
        <v>Maplink3</v>
      </c>
      <c r="AZ1358" s="76"/>
    </row>
    <row r="1359" spans="1:52" x14ac:dyDescent="0.25">
      <c r="A1359" s="86">
        <v>13686</v>
      </c>
      <c r="B1359" s="87" t="s">
        <v>18</v>
      </c>
      <c r="C1359" s="87" t="s">
        <v>18</v>
      </c>
      <c r="D1359" s="87" t="s">
        <v>2683</v>
      </c>
      <c r="E1359" s="87" t="s">
        <v>2684</v>
      </c>
      <c r="F1359" s="87">
        <v>36.229723679999999</v>
      </c>
      <c r="G1359" s="87">
        <v>43.9887016765</v>
      </c>
      <c r="H1359" s="86">
        <v>24</v>
      </c>
      <c r="I1359" s="86">
        <v>144</v>
      </c>
      <c r="J1359" s="87"/>
      <c r="K1359" s="87"/>
      <c r="L1359" s="87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>
        <v>24</v>
      </c>
      <c r="W1359" s="87"/>
      <c r="X1359" s="87"/>
      <c r="Y1359" s="87"/>
      <c r="Z1359" s="87"/>
      <c r="AA1359" s="87"/>
      <c r="AB1359" s="87"/>
      <c r="AC1359" s="87"/>
      <c r="AD1359" s="87"/>
      <c r="AE1359" s="87"/>
      <c r="AF1359" s="87"/>
      <c r="AG1359" s="87"/>
      <c r="AH1359" s="87">
        <v>24</v>
      </c>
      <c r="AI1359" s="87"/>
      <c r="AJ1359" s="87"/>
      <c r="AK1359" s="87"/>
      <c r="AL1359" s="87"/>
      <c r="AM1359" s="87"/>
      <c r="AN1359" s="87"/>
      <c r="AO1359" s="87">
        <v>24</v>
      </c>
      <c r="AP1359" s="87"/>
      <c r="AQ1359" s="87"/>
      <c r="AR1359" s="87"/>
      <c r="AS1359" s="87"/>
      <c r="AT1359" s="87"/>
      <c r="AU1359" s="87"/>
      <c r="AV1359" s="87"/>
      <c r="AW1359" s="88" t="str">
        <f>HYPERLINK("http://www.openstreetmap.org/?mlat=36.2297&amp;mlon=43.9887&amp;zoom=12#map=12/36.2297/43.9887","Maplink1")</f>
        <v>Maplink1</v>
      </c>
      <c r="AX1359" s="88" t="str">
        <f>HYPERLINK("https://www.google.iq/maps/search/+36.2297,43.9887/@36.2297,43.9887,14z?hl=en","Maplink2")</f>
        <v>Maplink2</v>
      </c>
      <c r="AY1359" s="88" t="str">
        <f>HYPERLINK("http://www.bing.com/maps/?lvl=14&amp;sty=h&amp;cp=36.2297~43.9887&amp;sp=point.36.2297_43.9887","Maplink3")</f>
        <v>Maplink3</v>
      </c>
      <c r="AZ1359" s="76"/>
    </row>
    <row r="1360" spans="1:52" x14ac:dyDescent="0.25">
      <c r="A1360" s="86">
        <v>25727</v>
      </c>
      <c r="B1360" s="87" t="s">
        <v>18</v>
      </c>
      <c r="C1360" s="87" t="s">
        <v>18</v>
      </c>
      <c r="D1360" s="87" t="s">
        <v>2685</v>
      </c>
      <c r="E1360" s="87" t="s">
        <v>2686</v>
      </c>
      <c r="F1360" s="87">
        <v>36.206729799999998</v>
      </c>
      <c r="G1360" s="87">
        <v>43.859212200000002</v>
      </c>
      <c r="H1360" s="86">
        <v>195</v>
      </c>
      <c r="I1360" s="86">
        <v>1170</v>
      </c>
      <c r="J1360" s="87">
        <v>13</v>
      </c>
      <c r="K1360" s="87"/>
      <c r="L1360" s="87"/>
      <c r="M1360" s="87"/>
      <c r="N1360" s="87"/>
      <c r="O1360" s="87"/>
      <c r="P1360" s="87"/>
      <c r="Q1360" s="87"/>
      <c r="R1360" s="87"/>
      <c r="S1360" s="87"/>
      <c r="T1360" s="87"/>
      <c r="U1360" s="87"/>
      <c r="V1360" s="87">
        <v>182</v>
      </c>
      <c r="W1360" s="87"/>
      <c r="X1360" s="87"/>
      <c r="Y1360" s="87"/>
      <c r="Z1360" s="87"/>
      <c r="AA1360" s="87"/>
      <c r="AB1360" s="87"/>
      <c r="AC1360" s="87"/>
      <c r="AD1360" s="87"/>
      <c r="AE1360" s="87"/>
      <c r="AF1360" s="87"/>
      <c r="AG1360" s="87"/>
      <c r="AH1360" s="87">
        <v>195</v>
      </c>
      <c r="AI1360" s="87"/>
      <c r="AJ1360" s="87"/>
      <c r="AK1360" s="87"/>
      <c r="AL1360" s="87"/>
      <c r="AM1360" s="87"/>
      <c r="AN1360" s="87">
        <v>6</v>
      </c>
      <c r="AO1360" s="87">
        <v>131</v>
      </c>
      <c r="AP1360" s="87">
        <v>23</v>
      </c>
      <c r="AQ1360" s="87"/>
      <c r="AR1360" s="87">
        <v>4</v>
      </c>
      <c r="AS1360" s="87"/>
      <c r="AT1360" s="87">
        <v>28</v>
      </c>
      <c r="AU1360" s="87">
        <v>3</v>
      </c>
      <c r="AV1360" s="87"/>
      <c r="AW1360" s="88" t="str">
        <f>HYPERLINK("http://www.openstreetmap.org/?mlat=36.2067&amp;mlon=43.8592&amp;zoom=12#map=12/36.2067/43.8592","Maplink1")</f>
        <v>Maplink1</v>
      </c>
      <c r="AX1360" s="88" t="str">
        <f>HYPERLINK("https://www.google.iq/maps/search/+36.2067,43.8592/@36.2067,43.8592,14z?hl=en","Maplink2")</f>
        <v>Maplink2</v>
      </c>
      <c r="AY1360" s="88" t="str">
        <f>HYPERLINK("http://www.bing.com/maps/?lvl=14&amp;sty=h&amp;cp=36.2067~43.8592&amp;sp=point.36.2067_43.8592","Maplink3")</f>
        <v>Maplink3</v>
      </c>
      <c r="AZ1360" s="76"/>
    </row>
    <row r="1361" spans="1:52" x14ac:dyDescent="0.25">
      <c r="A1361" s="86">
        <v>29557</v>
      </c>
      <c r="B1361" s="87" t="s">
        <v>18</v>
      </c>
      <c r="C1361" s="87" t="s">
        <v>18</v>
      </c>
      <c r="D1361" s="87" t="s">
        <v>2687</v>
      </c>
      <c r="E1361" s="87" t="s">
        <v>2688</v>
      </c>
      <c r="F1361" s="87">
        <v>36.183317299999999</v>
      </c>
      <c r="G1361" s="87">
        <v>44.164799600000002</v>
      </c>
      <c r="H1361" s="86">
        <v>35</v>
      </c>
      <c r="I1361" s="86">
        <v>210</v>
      </c>
      <c r="J1361" s="87">
        <v>20</v>
      </c>
      <c r="K1361" s="87"/>
      <c r="L1361" s="87"/>
      <c r="M1361" s="87"/>
      <c r="N1361" s="87"/>
      <c r="O1361" s="87"/>
      <c r="P1361" s="87"/>
      <c r="Q1361" s="87"/>
      <c r="R1361" s="87"/>
      <c r="S1361" s="87"/>
      <c r="T1361" s="87"/>
      <c r="U1361" s="87"/>
      <c r="V1361" s="87">
        <v>5</v>
      </c>
      <c r="W1361" s="87"/>
      <c r="X1361" s="87">
        <v>10</v>
      </c>
      <c r="Y1361" s="87"/>
      <c r="Z1361" s="87"/>
      <c r="AA1361" s="87"/>
      <c r="AB1361" s="87"/>
      <c r="AC1361" s="87"/>
      <c r="AD1361" s="87"/>
      <c r="AE1361" s="87"/>
      <c r="AF1361" s="87"/>
      <c r="AG1361" s="87"/>
      <c r="AH1361" s="87">
        <v>35</v>
      </c>
      <c r="AI1361" s="87"/>
      <c r="AJ1361" s="87"/>
      <c r="AK1361" s="87"/>
      <c r="AL1361" s="87"/>
      <c r="AM1361" s="87"/>
      <c r="AN1361" s="87">
        <v>20</v>
      </c>
      <c r="AO1361" s="87">
        <v>10</v>
      </c>
      <c r="AP1361" s="87"/>
      <c r="AQ1361" s="87"/>
      <c r="AR1361" s="87"/>
      <c r="AS1361" s="87"/>
      <c r="AT1361" s="87">
        <v>5</v>
      </c>
      <c r="AU1361" s="87"/>
      <c r="AV1361" s="87"/>
      <c r="AW1361" s="88" t="str">
        <f>HYPERLINK("http://www.openstreetmap.org/?mlat=36.1833&amp;mlon=44.1648&amp;zoom=12#map=12/36.1833/44.1648","Maplink1")</f>
        <v>Maplink1</v>
      </c>
      <c r="AX1361" s="88" t="str">
        <f>HYPERLINK("https://www.google.iq/maps/search/+36.1833,44.1648/@36.1833,44.1648,14z?hl=en","Maplink2")</f>
        <v>Maplink2</v>
      </c>
      <c r="AY1361" s="88" t="str">
        <f>HYPERLINK("http://www.bing.com/maps/?lvl=14&amp;sty=h&amp;cp=36.1833~44.1648&amp;sp=point.36.1833_44.1648","Maplink3")</f>
        <v>Maplink3</v>
      </c>
      <c r="AZ1361" s="76"/>
    </row>
    <row r="1362" spans="1:52" x14ac:dyDescent="0.25">
      <c r="A1362" s="86">
        <v>27152</v>
      </c>
      <c r="B1362" s="87" t="s">
        <v>18</v>
      </c>
      <c r="C1362" s="87" t="s">
        <v>18</v>
      </c>
      <c r="D1362" s="87" t="s">
        <v>2689</v>
      </c>
      <c r="E1362" s="87" t="s">
        <v>2690</v>
      </c>
      <c r="F1362" s="87">
        <v>36.22730808</v>
      </c>
      <c r="G1362" s="87">
        <v>43.996606880000002</v>
      </c>
      <c r="H1362" s="86">
        <v>160</v>
      </c>
      <c r="I1362" s="86">
        <v>960</v>
      </c>
      <c r="J1362" s="87">
        <v>20</v>
      </c>
      <c r="K1362" s="87"/>
      <c r="L1362" s="87">
        <v>5</v>
      </c>
      <c r="M1362" s="87"/>
      <c r="N1362" s="87"/>
      <c r="O1362" s="87">
        <v>5</v>
      </c>
      <c r="P1362" s="87"/>
      <c r="Q1362" s="87"/>
      <c r="R1362" s="87"/>
      <c r="S1362" s="87"/>
      <c r="T1362" s="87"/>
      <c r="U1362" s="87"/>
      <c r="V1362" s="87">
        <v>120</v>
      </c>
      <c r="W1362" s="87"/>
      <c r="X1362" s="87">
        <v>10</v>
      </c>
      <c r="Y1362" s="87"/>
      <c r="Z1362" s="87"/>
      <c r="AA1362" s="87"/>
      <c r="AB1362" s="87"/>
      <c r="AC1362" s="87"/>
      <c r="AD1362" s="87"/>
      <c r="AE1362" s="87"/>
      <c r="AF1362" s="87"/>
      <c r="AG1362" s="87"/>
      <c r="AH1362" s="87">
        <v>160</v>
      </c>
      <c r="AI1362" s="87"/>
      <c r="AJ1362" s="87"/>
      <c r="AK1362" s="87"/>
      <c r="AL1362" s="87"/>
      <c r="AM1362" s="87"/>
      <c r="AN1362" s="87">
        <v>15</v>
      </c>
      <c r="AO1362" s="87">
        <v>120</v>
      </c>
      <c r="AP1362" s="87"/>
      <c r="AQ1362" s="87">
        <v>5</v>
      </c>
      <c r="AR1362" s="87">
        <v>10</v>
      </c>
      <c r="AS1362" s="87"/>
      <c r="AT1362" s="87">
        <v>10</v>
      </c>
      <c r="AU1362" s="87"/>
      <c r="AV1362" s="87"/>
      <c r="AW1362" s="88" t="str">
        <f>HYPERLINK("http://www.openstreetmap.org/?mlat=36.2273&amp;mlon=43.9966&amp;zoom=12#map=12/36.2273/43.9966","Maplink1")</f>
        <v>Maplink1</v>
      </c>
      <c r="AX1362" s="88" t="str">
        <f>HYPERLINK("https://www.google.iq/maps/search/+36.2273,43.9966/@36.2273,43.9966,14z?hl=en","Maplink2")</f>
        <v>Maplink2</v>
      </c>
      <c r="AY1362" s="88" t="str">
        <f>HYPERLINK("http://www.bing.com/maps/?lvl=14&amp;sty=h&amp;cp=36.2273~43.9966&amp;sp=point.36.2273_43.9966","Maplink3")</f>
        <v>Maplink3</v>
      </c>
      <c r="AZ1362" s="76"/>
    </row>
    <row r="1363" spans="1:52" x14ac:dyDescent="0.25">
      <c r="A1363" s="86">
        <v>27421</v>
      </c>
      <c r="B1363" s="87" t="s">
        <v>18</v>
      </c>
      <c r="C1363" s="87" t="s">
        <v>18</v>
      </c>
      <c r="D1363" s="87" t="s">
        <v>2691</v>
      </c>
      <c r="E1363" s="87" t="s">
        <v>2692</v>
      </c>
      <c r="F1363" s="87">
        <v>36.168366300000002</v>
      </c>
      <c r="G1363" s="87">
        <v>44.055760599999999</v>
      </c>
      <c r="H1363" s="86">
        <v>154</v>
      </c>
      <c r="I1363" s="86">
        <v>924</v>
      </c>
      <c r="J1363" s="87">
        <v>61</v>
      </c>
      <c r="K1363" s="87"/>
      <c r="L1363" s="87"/>
      <c r="M1363" s="87"/>
      <c r="N1363" s="87"/>
      <c r="O1363" s="87">
        <v>3</v>
      </c>
      <c r="P1363" s="87"/>
      <c r="Q1363" s="87"/>
      <c r="R1363" s="87"/>
      <c r="S1363" s="87"/>
      <c r="T1363" s="87"/>
      <c r="U1363" s="87"/>
      <c r="V1363" s="87">
        <v>81</v>
      </c>
      <c r="W1363" s="87"/>
      <c r="X1363" s="87">
        <v>9</v>
      </c>
      <c r="Y1363" s="87"/>
      <c r="Z1363" s="87"/>
      <c r="AA1363" s="87"/>
      <c r="AB1363" s="87"/>
      <c r="AC1363" s="87"/>
      <c r="AD1363" s="87"/>
      <c r="AE1363" s="87"/>
      <c r="AF1363" s="87"/>
      <c r="AG1363" s="87"/>
      <c r="AH1363" s="87">
        <v>154</v>
      </c>
      <c r="AI1363" s="87"/>
      <c r="AJ1363" s="87"/>
      <c r="AK1363" s="87"/>
      <c r="AL1363" s="87"/>
      <c r="AM1363" s="87"/>
      <c r="AN1363" s="87">
        <v>18</v>
      </c>
      <c r="AO1363" s="87">
        <v>67</v>
      </c>
      <c r="AP1363" s="87"/>
      <c r="AQ1363" s="87"/>
      <c r="AR1363" s="87">
        <v>41</v>
      </c>
      <c r="AS1363" s="87"/>
      <c r="AT1363" s="87">
        <v>20</v>
      </c>
      <c r="AU1363" s="87">
        <v>5</v>
      </c>
      <c r="AV1363" s="87">
        <v>3</v>
      </c>
      <c r="AW1363" s="88" t="str">
        <f>HYPERLINK("http://www.openstreetmap.org/?mlat=36.1684&amp;mlon=44.0558&amp;zoom=12#map=12/36.1684/44.0558","Maplink1")</f>
        <v>Maplink1</v>
      </c>
      <c r="AX1363" s="88" t="str">
        <f>HYPERLINK("https://www.google.iq/maps/search/+36.1684,44.0558/@36.1684,44.0558,14z?hl=en","Maplink2")</f>
        <v>Maplink2</v>
      </c>
      <c r="AY1363" s="88" t="str">
        <f>HYPERLINK("http://www.bing.com/maps/?lvl=14&amp;sty=h&amp;cp=36.1684~44.0558&amp;sp=point.36.1684_44.0558","Maplink3")</f>
        <v>Maplink3</v>
      </c>
      <c r="AZ1363" s="76"/>
    </row>
    <row r="1364" spans="1:52" x14ac:dyDescent="0.25">
      <c r="A1364" s="86">
        <v>25840</v>
      </c>
      <c r="B1364" s="87" t="s">
        <v>18</v>
      </c>
      <c r="C1364" s="87" t="s">
        <v>18</v>
      </c>
      <c r="D1364" s="87" t="s">
        <v>2693</v>
      </c>
      <c r="E1364" s="87" t="s">
        <v>2694</v>
      </c>
      <c r="F1364" s="87">
        <v>36.208084999999997</v>
      </c>
      <c r="G1364" s="87">
        <v>44.1509693</v>
      </c>
      <c r="H1364" s="86">
        <v>11</v>
      </c>
      <c r="I1364" s="86">
        <v>66</v>
      </c>
      <c r="J1364" s="87">
        <v>10</v>
      </c>
      <c r="K1364" s="87"/>
      <c r="L1364" s="87"/>
      <c r="M1364" s="87"/>
      <c r="N1364" s="87"/>
      <c r="O1364" s="87"/>
      <c r="P1364" s="87"/>
      <c r="Q1364" s="87"/>
      <c r="R1364" s="87"/>
      <c r="S1364" s="87"/>
      <c r="T1364" s="87"/>
      <c r="U1364" s="87"/>
      <c r="V1364" s="87">
        <v>1</v>
      </c>
      <c r="W1364" s="87"/>
      <c r="X1364" s="87"/>
      <c r="Y1364" s="87"/>
      <c r="Z1364" s="87"/>
      <c r="AA1364" s="87"/>
      <c r="AB1364" s="87"/>
      <c r="AC1364" s="87"/>
      <c r="AD1364" s="87"/>
      <c r="AE1364" s="87"/>
      <c r="AF1364" s="87"/>
      <c r="AG1364" s="87"/>
      <c r="AH1364" s="87">
        <v>11</v>
      </c>
      <c r="AI1364" s="87"/>
      <c r="AJ1364" s="87"/>
      <c r="AK1364" s="87"/>
      <c r="AL1364" s="87"/>
      <c r="AM1364" s="87"/>
      <c r="AN1364" s="87"/>
      <c r="AO1364" s="87">
        <v>1</v>
      </c>
      <c r="AP1364" s="87"/>
      <c r="AQ1364" s="87"/>
      <c r="AR1364" s="87">
        <v>10</v>
      </c>
      <c r="AS1364" s="87"/>
      <c r="AT1364" s="87"/>
      <c r="AU1364" s="87"/>
      <c r="AV1364" s="87"/>
      <c r="AW1364" s="88" t="str">
        <f>HYPERLINK("http://www.openstreetmap.org/?mlat=36.2081&amp;mlon=44.151&amp;zoom=12#map=12/36.2081/44.151","Maplink1")</f>
        <v>Maplink1</v>
      </c>
      <c r="AX1364" s="88" t="str">
        <f>HYPERLINK("https://www.google.iq/maps/search/+36.2081,44.151/@36.2081,44.151,14z?hl=en","Maplink2")</f>
        <v>Maplink2</v>
      </c>
      <c r="AY1364" s="88" t="str">
        <f>HYPERLINK("http://www.bing.com/maps/?lvl=14&amp;sty=h&amp;cp=36.2081~44.151&amp;sp=point.36.2081_44.151","Maplink3")</f>
        <v>Maplink3</v>
      </c>
      <c r="AZ1364" s="76"/>
    </row>
    <row r="1365" spans="1:52" x14ac:dyDescent="0.25">
      <c r="A1365" s="86">
        <v>25630</v>
      </c>
      <c r="B1365" s="87" t="s">
        <v>18</v>
      </c>
      <c r="C1365" s="87" t="s">
        <v>18</v>
      </c>
      <c r="D1365" s="87" t="s">
        <v>2695</v>
      </c>
      <c r="E1365" s="87" t="s">
        <v>2696</v>
      </c>
      <c r="F1365" s="87">
        <v>35.979014300000003</v>
      </c>
      <c r="G1365" s="87">
        <v>44.0373527</v>
      </c>
      <c r="H1365" s="86">
        <v>863</v>
      </c>
      <c r="I1365" s="86">
        <v>5178</v>
      </c>
      <c r="J1365" s="87">
        <v>376</v>
      </c>
      <c r="K1365" s="87"/>
      <c r="L1365" s="87">
        <v>19</v>
      </c>
      <c r="M1365" s="87"/>
      <c r="N1365" s="87"/>
      <c r="O1365" s="87">
        <v>2</v>
      </c>
      <c r="P1365" s="87"/>
      <c r="Q1365" s="87"/>
      <c r="R1365" s="87">
        <v>15</v>
      </c>
      <c r="S1365" s="87"/>
      <c r="T1365" s="87"/>
      <c r="U1365" s="87"/>
      <c r="V1365" s="87">
        <v>411</v>
      </c>
      <c r="W1365" s="87"/>
      <c r="X1365" s="87">
        <v>40</v>
      </c>
      <c r="Y1365" s="87"/>
      <c r="Z1365" s="87"/>
      <c r="AA1365" s="87"/>
      <c r="AB1365" s="87"/>
      <c r="AC1365" s="87"/>
      <c r="AD1365" s="87"/>
      <c r="AE1365" s="87"/>
      <c r="AF1365" s="87"/>
      <c r="AG1365" s="87"/>
      <c r="AH1365" s="87">
        <v>863</v>
      </c>
      <c r="AI1365" s="87"/>
      <c r="AJ1365" s="87"/>
      <c r="AK1365" s="87"/>
      <c r="AL1365" s="87"/>
      <c r="AM1365" s="87"/>
      <c r="AN1365" s="87">
        <v>78</v>
      </c>
      <c r="AO1365" s="87">
        <v>151</v>
      </c>
      <c r="AP1365" s="87"/>
      <c r="AQ1365" s="87">
        <v>19</v>
      </c>
      <c r="AR1365" s="87">
        <v>245</v>
      </c>
      <c r="AS1365" s="87"/>
      <c r="AT1365" s="87">
        <v>300</v>
      </c>
      <c r="AU1365" s="87">
        <v>70</v>
      </c>
      <c r="AV1365" s="87"/>
      <c r="AW1365" s="88" t="str">
        <f>HYPERLINK("http://www.openstreetmap.org/?mlat=35.979&amp;mlon=44.0374&amp;zoom=12#map=12/35.979/44.0374","Maplink1")</f>
        <v>Maplink1</v>
      </c>
      <c r="AX1365" s="88" t="str">
        <f>HYPERLINK("https://www.google.iq/maps/search/+35.979,44.0374/@35.979,44.0374,14z?hl=en","Maplink2")</f>
        <v>Maplink2</v>
      </c>
      <c r="AY1365" s="88" t="str">
        <f>HYPERLINK("http://www.bing.com/maps/?lvl=14&amp;sty=h&amp;cp=35.979~44.0374&amp;sp=point.35.979_44.0374","Maplink3")</f>
        <v>Maplink3</v>
      </c>
      <c r="AZ1365" s="76"/>
    </row>
    <row r="1366" spans="1:52" x14ac:dyDescent="0.25">
      <c r="A1366" s="86">
        <v>13472</v>
      </c>
      <c r="B1366" s="87" t="s">
        <v>18</v>
      </c>
      <c r="C1366" s="87" t="s">
        <v>18</v>
      </c>
      <c r="D1366" s="87" t="s">
        <v>2697</v>
      </c>
      <c r="E1366" s="87" t="s">
        <v>2698</v>
      </c>
      <c r="F1366" s="87">
        <v>36.347946200000003</v>
      </c>
      <c r="G1366" s="87">
        <v>43.805508500000002</v>
      </c>
      <c r="H1366" s="86">
        <v>153</v>
      </c>
      <c r="I1366" s="86">
        <v>918</v>
      </c>
      <c r="J1366" s="87"/>
      <c r="K1366" s="87"/>
      <c r="L1366" s="87">
        <v>5</v>
      </c>
      <c r="M1366" s="87"/>
      <c r="N1366" s="87"/>
      <c r="O1366" s="87"/>
      <c r="P1366" s="87"/>
      <c r="Q1366" s="87"/>
      <c r="R1366" s="87">
        <v>10</v>
      </c>
      <c r="S1366" s="87"/>
      <c r="T1366" s="87"/>
      <c r="U1366" s="87"/>
      <c r="V1366" s="87">
        <v>60</v>
      </c>
      <c r="W1366" s="87"/>
      <c r="X1366" s="87">
        <v>78</v>
      </c>
      <c r="Y1366" s="87"/>
      <c r="Z1366" s="87"/>
      <c r="AA1366" s="87"/>
      <c r="AB1366" s="87"/>
      <c r="AC1366" s="87"/>
      <c r="AD1366" s="87"/>
      <c r="AE1366" s="87"/>
      <c r="AF1366" s="87"/>
      <c r="AG1366" s="87"/>
      <c r="AH1366" s="87">
        <v>153</v>
      </c>
      <c r="AI1366" s="87"/>
      <c r="AJ1366" s="87"/>
      <c r="AK1366" s="87"/>
      <c r="AL1366" s="87"/>
      <c r="AM1366" s="87"/>
      <c r="AN1366" s="87"/>
      <c r="AO1366" s="87">
        <v>108</v>
      </c>
      <c r="AP1366" s="87">
        <v>15</v>
      </c>
      <c r="AQ1366" s="87">
        <v>5</v>
      </c>
      <c r="AR1366" s="87"/>
      <c r="AS1366" s="87"/>
      <c r="AT1366" s="87">
        <v>15</v>
      </c>
      <c r="AU1366" s="87">
        <v>10</v>
      </c>
      <c r="AV1366" s="87"/>
      <c r="AW1366" s="88" t="str">
        <f>HYPERLINK("http://www.openstreetmap.org/?mlat=36.3479&amp;mlon=43.8055&amp;zoom=12#map=12/36.3479/43.8055","Maplink1")</f>
        <v>Maplink1</v>
      </c>
      <c r="AX1366" s="88" t="str">
        <f>HYPERLINK("https://www.google.iq/maps/search/+36.3479,43.8055/@36.3479,43.8055,14z?hl=en","Maplink2")</f>
        <v>Maplink2</v>
      </c>
      <c r="AY1366" s="88" t="str">
        <f>HYPERLINK("http://www.bing.com/maps/?lvl=14&amp;sty=h&amp;cp=36.3479~43.8055&amp;sp=point.36.3479_43.8055","Maplink3")</f>
        <v>Maplink3</v>
      </c>
      <c r="AZ1366" s="76"/>
    </row>
    <row r="1367" spans="1:52" x14ac:dyDescent="0.25">
      <c r="A1367" s="86">
        <v>27227</v>
      </c>
      <c r="B1367" s="87" t="s">
        <v>18</v>
      </c>
      <c r="C1367" s="87" t="s">
        <v>18</v>
      </c>
      <c r="D1367" s="87" t="s">
        <v>2699</v>
      </c>
      <c r="E1367" s="87" t="s">
        <v>2700</v>
      </c>
      <c r="F1367" s="87">
        <v>36.186227000000002</v>
      </c>
      <c r="G1367" s="87">
        <v>44.0349717</v>
      </c>
      <c r="H1367" s="86">
        <v>103</v>
      </c>
      <c r="I1367" s="86">
        <v>618</v>
      </c>
      <c r="J1367" s="87">
        <v>31</v>
      </c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>
        <v>52</v>
      </c>
      <c r="W1367" s="87"/>
      <c r="X1367" s="87">
        <v>20</v>
      </c>
      <c r="Y1367" s="87"/>
      <c r="Z1367" s="87"/>
      <c r="AA1367" s="87"/>
      <c r="AB1367" s="87"/>
      <c r="AC1367" s="87"/>
      <c r="AD1367" s="87"/>
      <c r="AE1367" s="87"/>
      <c r="AF1367" s="87"/>
      <c r="AG1367" s="87"/>
      <c r="AH1367" s="87">
        <v>103</v>
      </c>
      <c r="AI1367" s="87"/>
      <c r="AJ1367" s="87"/>
      <c r="AK1367" s="87"/>
      <c r="AL1367" s="87"/>
      <c r="AM1367" s="87"/>
      <c r="AN1367" s="87">
        <v>5</v>
      </c>
      <c r="AO1367" s="87">
        <v>59</v>
      </c>
      <c r="AP1367" s="87">
        <v>3</v>
      </c>
      <c r="AQ1367" s="87"/>
      <c r="AR1367" s="87">
        <v>26</v>
      </c>
      <c r="AS1367" s="87"/>
      <c r="AT1367" s="87">
        <v>10</v>
      </c>
      <c r="AU1367" s="87"/>
      <c r="AV1367" s="87"/>
      <c r="AW1367" s="88" t="str">
        <f>HYPERLINK("http://www.openstreetmap.org/?mlat=36.1862&amp;mlon=44.035&amp;zoom=12#map=12/36.1862/44.035","Maplink1")</f>
        <v>Maplink1</v>
      </c>
      <c r="AX1367" s="88" t="str">
        <f>HYPERLINK("https://www.google.iq/maps/search/+36.1862,44.035/@36.1862,44.035,14z?hl=en","Maplink2")</f>
        <v>Maplink2</v>
      </c>
      <c r="AY1367" s="88" t="str">
        <f>HYPERLINK("http://www.bing.com/maps/?lvl=14&amp;sty=h&amp;cp=36.1862~44.035&amp;sp=point.36.1862_44.035","Maplink3")</f>
        <v>Maplink3</v>
      </c>
      <c r="AZ1367" s="76"/>
    </row>
    <row r="1368" spans="1:52" x14ac:dyDescent="0.25">
      <c r="A1368" s="86">
        <v>12821</v>
      </c>
      <c r="B1368" s="87" t="s">
        <v>18</v>
      </c>
      <c r="C1368" s="87" t="s">
        <v>18</v>
      </c>
      <c r="D1368" s="87" t="s">
        <v>2699</v>
      </c>
      <c r="E1368" s="87" t="s">
        <v>2700</v>
      </c>
      <c r="F1368" s="87">
        <v>36.276882700000002</v>
      </c>
      <c r="G1368" s="87">
        <v>43.672787900000003</v>
      </c>
      <c r="H1368" s="86">
        <v>3642</v>
      </c>
      <c r="I1368" s="86">
        <v>21852</v>
      </c>
      <c r="J1368" s="87">
        <v>1057</v>
      </c>
      <c r="K1368" s="87"/>
      <c r="L1368" s="87">
        <v>20</v>
      </c>
      <c r="M1368" s="87"/>
      <c r="N1368" s="87"/>
      <c r="O1368" s="87"/>
      <c r="P1368" s="87"/>
      <c r="Q1368" s="87"/>
      <c r="R1368" s="87">
        <v>25</v>
      </c>
      <c r="S1368" s="87"/>
      <c r="T1368" s="87"/>
      <c r="U1368" s="87"/>
      <c r="V1368" s="87">
        <v>2540</v>
      </c>
      <c r="W1368" s="87"/>
      <c r="X1368" s="87"/>
      <c r="Y1368" s="87"/>
      <c r="Z1368" s="87"/>
      <c r="AA1368" s="87"/>
      <c r="AB1368" s="87"/>
      <c r="AC1368" s="87"/>
      <c r="AD1368" s="87"/>
      <c r="AE1368" s="87"/>
      <c r="AF1368" s="87"/>
      <c r="AG1368" s="87"/>
      <c r="AH1368" s="87">
        <v>3630</v>
      </c>
      <c r="AI1368" s="87"/>
      <c r="AJ1368" s="87"/>
      <c r="AK1368" s="87"/>
      <c r="AL1368" s="87">
        <v>12</v>
      </c>
      <c r="AM1368" s="87"/>
      <c r="AN1368" s="87">
        <v>476</v>
      </c>
      <c r="AO1368" s="87">
        <v>1770</v>
      </c>
      <c r="AP1368" s="87">
        <v>488</v>
      </c>
      <c r="AQ1368" s="87">
        <v>20</v>
      </c>
      <c r="AR1368" s="87">
        <v>562</v>
      </c>
      <c r="AS1368" s="87">
        <v>5</v>
      </c>
      <c r="AT1368" s="87">
        <v>275</v>
      </c>
      <c r="AU1368" s="87">
        <v>31</v>
      </c>
      <c r="AV1368" s="87">
        <v>15</v>
      </c>
      <c r="AW1368" s="88" t="str">
        <f>HYPERLINK("http://www.openstreetmap.org/?mlat=36.2769&amp;mlon=43.6728&amp;zoom=12#map=12/36.2769/43.6728","Maplink1")</f>
        <v>Maplink1</v>
      </c>
      <c r="AX1368" s="88" t="str">
        <f>HYPERLINK("https://www.google.iq/maps/search/+36.2769,43.6728/@36.2769,43.6728,14z?hl=en","Maplink2")</f>
        <v>Maplink2</v>
      </c>
      <c r="AY1368" s="88" t="str">
        <f>HYPERLINK("http://www.bing.com/maps/?lvl=14&amp;sty=h&amp;cp=36.2769~43.6728&amp;sp=point.36.2769_43.6728","Maplink3")</f>
        <v>Maplink3</v>
      </c>
      <c r="AZ1368" s="76"/>
    </row>
    <row r="1369" spans="1:52" x14ac:dyDescent="0.25">
      <c r="A1369" s="86">
        <v>21549</v>
      </c>
      <c r="B1369" s="87" t="s">
        <v>18</v>
      </c>
      <c r="C1369" s="87" t="s">
        <v>18</v>
      </c>
      <c r="D1369" s="87" t="s">
        <v>2701</v>
      </c>
      <c r="E1369" s="87" t="s">
        <v>2702</v>
      </c>
      <c r="F1369" s="87">
        <v>36.206029200000003</v>
      </c>
      <c r="G1369" s="87">
        <v>44.135842599999997</v>
      </c>
      <c r="H1369" s="86">
        <v>85</v>
      </c>
      <c r="I1369" s="86">
        <v>510</v>
      </c>
      <c r="J1369" s="87">
        <v>50</v>
      </c>
      <c r="K1369" s="87"/>
      <c r="L1369" s="87"/>
      <c r="M1369" s="87"/>
      <c r="N1369" s="87"/>
      <c r="O1369" s="87"/>
      <c r="P1369" s="87"/>
      <c r="Q1369" s="87"/>
      <c r="R1369" s="87"/>
      <c r="S1369" s="87"/>
      <c r="T1369" s="87"/>
      <c r="U1369" s="87"/>
      <c r="V1369" s="87">
        <v>20</v>
      </c>
      <c r="W1369" s="87"/>
      <c r="X1369" s="87">
        <v>15</v>
      </c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>
        <v>85</v>
      </c>
      <c r="AI1369" s="87"/>
      <c r="AJ1369" s="87"/>
      <c r="AK1369" s="87"/>
      <c r="AL1369" s="87"/>
      <c r="AM1369" s="87"/>
      <c r="AN1369" s="87">
        <v>35</v>
      </c>
      <c r="AO1369" s="87">
        <v>25</v>
      </c>
      <c r="AP1369" s="87"/>
      <c r="AQ1369" s="87"/>
      <c r="AR1369" s="87">
        <v>15</v>
      </c>
      <c r="AS1369" s="87"/>
      <c r="AT1369" s="87">
        <v>10</v>
      </c>
      <c r="AU1369" s="87"/>
      <c r="AV1369" s="87"/>
      <c r="AW1369" s="88" t="str">
        <f>HYPERLINK("http://www.openstreetmap.org/?mlat=36.206&amp;mlon=44.1358&amp;zoom=12#map=12/36.206/44.1358","Maplink1")</f>
        <v>Maplink1</v>
      </c>
      <c r="AX1369" s="88" t="str">
        <f>HYPERLINK("https://www.google.iq/maps/search/+36.206,44.1358/@36.206,44.1358,14z?hl=en","Maplink2")</f>
        <v>Maplink2</v>
      </c>
      <c r="AY1369" s="88" t="str">
        <f>HYPERLINK("http://www.bing.com/maps/?lvl=14&amp;sty=h&amp;cp=36.206~44.1358&amp;sp=point.36.206_44.1358","Maplink3")</f>
        <v>Maplink3</v>
      </c>
      <c r="AZ1369" s="76"/>
    </row>
    <row r="1370" spans="1:52" x14ac:dyDescent="0.25">
      <c r="A1370" s="86">
        <v>33470</v>
      </c>
      <c r="B1370" s="87" t="s">
        <v>18</v>
      </c>
      <c r="C1370" s="87" t="s">
        <v>18</v>
      </c>
      <c r="D1370" s="87" t="s">
        <v>2703</v>
      </c>
      <c r="E1370" s="87" t="s">
        <v>2704</v>
      </c>
      <c r="F1370" s="87">
        <v>36.281346999999997</v>
      </c>
      <c r="G1370" s="87">
        <v>44.020741100000002</v>
      </c>
      <c r="H1370" s="86">
        <v>93</v>
      </c>
      <c r="I1370" s="86">
        <v>558</v>
      </c>
      <c r="J1370" s="87">
        <v>30</v>
      </c>
      <c r="K1370" s="87"/>
      <c r="L1370" s="87"/>
      <c r="M1370" s="87"/>
      <c r="N1370" s="87"/>
      <c r="O1370" s="87"/>
      <c r="P1370" s="87"/>
      <c r="Q1370" s="87"/>
      <c r="R1370" s="87"/>
      <c r="S1370" s="87"/>
      <c r="T1370" s="87"/>
      <c r="U1370" s="87"/>
      <c r="V1370" s="87">
        <v>48</v>
      </c>
      <c r="W1370" s="87"/>
      <c r="X1370" s="87">
        <v>15</v>
      </c>
      <c r="Y1370" s="87"/>
      <c r="Z1370" s="87"/>
      <c r="AA1370" s="87"/>
      <c r="AB1370" s="87"/>
      <c r="AC1370" s="87"/>
      <c r="AD1370" s="87"/>
      <c r="AE1370" s="87"/>
      <c r="AF1370" s="87"/>
      <c r="AG1370" s="87"/>
      <c r="AH1370" s="87">
        <v>93</v>
      </c>
      <c r="AI1370" s="87"/>
      <c r="AJ1370" s="87"/>
      <c r="AK1370" s="87"/>
      <c r="AL1370" s="87"/>
      <c r="AM1370" s="87"/>
      <c r="AN1370" s="87">
        <v>5</v>
      </c>
      <c r="AO1370" s="87">
        <v>20</v>
      </c>
      <c r="AP1370" s="87"/>
      <c r="AQ1370" s="87"/>
      <c r="AR1370" s="87">
        <v>24</v>
      </c>
      <c r="AS1370" s="87"/>
      <c r="AT1370" s="87">
        <v>40</v>
      </c>
      <c r="AU1370" s="87">
        <v>4</v>
      </c>
      <c r="AV1370" s="87"/>
      <c r="AW1370" s="88" t="str">
        <f>HYPERLINK("http://www.openstreetmap.org/?mlat=36.2813&amp;mlon=44.0207&amp;zoom=12#map=12/36.2813/44.0207","Maplink1")</f>
        <v>Maplink1</v>
      </c>
      <c r="AX1370" s="88" t="str">
        <f>HYPERLINK("https://www.google.iq/maps/search/+36.2813,44.0207/@36.2813,44.0207,14z?hl=en","Maplink2")</f>
        <v>Maplink2</v>
      </c>
      <c r="AY1370" s="88" t="str">
        <f>HYPERLINK("http://www.bing.com/maps/?lvl=14&amp;sty=h&amp;cp=36.2813~44.0207&amp;sp=point.36.2813_44.0207","Maplink3")</f>
        <v>Maplink3</v>
      </c>
      <c r="AZ1370" s="76"/>
    </row>
    <row r="1371" spans="1:52" x14ac:dyDescent="0.25">
      <c r="A1371" s="86">
        <v>21671</v>
      </c>
      <c r="B1371" s="87" t="s">
        <v>18</v>
      </c>
      <c r="C1371" s="87" t="s">
        <v>18</v>
      </c>
      <c r="D1371" s="87" t="s">
        <v>2705</v>
      </c>
      <c r="E1371" s="87" t="s">
        <v>2706</v>
      </c>
      <c r="F1371" s="87">
        <v>36.123581700000003</v>
      </c>
      <c r="G1371" s="87">
        <v>44.051255099999999</v>
      </c>
      <c r="H1371" s="86">
        <v>110</v>
      </c>
      <c r="I1371" s="86">
        <v>660</v>
      </c>
      <c r="J1371" s="87">
        <v>60</v>
      </c>
      <c r="K1371" s="87"/>
      <c r="L1371" s="87"/>
      <c r="M1371" s="87"/>
      <c r="N1371" s="87"/>
      <c r="O1371" s="87"/>
      <c r="P1371" s="87"/>
      <c r="Q1371" s="87"/>
      <c r="R1371" s="87">
        <v>15</v>
      </c>
      <c r="S1371" s="87"/>
      <c r="T1371" s="87"/>
      <c r="U1371" s="87"/>
      <c r="V1371" s="87">
        <v>35</v>
      </c>
      <c r="W1371" s="87"/>
      <c r="X1371" s="87"/>
      <c r="Y1371" s="87"/>
      <c r="Z1371" s="87"/>
      <c r="AA1371" s="87"/>
      <c r="AB1371" s="87"/>
      <c r="AC1371" s="87"/>
      <c r="AD1371" s="87"/>
      <c r="AE1371" s="87"/>
      <c r="AF1371" s="87"/>
      <c r="AG1371" s="87"/>
      <c r="AH1371" s="87">
        <v>110</v>
      </c>
      <c r="AI1371" s="87"/>
      <c r="AJ1371" s="87"/>
      <c r="AK1371" s="87"/>
      <c r="AL1371" s="87"/>
      <c r="AM1371" s="87"/>
      <c r="AN1371" s="87">
        <v>47</v>
      </c>
      <c r="AO1371" s="87">
        <v>15</v>
      </c>
      <c r="AP1371" s="87">
        <v>17</v>
      </c>
      <c r="AQ1371" s="87"/>
      <c r="AR1371" s="87">
        <v>13</v>
      </c>
      <c r="AS1371" s="87"/>
      <c r="AT1371" s="87">
        <v>3</v>
      </c>
      <c r="AU1371" s="87">
        <v>15</v>
      </c>
      <c r="AV1371" s="87"/>
      <c r="AW1371" s="88" t="str">
        <f>HYPERLINK("http://www.openstreetmap.org/?mlat=36.1236&amp;mlon=44.0513&amp;zoom=12#map=12/36.1236/44.0513","Maplink1")</f>
        <v>Maplink1</v>
      </c>
      <c r="AX1371" s="88" t="str">
        <f>HYPERLINK("https://www.google.iq/maps/search/+36.1236,44.0513/@36.1236,44.0513,14z?hl=en","Maplink2")</f>
        <v>Maplink2</v>
      </c>
      <c r="AY1371" s="88" t="str">
        <f>HYPERLINK("http://www.bing.com/maps/?lvl=14&amp;sty=h&amp;cp=36.1236~44.0513&amp;sp=point.36.1236_44.0513","Maplink3")</f>
        <v>Maplink3</v>
      </c>
      <c r="AZ1371" s="76"/>
    </row>
    <row r="1372" spans="1:52" x14ac:dyDescent="0.25">
      <c r="A1372" s="86">
        <v>32052</v>
      </c>
      <c r="B1372" s="87" t="s">
        <v>18</v>
      </c>
      <c r="C1372" s="87" t="s">
        <v>18</v>
      </c>
      <c r="D1372" s="87" t="s">
        <v>2707</v>
      </c>
      <c r="E1372" s="87" t="s">
        <v>2708</v>
      </c>
      <c r="F1372" s="87">
        <v>36.218309599999998</v>
      </c>
      <c r="G1372" s="87">
        <v>44.143778900000001</v>
      </c>
      <c r="H1372" s="86">
        <v>296</v>
      </c>
      <c r="I1372" s="86">
        <v>1776</v>
      </c>
      <c r="J1372" s="87">
        <v>78</v>
      </c>
      <c r="K1372" s="87"/>
      <c r="L1372" s="87"/>
      <c r="M1372" s="87"/>
      <c r="N1372" s="87"/>
      <c r="O1372" s="87"/>
      <c r="P1372" s="87"/>
      <c r="Q1372" s="87"/>
      <c r="R1372" s="87">
        <v>150</v>
      </c>
      <c r="S1372" s="87"/>
      <c r="T1372" s="87"/>
      <c r="U1372" s="87"/>
      <c r="V1372" s="87">
        <v>58</v>
      </c>
      <c r="W1372" s="87"/>
      <c r="X1372" s="87">
        <v>10</v>
      </c>
      <c r="Y1372" s="87"/>
      <c r="Z1372" s="87"/>
      <c r="AA1372" s="87"/>
      <c r="AB1372" s="87"/>
      <c r="AC1372" s="87"/>
      <c r="AD1372" s="87"/>
      <c r="AE1372" s="87"/>
      <c r="AF1372" s="87"/>
      <c r="AG1372" s="87"/>
      <c r="AH1372" s="87">
        <v>287</v>
      </c>
      <c r="AI1372" s="87"/>
      <c r="AJ1372" s="87"/>
      <c r="AK1372" s="87"/>
      <c r="AL1372" s="87">
        <v>9</v>
      </c>
      <c r="AM1372" s="87"/>
      <c r="AN1372" s="87">
        <v>15</v>
      </c>
      <c r="AO1372" s="87">
        <v>32</v>
      </c>
      <c r="AP1372" s="87">
        <v>5</v>
      </c>
      <c r="AQ1372" s="87"/>
      <c r="AR1372" s="87">
        <v>53</v>
      </c>
      <c r="AS1372" s="87"/>
      <c r="AT1372" s="87">
        <v>31</v>
      </c>
      <c r="AU1372" s="87">
        <v>160</v>
      </c>
      <c r="AV1372" s="87"/>
      <c r="AW1372" s="88" t="str">
        <f>HYPERLINK("http://www.openstreetmap.org/?mlat=36.2183&amp;mlon=44.1438&amp;zoom=12#map=12/36.2183/44.1438","Maplink1")</f>
        <v>Maplink1</v>
      </c>
      <c r="AX1372" s="88" t="str">
        <f>HYPERLINK("https://www.google.iq/maps/search/+36.2183,44.1438/@36.2183,44.1438,14z?hl=en","Maplink2")</f>
        <v>Maplink2</v>
      </c>
      <c r="AY1372" s="88" t="str">
        <f>HYPERLINK("http://www.bing.com/maps/?lvl=14&amp;sty=h&amp;cp=36.2183~44.1438&amp;sp=point.36.2183_44.1438","Maplink3")</f>
        <v>Maplink3</v>
      </c>
      <c r="AZ1372" s="76"/>
    </row>
    <row r="1373" spans="1:52" x14ac:dyDescent="0.25">
      <c r="A1373" s="86">
        <v>23931</v>
      </c>
      <c r="B1373" s="87" t="s">
        <v>18</v>
      </c>
      <c r="C1373" s="87" t="s">
        <v>18</v>
      </c>
      <c r="D1373" s="87" t="s">
        <v>2709</v>
      </c>
      <c r="E1373" s="87" t="s">
        <v>2710</v>
      </c>
      <c r="F1373" s="87">
        <v>36.188885599999999</v>
      </c>
      <c r="G1373" s="87">
        <v>44.123966699999997</v>
      </c>
      <c r="H1373" s="86">
        <v>115</v>
      </c>
      <c r="I1373" s="86">
        <v>690</v>
      </c>
      <c r="J1373" s="87">
        <v>30</v>
      </c>
      <c r="K1373" s="87"/>
      <c r="L1373" s="87"/>
      <c r="M1373" s="87"/>
      <c r="N1373" s="87"/>
      <c r="O1373" s="87"/>
      <c r="P1373" s="87"/>
      <c r="Q1373" s="87"/>
      <c r="R1373" s="87"/>
      <c r="S1373" s="87"/>
      <c r="T1373" s="87"/>
      <c r="U1373" s="87"/>
      <c r="V1373" s="87">
        <v>80</v>
      </c>
      <c r="W1373" s="87"/>
      <c r="X1373" s="87">
        <v>5</v>
      </c>
      <c r="Y1373" s="87"/>
      <c r="Z1373" s="87"/>
      <c r="AA1373" s="87"/>
      <c r="AB1373" s="87"/>
      <c r="AC1373" s="87"/>
      <c r="AD1373" s="87"/>
      <c r="AE1373" s="87"/>
      <c r="AF1373" s="87"/>
      <c r="AG1373" s="87"/>
      <c r="AH1373" s="87">
        <v>111</v>
      </c>
      <c r="AI1373" s="87"/>
      <c r="AJ1373" s="87"/>
      <c r="AK1373" s="87"/>
      <c r="AL1373" s="87">
        <v>4</v>
      </c>
      <c r="AM1373" s="87"/>
      <c r="AN1373" s="87">
        <v>15</v>
      </c>
      <c r="AO1373" s="87">
        <v>20</v>
      </c>
      <c r="AP1373" s="87">
        <v>5</v>
      </c>
      <c r="AQ1373" s="87"/>
      <c r="AR1373" s="87">
        <v>5</v>
      </c>
      <c r="AS1373" s="87"/>
      <c r="AT1373" s="87">
        <v>60</v>
      </c>
      <c r="AU1373" s="87">
        <v>10</v>
      </c>
      <c r="AV1373" s="87"/>
      <c r="AW1373" s="88" t="str">
        <f>HYPERLINK("http://www.openstreetmap.org/?mlat=36.1889&amp;mlon=44.124&amp;zoom=12#map=12/36.1889/44.124","Maplink1")</f>
        <v>Maplink1</v>
      </c>
      <c r="AX1373" s="88" t="str">
        <f>HYPERLINK("https://www.google.iq/maps/search/+36.1889,44.124/@36.1889,44.124,14z?hl=en","Maplink2")</f>
        <v>Maplink2</v>
      </c>
      <c r="AY1373" s="88" t="str">
        <f>HYPERLINK("http://www.bing.com/maps/?lvl=14&amp;sty=h&amp;cp=36.1889~44.124&amp;sp=point.36.1889_44.124","Maplink3")</f>
        <v>Maplink3</v>
      </c>
      <c r="AZ1373" s="76"/>
    </row>
    <row r="1374" spans="1:52" x14ac:dyDescent="0.25">
      <c r="A1374" s="86">
        <v>27136</v>
      </c>
      <c r="B1374" s="87" t="s">
        <v>18</v>
      </c>
      <c r="C1374" s="87" t="s">
        <v>18</v>
      </c>
      <c r="D1374" s="87" t="s">
        <v>2711</v>
      </c>
      <c r="E1374" s="87" t="s">
        <v>2712</v>
      </c>
      <c r="F1374" s="87">
        <v>36.261699999999998</v>
      </c>
      <c r="G1374" s="87">
        <v>44.011000000000003</v>
      </c>
      <c r="H1374" s="86">
        <v>150</v>
      </c>
      <c r="I1374" s="86">
        <v>900</v>
      </c>
      <c r="J1374" s="87"/>
      <c r="K1374" s="87"/>
      <c r="L1374" s="87"/>
      <c r="M1374" s="87"/>
      <c r="N1374" s="87"/>
      <c r="O1374" s="87"/>
      <c r="P1374" s="87"/>
      <c r="Q1374" s="87"/>
      <c r="R1374" s="87"/>
      <c r="S1374" s="87"/>
      <c r="T1374" s="87"/>
      <c r="U1374" s="87"/>
      <c r="V1374" s="87">
        <v>150</v>
      </c>
      <c r="W1374" s="87"/>
      <c r="X1374" s="87"/>
      <c r="Y1374" s="87"/>
      <c r="Z1374" s="87"/>
      <c r="AA1374" s="87"/>
      <c r="AB1374" s="87"/>
      <c r="AC1374" s="87"/>
      <c r="AD1374" s="87"/>
      <c r="AE1374" s="87"/>
      <c r="AF1374" s="87"/>
      <c r="AG1374" s="87"/>
      <c r="AH1374" s="87">
        <v>150</v>
      </c>
      <c r="AI1374" s="87"/>
      <c r="AJ1374" s="87"/>
      <c r="AK1374" s="87"/>
      <c r="AL1374" s="87"/>
      <c r="AM1374" s="87"/>
      <c r="AN1374" s="87"/>
      <c r="AO1374" s="87">
        <v>50</v>
      </c>
      <c r="AP1374" s="87"/>
      <c r="AQ1374" s="87"/>
      <c r="AR1374" s="87"/>
      <c r="AS1374" s="87"/>
      <c r="AT1374" s="87">
        <v>100</v>
      </c>
      <c r="AU1374" s="87"/>
      <c r="AV1374" s="87"/>
      <c r="AW1374" s="88" t="str">
        <f>HYPERLINK("http://www.openstreetmap.org/?mlat=36.2617&amp;mlon=44.011&amp;zoom=12#map=12/36.2617/44.011","Maplink1")</f>
        <v>Maplink1</v>
      </c>
      <c r="AX1374" s="88" t="str">
        <f>HYPERLINK("https://www.google.iq/maps/search/+36.2617,44.011/@36.2617,44.011,14z?hl=en","Maplink2")</f>
        <v>Maplink2</v>
      </c>
      <c r="AY1374" s="88" t="str">
        <f>HYPERLINK("http://www.bing.com/maps/?lvl=14&amp;sty=h&amp;cp=36.2617~44.011&amp;sp=point.36.2617_44.011","Maplink3")</f>
        <v>Maplink3</v>
      </c>
      <c r="AZ1374" s="76"/>
    </row>
    <row r="1375" spans="1:52" x14ac:dyDescent="0.25">
      <c r="A1375" s="86">
        <v>12825</v>
      </c>
      <c r="B1375" s="87" t="s">
        <v>18</v>
      </c>
      <c r="C1375" s="87" t="s">
        <v>18</v>
      </c>
      <c r="D1375" s="87" t="s">
        <v>2713</v>
      </c>
      <c r="E1375" s="87" t="s">
        <v>2714</v>
      </c>
      <c r="F1375" s="87">
        <v>36.2994883</v>
      </c>
      <c r="G1375" s="87">
        <v>44.136914900000001</v>
      </c>
      <c r="H1375" s="86">
        <v>163</v>
      </c>
      <c r="I1375" s="86">
        <v>978</v>
      </c>
      <c r="J1375" s="87">
        <v>40</v>
      </c>
      <c r="K1375" s="87"/>
      <c r="L1375" s="87"/>
      <c r="M1375" s="87"/>
      <c r="N1375" s="87"/>
      <c r="O1375" s="87"/>
      <c r="P1375" s="87"/>
      <c r="Q1375" s="87"/>
      <c r="R1375" s="87"/>
      <c r="S1375" s="87"/>
      <c r="T1375" s="87"/>
      <c r="U1375" s="87"/>
      <c r="V1375" s="87">
        <v>75</v>
      </c>
      <c r="W1375" s="87"/>
      <c r="X1375" s="87">
        <v>48</v>
      </c>
      <c r="Y1375" s="87"/>
      <c r="Z1375" s="87"/>
      <c r="AA1375" s="87"/>
      <c r="AB1375" s="87"/>
      <c r="AC1375" s="87"/>
      <c r="AD1375" s="87"/>
      <c r="AE1375" s="87"/>
      <c r="AF1375" s="87"/>
      <c r="AG1375" s="87"/>
      <c r="AH1375" s="87">
        <v>163</v>
      </c>
      <c r="AI1375" s="87"/>
      <c r="AJ1375" s="87"/>
      <c r="AK1375" s="87"/>
      <c r="AL1375" s="87"/>
      <c r="AM1375" s="87"/>
      <c r="AN1375" s="87">
        <v>7</v>
      </c>
      <c r="AO1375" s="87">
        <v>53</v>
      </c>
      <c r="AP1375" s="87">
        <v>17</v>
      </c>
      <c r="AQ1375" s="87"/>
      <c r="AR1375" s="87">
        <v>12</v>
      </c>
      <c r="AS1375" s="87">
        <v>5</v>
      </c>
      <c r="AT1375" s="87">
        <v>53</v>
      </c>
      <c r="AU1375" s="87">
        <v>15</v>
      </c>
      <c r="AV1375" s="87">
        <v>1</v>
      </c>
      <c r="AW1375" s="88" t="str">
        <f>HYPERLINK("http://www.openstreetmap.org/?mlat=36.2995&amp;mlon=44.1369&amp;zoom=12#map=12/36.2995/44.1369","Maplink1")</f>
        <v>Maplink1</v>
      </c>
      <c r="AX1375" s="88" t="str">
        <f>HYPERLINK("https://www.google.iq/maps/search/+36.2995,44.1369/@36.2995,44.1369,14z?hl=en","Maplink2")</f>
        <v>Maplink2</v>
      </c>
      <c r="AY1375" s="88" t="str">
        <f>HYPERLINK("http://www.bing.com/maps/?lvl=14&amp;sty=h&amp;cp=36.2995~44.1369&amp;sp=point.36.2995_44.1369","Maplink3")</f>
        <v>Maplink3</v>
      </c>
      <c r="AZ1375" s="76"/>
    </row>
    <row r="1376" spans="1:52" x14ac:dyDescent="0.25">
      <c r="A1376" s="86">
        <v>21247</v>
      </c>
      <c r="B1376" s="87" t="s">
        <v>18</v>
      </c>
      <c r="C1376" s="87" t="s">
        <v>18</v>
      </c>
      <c r="D1376" s="87" t="s">
        <v>2715</v>
      </c>
      <c r="E1376" s="87" t="s">
        <v>2588</v>
      </c>
      <c r="F1376" s="87">
        <v>36.150807137199997</v>
      </c>
      <c r="G1376" s="87">
        <v>44.036977999999998</v>
      </c>
      <c r="H1376" s="86">
        <v>338</v>
      </c>
      <c r="I1376" s="86">
        <v>2028</v>
      </c>
      <c r="J1376" s="87">
        <v>82</v>
      </c>
      <c r="K1376" s="87"/>
      <c r="L1376" s="87">
        <v>96</v>
      </c>
      <c r="M1376" s="87"/>
      <c r="N1376" s="87"/>
      <c r="O1376" s="87">
        <v>9</v>
      </c>
      <c r="P1376" s="87"/>
      <c r="Q1376" s="87"/>
      <c r="R1376" s="87">
        <v>3</v>
      </c>
      <c r="S1376" s="87"/>
      <c r="T1376" s="87"/>
      <c r="U1376" s="87"/>
      <c r="V1376" s="87">
        <v>104</v>
      </c>
      <c r="W1376" s="87"/>
      <c r="X1376" s="87">
        <v>44</v>
      </c>
      <c r="Y1376" s="87"/>
      <c r="Z1376" s="87"/>
      <c r="AA1376" s="87"/>
      <c r="AB1376" s="87"/>
      <c r="AC1376" s="87"/>
      <c r="AD1376" s="87"/>
      <c r="AE1376" s="87"/>
      <c r="AF1376" s="87"/>
      <c r="AG1376" s="87"/>
      <c r="AH1376" s="87">
        <v>338</v>
      </c>
      <c r="AI1376" s="87"/>
      <c r="AJ1376" s="87"/>
      <c r="AK1376" s="87"/>
      <c r="AL1376" s="87"/>
      <c r="AM1376" s="87"/>
      <c r="AN1376" s="87">
        <v>21</v>
      </c>
      <c r="AO1376" s="87">
        <v>44</v>
      </c>
      <c r="AP1376" s="87"/>
      <c r="AQ1376" s="87">
        <v>96</v>
      </c>
      <c r="AR1376" s="87">
        <v>60</v>
      </c>
      <c r="AS1376" s="87"/>
      <c r="AT1376" s="87">
        <v>104</v>
      </c>
      <c r="AU1376" s="87">
        <v>13</v>
      </c>
      <c r="AV1376" s="87"/>
      <c r="AW1376" s="88" t="str">
        <f>HYPERLINK("http://www.openstreetmap.org/?mlat=36.1508&amp;mlon=44.037&amp;zoom=12#map=12/36.1508/44.037","Maplink1")</f>
        <v>Maplink1</v>
      </c>
      <c r="AX1376" s="88" t="str">
        <f>HYPERLINK("https://www.google.iq/maps/search/+36.1508,44.037/@36.1508,44.037,14z?hl=en","Maplink2")</f>
        <v>Maplink2</v>
      </c>
      <c r="AY1376" s="88" t="str">
        <f>HYPERLINK("http://www.bing.com/maps/?lvl=14&amp;sty=h&amp;cp=36.1508~44.037&amp;sp=point.36.1508_44.037","Maplink3")</f>
        <v>Maplink3</v>
      </c>
      <c r="AZ1376" s="76"/>
    </row>
    <row r="1377" spans="1:52" x14ac:dyDescent="0.25">
      <c r="A1377" s="86">
        <v>12826</v>
      </c>
      <c r="B1377" s="87" t="s">
        <v>18</v>
      </c>
      <c r="C1377" s="87" t="s">
        <v>18</v>
      </c>
      <c r="D1377" s="87" t="s">
        <v>2716</v>
      </c>
      <c r="E1377" s="87" t="s">
        <v>2717</v>
      </c>
      <c r="F1377" s="87">
        <v>36.119092369999997</v>
      </c>
      <c r="G1377" s="87">
        <v>43.963591999999998</v>
      </c>
      <c r="H1377" s="86">
        <v>1500</v>
      </c>
      <c r="I1377" s="86">
        <v>9000</v>
      </c>
      <c r="J1377" s="87">
        <v>600</v>
      </c>
      <c r="K1377" s="87"/>
      <c r="L1377" s="87"/>
      <c r="M1377" s="87"/>
      <c r="N1377" s="87"/>
      <c r="O1377" s="87"/>
      <c r="P1377" s="87"/>
      <c r="Q1377" s="87"/>
      <c r="R1377" s="87"/>
      <c r="S1377" s="87"/>
      <c r="T1377" s="87"/>
      <c r="U1377" s="87"/>
      <c r="V1377" s="87">
        <v>790</v>
      </c>
      <c r="W1377" s="87"/>
      <c r="X1377" s="87">
        <v>110</v>
      </c>
      <c r="Y1377" s="87"/>
      <c r="Z1377" s="87"/>
      <c r="AA1377" s="87"/>
      <c r="AB1377" s="87"/>
      <c r="AC1377" s="87"/>
      <c r="AD1377" s="87"/>
      <c r="AE1377" s="87"/>
      <c r="AF1377" s="87"/>
      <c r="AG1377" s="87"/>
      <c r="AH1377" s="87">
        <v>1500</v>
      </c>
      <c r="AI1377" s="87"/>
      <c r="AJ1377" s="87"/>
      <c r="AK1377" s="87"/>
      <c r="AL1377" s="87"/>
      <c r="AM1377" s="87"/>
      <c r="AN1377" s="87">
        <v>250</v>
      </c>
      <c r="AO1377" s="87">
        <v>830</v>
      </c>
      <c r="AP1377" s="87">
        <v>40</v>
      </c>
      <c r="AQ1377" s="87"/>
      <c r="AR1377" s="87">
        <v>340</v>
      </c>
      <c r="AS1377" s="87"/>
      <c r="AT1377" s="87">
        <v>30</v>
      </c>
      <c r="AU1377" s="87">
        <v>10</v>
      </c>
      <c r="AV1377" s="87"/>
      <c r="AW1377" s="88" t="str">
        <f>HYPERLINK("http://www.openstreetmap.org/?mlat=36.1191&amp;mlon=43.9636&amp;zoom=12#map=12/36.1191/43.9636","Maplink1")</f>
        <v>Maplink1</v>
      </c>
      <c r="AX1377" s="88" t="str">
        <f>HYPERLINK("https://www.google.iq/maps/search/+36.1191,43.9636/@36.1191,43.9636,14z?hl=en","Maplink2")</f>
        <v>Maplink2</v>
      </c>
      <c r="AY1377" s="88" t="str">
        <f>HYPERLINK("http://www.bing.com/maps/?lvl=14&amp;sty=h&amp;cp=36.1191~43.9636&amp;sp=point.36.1191_43.9636","Maplink3")</f>
        <v>Maplink3</v>
      </c>
      <c r="AZ1377" s="76"/>
    </row>
    <row r="1378" spans="1:52" x14ac:dyDescent="0.25">
      <c r="A1378" s="86">
        <v>11832</v>
      </c>
      <c r="B1378" s="87" t="s">
        <v>18</v>
      </c>
      <c r="C1378" s="87" t="s">
        <v>18</v>
      </c>
      <c r="D1378" s="87" t="s">
        <v>2718</v>
      </c>
      <c r="E1378" s="87" t="s">
        <v>2719</v>
      </c>
      <c r="F1378" s="87">
        <v>36.187814299999999</v>
      </c>
      <c r="G1378" s="87">
        <v>43.998871899999997</v>
      </c>
      <c r="H1378" s="86">
        <v>61</v>
      </c>
      <c r="I1378" s="86">
        <v>366</v>
      </c>
      <c r="J1378" s="87">
        <v>11</v>
      </c>
      <c r="K1378" s="87"/>
      <c r="L1378" s="87"/>
      <c r="M1378" s="87"/>
      <c r="N1378" s="87"/>
      <c r="O1378" s="87"/>
      <c r="P1378" s="87"/>
      <c r="Q1378" s="87"/>
      <c r="R1378" s="87"/>
      <c r="S1378" s="87"/>
      <c r="T1378" s="87"/>
      <c r="U1378" s="87"/>
      <c r="V1378" s="87">
        <v>41</v>
      </c>
      <c r="W1378" s="87"/>
      <c r="X1378" s="87">
        <v>9</v>
      </c>
      <c r="Y1378" s="87"/>
      <c r="Z1378" s="87"/>
      <c r="AA1378" s="87"/>
      <c r="AB1378" s="87"/>
      <c r="AC1378" s="87"/>
      <c r="AD1378" s="87"/>
      <c r="AE1378" s="87"/>
      <c r="AF1378" s="87"/>
      <c r="AG1378" s="87"/>
      <c r="AH1378" s="87">
        <v>61</v>
      </c>
      <c r="AI1378" s="87"/>
      <c r="AJ1378" s="87"/>
      <c r="AK1378" s="87"/>
      <c r="AL1378" s="87"/>
      <c r="AM1378" s="87"/>
      <c r="AN1378" s="87">
        <v>3</v>
      </c>
      <c r="AO1378" s="87">
        <v>15</v>
      </c>
      <c r="AP1378" s="87"/>
      <c r="AQ1378" s="87"/>
      <c r="AR1378" s="87">
        <v>8</v>
      </c>
      <c r="AS1378" s="87">
        <v>1</v>
      </c>
      <c r="AT1378" s="87">
        <v>34</v>
      </c>
      <c r="AU1378" s="87"/>
      <c r="AV1378" s="87"/>
      <c r="AW1378" s="88" t="str">
        <f>HYPERLINK("http://www.openstreetmap.org/?mlat=36.1878&amp;mlon=43.9989&amp;zoom=12#map=12/36.1878/43.9989","Maplink1")</f>
        <v>Maplink1</v>
      </c>
      <c r="AX1378" s="88" t="str">
        <f>HYPERLINK("https://www.google.iq/maps/search/+36.1878,43.9989/@36.1878,43.9989,14z?hl=en","Maplink2")</f>
        <v>Maplink2</v>
      </c>
      <c r="AY1378" s="88" t="str">
        <f>HYPERLINK("http://www.bing.com/maps/?lvl=14&amp;sty=h&amp;cp=36.1878~43.9989&amp;sp=point.36.1878_43.9989","Maplink3")</f>
        <v>Maplink3</v>
      </c>
      <c r="AZ1378" s="76"/>
    </row>
    <row r="1379" spans="1:52" x14ac:dyDescent="0.25">
      <c r="A1379" s="86">
        <v>27420</v>
      </c>
      <c r="B1379" s="87" t="s">
        <v>18</v>
      </c>
      <c r="C1379" s="87" t="s">
        <v>18</v>
      </c>
      <c r="D1379" s="87" t="s">
        <v>2720</v>
      </c>
      <c r="E1379" s="87" t="s">
        <v>2721</v>
      </c>
      <c r="F1379" s="87">
        <v>36.176115500000002</v>
      </c>
      <c r="G1379" s="87">
        <v>44.061356639499998</v>
      </c>
      <c r="H1379" s="86">
        <v>95</v>
      </c>
      <c r="I1379" s="86">
        <v>570</v>
      </c>
      <c r="J1379" s="87">
        <v>17</v>
      </c>
      <c r="K1379" s="87"/>
      <c r="L1379" s="87">
        <v>5</v>
      </c>
      <c r="M1379" s="87"/>
      <c r="N1379" s="87"/>
      <c r="O1379" s="87"/>
      <c r="P1379" s="87"/>
      <c r="Q1379" s="87"/>
      <c r="R1379" s="87">
        <v>5</v>
      </c>
      <c r="S1379" s="87"/>
      <c r="T1379" s="87"/>
      <c r="U1379" s="87"/>
      <c r="V1379" s="87">
        <v>30</v>
      </c>
      <c r="W1379" s="87"/>
      <c r="X1379" s="87">
        <v>38</v>
      </c>
      <c r="Y1379" s="87"/>
      <c r="Z1379" s="87"/>
      <c r="AA1379" s="87"/>
      <c r="AB1379" s="87"/>
      <c r="AC1379" s="87"/>
      <c r="AD1379" s="87"/>
      <c r="AE1379" s="87"/>
      <c r="AF1379" s="87"/>
      <c r="AG1379" s="87"/>
      <c r="AH1379" s="87">
        <v>95</v>
      </c>
      <c r="AI1379" s="87"/>
      <c r="AJ1379" s="87"/>
      <c r="AK1379" s="87"/>
      <c r="AL1379" s="87"/>
      <c r="AM1379" s="87"/>
      <c r="AN1379" s="87">
        <v>5</v>
      </c>
      <c r="AO1379" s="87">
        <v>52</v>
      </c>
      <c r="AP1379" s="87">
        <v>5</v>
      </c>
      <c r="AQ1379" s="87">
        <v>5</v>
      </c>
      <c r="AR1379" s="87">
        <v>13</v>
      </c>
      <c r="AS1379" s="87">
        <v>5</v>
      </c>
      <c r="AT1379" s="87">
        <v>5</v>
      </c>
      <c r="AU1379" s="87">
        <v>5</v>
      </c>
      <c r="AV1379" s="87"/>
      <c r="AW1379" s="88" t="str">
        <f>HYPERLINK("http://www.openstreetmap.org/?mlat=36.1761&amp;mlon=44.0614&amp;zoom=12#map=12/36.1761/44.0614","Maplink1")</f>
        <v>Maplink1</v>
      </c>
      <c r="AX1379" s="88" t="str">
        <f>HYPERLINK("https://www.google.iq/maps/search/+36.1761,44.0614/@36.1761,44.0614,14z?hl=en","Maplink2")</f>
        <v>Maplink2</v>
      </c>
      <c r="AY1379" s="88" t="str">
        <f>HYPERLINK("http://www.bing.com/maps/?lvl=14&amp;sty=h&amp;cp=36.1761~44.0614&amp;sp=point.36.1761_44.0614","Maplink3")</f>
        <v>Maplink3</v>
      </c>
      <c r="AZ1379" s="76"/>
    </row>
    <row r="1380" spans="1:52" x14ac:dyDescent="0.25">
      <c r="A1380" s="86">
        <v>20986</v>
      </c>
      <c r="B1380" s="87" t="s">
        <v>18</v>
      </c>
      <c r="C1380" s="87" t="s">
        <v>18</v>
      </c>
      <c r="D1380" s="87" t="s">
        <v>2722</v>
      </c>
      <c r="E1380" s="87" t="s">
        <v>2723</v>
      </c>
      <c r="F1380" s="87">
        <v>36.235319250000003</v>
      </c>
      <c r="G1380" s="87">
        <v>43.987445600000001</v>
      </c>
      <c r="H1380" s="86">
        <v>160</v>
      </c>
      <c r="I1380" s="86">
        <v>960</v>
      </c>
      <c r="J1380" s="87">
        <v>15</v>
      </c>
      <c r="K1380" s="87"/>
      <c r="L1380" s="87"/>
      <c r="M1380" s="87"/>
      <c r="N1380" s="87"/>
      <c r="O1380" s="87"/>
      <c r="P1380" s="87"/>
      <c r="Q1380" s="87"/>
      <c r="R1380" s="87"/>
      <c r="S1380" s="87"/>
      <c r="T1380" s="87"/>
      <c r="U1380" s="87"/>
      <c r="V1380" s="87">
        <v>145</v>
      </c>
      <c r="W1380" s="87"/>
      <c r="X1380" s="87"/>
      <c r="Y1380" s="87"/>
      <c r="Z1380" s="87"/>
      <c r="AA1380" s="87"/>
      <c r="AB1380" s="87"/>
      <c r="AC1380" s="87"/>
      <c r="AD1380" s="87"/>
      <c r="AE1380" s="87"/>
      <c r="AF1380" s="87"/>
      <c r="AG1380" s="87"/>
      <c r="AH1380" s="87">
        <v>160</v>
      </c>
      <c r="AI1380" s="87"/>
      <c r="AJ1380" s="87"/>
      <c r="AK1380" s="87"/>
      <c r="AL1380" s="87"/>
      <c r="AM1380" s="87"/>
      <c r="AN1380" s="87"/>
      <c r="AO1380" s="87">
        <v>145</v>
      </c>
      <c r="AP1380" s="87"/>
      <c r="AQ1380" s="87"/>
      <c r="AR1380" s="87">
        <v>15</v>
      </c>
      <c r="AS1380" s="87"/>
      <c r="AT1380" s="87"/>
      <c r="AU1380" s="87"/>
      <c r="AV1380" s="87"/>
      <c r="AW1380" s="88" t="str">
        <f>HYPERLINK("http://www.openstreetmap.org/?mlat=36.2353&amp;mlon=43.9874&amp;zoom=12#map=12/36.2353/43.9874","Maplink1")</f>
        <v>Maplink1</v>
      </c>
      <c r="AX1380" s="88" t="str">
        <f>HYPERLINK("https://www.google.iq/maps/search/+36.2353,43.9874/@36.2353,43.9874,14z?hl=en","Maplink2")</f>
        <v>Maplink2</v>
      </c>
      <c r="AY1380" s="88" t="str">
        <f>HYPERLINK("http://www.bing.com/maps/?lvl=14&amp;sty=h&amp;cp=36.2353~43.9874&amp;sp=point.36.2353_43.9874","Maplink3")</f>
        <v>Maplink3</v>
      </c>
      <c r="AZ1380" s="76"/>
    </row>
    <row r="1381" spans="1:52" x14ac:dyDescent="0.25">
      <c r="A1381" s="86">
        <v>33881</v>
      </c>
      <c r="B1381" s="87" t="s">
        <v>18</v>
      </c>
      <c r="C1381" s="87" t="s">
        <v>18</v>
      </c>
      <c r="D1381" s="87" t="s">
        <v>5905</v>
      </c>
      <c r="E1381" s="87" t="s">
        <v>5906</v>
      </c>
      <c r="F1381" s="87">
        <v>36.110518999999996</v>
      </c>
      <c r="G1381" s="87">
        <v>43.952663000000001</v>
      </c>
      <c r="H1381" s="86">
        <v>300</v>
      </c>
      <c r="I1381" s="86">
        <v>1800</v>
      </c>
      <c r="J1381" s="87">
        <v>200</v>
      </c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>
        <v>75</v>
      </c>
      <c r="W1381" s="87"/>
      <c r="X1381" s="87">
        <v>25</v>
      </c>
      <c r="Y1381" s="87"/>
      <c r="Z1381" s="87"/>
      <c r="AA1381" s="87"/>
      <c r="AB1381" s="87"/>
      <c r="AC1381" s="87"/>
      <c r="AD1381" s="87"/>
      <c r="AE1381" s="87"/>
      <c r="AF1381" s="87"/>
      <c r="AG1381" s="87"/>
      <c r="AH1381" s="87">
        <v>300</v>
      </c>
      <c r="AI1381" s="87"/>
      <c r="AJ1381" s="87"/>
      <c r="AK1381" s="87"/>
      <c r="AL1381" s="87"/>
      <c r="AM1381" s="87"/>
      <c r="AN1381" s="87">
        <v>150</v>
      </c>
      <c r="AO1381" s="87">
        <v>30</v>
      </c>
      <c r="AP1381" s="87"/>
      <c r="AQ1381" s="87"/>
      <c r="AR1381" s="87">
        <v>50</v>
      </c>
      <c r="AS1381" s="87"/>
      <c r="AT1381" s="87">
        <v>70</v>
      </c>
      <c r="AU1381" s="87"/>
      <c r="AV1381" s="87"/>
      <c r="AW1381" s="88" t="str">
        <f>HYPERLINK("http://www.openstreetmap.org/?mlat=36.1105&amp;mlon=43.9527&amp;zoom=12#map=12/36.1105/43.9527","Maplink1")</f>
        <v>Maplink1</v>
      </c>
      <c r="AX1381" s="88" t="str">
        <f>HYPERLINK("https://www.google.iq/maps/search/+36.1105,43.9527/@36.1105,43.9527,14z?hl=en","Maplink2")</f>
        <v>Maplink2</v>
      </c>
      <c r="AY1381" s="88" t="str">
        <f>HYPERLINK("http://www.bing.com/maps/?lvl=14&amp;sty=h&amp;cp=36.1105~43.9527&amp;sp=point.36.1105_43.9527","Maplink3")</f>
        <v>Maplink3</v>
      </c>
      <c r="AZ1381" s="76"/>
    </row>
    <row r="1382" spans="1:52" x14ac:dyDescent="0.25">
      <c r="A1382" s="86">
        <v>33878</v>
      </c>
      <c r="B1382" s="87" t="s">
        <v>18</v>
      </c>
      <c r="C1382" s="87" t="s">
        <v>18</v>
      </c>
      <c r="D1382" s="87" t="s">
        <v>5907</v>
      </c>
      <c r="E1382" s="87" t="s">
        <v>5908</v>
      </c>
      <c r="F1382" s="87">
        <v>35.996165400000002</v>
      </c>
      <c r="G1382" s="87">
        <v>44.0386959</v>
      </c>
      <c r="H1382" s="86">
        <v>254</v>
      </c>
      <c r="I1382" s="86">
        <v>1524</v>
      </c>
      <c r="J1382" s="87">
        <v>166</v>
      </c>
      <c r="K1382" s="87"/>
      <c r="L1382" s="87">
        <v>13</v>
      </c>
      <c r="M1382" s="87"/>
      <c r="N1382" s="87"/>
      <c r="O1382" s="87">
        <v>6</v>
      </c>
      <c r="P1382" s="87"/>
      <c r="Q1382" s="87"/>
      <c r="R1382" s="87">
        <v>1</v>
      </c>
      <c r="S1382" s="87"/>
      <c r="T1382" s="87"/>
      <c r="U1382" s="87"/>
      <c r="V1382" s="87">
        <v>48</v>
      </c>
      <c r="W1382" s="87"/>
      <c r="X1382" s="87">
        <v>20</v>
      </c>
      <c r="Y1382" s="87"/>
      <c r="Z1382" s="87"/>
      <c r="AA1382" s="87"/>
      <c r="AB1382" s="87"/>
      <c r="AC1382" s="87"/>
      <c r="AD1382" s="87"/>
      <c r="AE1382" s="87"/>
      <c r="AF1382" s="87"/>
      <c r="AG1382" s="87"/>
      <c r="AH1382" s="87">
        <v>254</v>
      </c>
      <c r="AI1382" s="87"/>
      <c r="AJ1382" s="87"/>
      <c r="AK1382" s="87"/>
      <c r="AL1382" s="87"/>
      <c r="AM1382" s="87"/>
      <c r="AN1382" s="87">
        <v>106</v>
      </c>
      <c r="AO1382" s="87">
        <v>20</v>
      </c>
      <c r="AP1382" s="87"/>
      <c r="AQ1382" s="87">
        <v>13</v>
      </c>
      <c r="AR1382" s="87">
        <v>66</v>
      </c>
      <c r="AS1382" s="87"/>
      <c r="AT1382" s="87">
        <v>48</v>
      </c>
      <c r="AU1382" s="87">
        <v>1</v>
      </c>
      <c r="AV1382" s="87"/>
      <c r="AW1382" s="88" t="str">
        <f>HYPERLINK("http://www.openstreetmap.org/?mlat=35.9962&amp;mlon=44.0387&amp;zoom=12#map=12/35.9962/44.0387","Maplink1")</f>
        <v>Maplink1</v>
      </c>
      <c r="AX1382" s="88" t="str">
        <f>HYPERLINK("https://www.google.iq/maps/search/+35.9962,44.0387/@35.9962,44.0387,14z?hl=en","Maplink2")</f>
        <v>Maplink2</v>
      </c>
      <c r="AY1382" s="88" t="str">
        <f>HYPERLINK("http://www.bing.com/maps/?lvl=14&amp;sty=h&amp;cp=35.9962~44.0387&amp;sp=point.35.9962_44.0387","Maplink3")</f>
        <v>Maplink3</v>
      </c>
      <c r="AZ1382" s="76"/>
    </row>
    <row r="1383" spans="1:52" x14ac:dyDescent="0.25">
      <c r="A1383" s="86">
        <v>23766</v>
      </c>
      <c r="B1383" s="87" t="s">
        <v>18</v>
      </c>
      <c r="C1383" s="87" t="s">
        <v>18</v>
      </c>
      <c r="D1383" s="87" t="s">
        <v>2724</v>
      </c>
      <c r="E1383" s="87" t="s">
        <v>2725</v>
      </c>
      <c r="F1383" s="87">
        <v>36.195640400000002</v>
      </c>
      <c r="G1383" s="87">
        <v>44.01088</v>
      </c>
      <c r="H1383" s="86">
        <v>200</v>
      </c>
      <c r="I1383" s="86">
        <v>1200</v>
      </c>
      <c r="J1383" s="87">
        <v>142</v>
      </c>
      <c r="K1383" s="87"/>
      <c r="L1383" s="87">
        <v>10</v>
      </c>
      <c r="M1383" s="87"/>
      <c r="N1383" s="87"/>
      <c r="O1383" s="87"/>
      <c r="P1383" s="87"/>
      <c r="Q1383" s="87"/>
      <c r="R1383" s="87"/>
      <c r="S1383" s="87"/>
      <c r="T1383" s="87"/>
      <c r="U1383" s="87"/>
      <c r="V1383" s="87">
        <v>31</v>
      </c>
      <c r="W1383" s="87"/>
      <c r="X1383" s="87">
        <v>17</v>
      </c>
      <c r="Y1383" s="87"/>
      <c r="Z1383" s="87"/>
      <c r="AA1383" s="87"/>
      <c r="AB1383" s="87"/>
      <c r="AC1383" s="87"/>
      <c r="AD1383" s="87"/>
      <c r="AE1383" s="87"/>
      <c r="AF1383" s="87"/>
      <c r="AG1383" s="87"/>
      <c r="AH1383" s="87">
        <v>200</v>
      </c>
      <c r="AI1383" s="87"/>
      <c r="AJ1383" s="87"/>
      <c r="AK1383" s="87"/>
      <c r="AL1383" s="87"/>
      <c r="AM1383" s="87"/>
      <c r="AN1383" s="87">
        <v>92</v>
      </c>
      <c r="AO1383" s="87">
        <v>38</v>
      </c>
      <c r="AP1383" s="87">
        <v>2</v>
      </c>
      <c r="AQ1383" s="87">
        <v>10</v>
      </c>
      <c r="AR1383" s="87">
        <v>42</v>
      </c>
      <c r="AS1383" s="87">
        <v>5</v>
      </c>
      <c r="AT1383" s="87">
        <v>11</v>
      </c>
      <c r="AU1383" s="87"/>
      <c r="AV1383" s="87"/>
      <c r="AW1383" s="88" t="str">
        <f>HYPERLINK("http://www.openstreetmap.org/?mlat=36.1956&amp;mlon=44.0109&amp;zoom=12#map=12/36.1956/44.0109","Maplink1")</f>
        <v>Maplink1</v>
      </c>
      <c r="AX1383" s="88" t="str">
        <f>HYPERLINK("https://www.google.iq/maps/search/+36.1956,44.0109/@36.1956,44.0109,14z?hl=en","Maplink2")</f>
        <v>Maplink2</v>
      </c>
      <c r="AY1383" s="88" t="str">
        <f>HYPERLINK("http://www.bing.com/maps/?lvl=14&amp;sty=h&amp;cp=36.1956~44.0109&amp;sp=point.36.1956_44.0109","Maplink3")</f>
        <v>Maplink3</v>
      </c>
      <c r="AZ1383" s="76"/>
    </row>
    <row r="1384" spans="1:52" x14ac:dyDescent="0.25">
      <c r="A1384" s="86">
        <v>22825</v>
      </c>
      <c r="B1384" s="87" t="s">
        <v>18</v>
      </c>
      <c r="C1384" s="87" t="s">
        <v>18</v>
      </c>
      <c r="D1384" s="87" t="s">
        <v>2726</v>
      </c>
      <c r="E1384" s="87" t="s">
        <v>2727</v>
      </c>
      <c r="F1384" s="87">
        <v>36.154761399999998</v>
      </c>
      <c r="G1384" s="87">
        <v>44.121322800000002</v>
      </c>
      <c r="H1384" s="86">
        <v>279</v>
      </c>
      <c r="I1384" s="86">
        <v>1674</v>
      </c>
      <c r="J1384" s="87">
        <v>24</v>
      </c>
      <c r="K1384" s="87"/>
      <c r="L1384" s="87"/>
      <c r="M1384" s="87"/>
      <c r="N1384" s="87"/>
      <c r="O1384" s="87"/>
      <c r="P1384" s="87"/>
      <c r="Q1384" s="87"/>
      <c r="R1384" s="87">
        <v>195</v>
      </c>
      <c r="S1384" s="87"/>
      <c r="T1384" s="87"/>
      <c r="U1384" s="87"/>
      <c r="V1384" s="87">
        <v>47</v>
      </c>
      <c r="W1384" s="87"/>
      <c r="X1384" s="87">
        <v>13</v>
      </c>
      <c r="Y1384" s="87"/>
      <c r="Z1384" s="87"/>
      <c r="AA1384" s="87"/>
      <c r="AB1384" s="87"/>
      <c r="AC1384" s="87"/>
      <c r="AD1384" s="87"/>
      <c r="AE1384" s="87"/>
      <c r="AF1384" s="87"/>
      <c r="AG1384" s="87"/>
      <c r="AH1384" s="87">
        <v>279</v>
      </c>
      <c r="AI1384" s="87"/>
      <c r="AJ1384" s="87"/>
      <c r="AK1384" s="87"/>
      <c r="AL1384" s="87"/>
      <c r="AM1384" s="87"/>
      <c r="AN1384" s="87">
        <v>5</v>
      </c>
      <c r="AO1384" s="87">
        <v>48</v>
      </c>
      <c r="AP1384" s="87"/>
      <c r="AQ1384" s="87"/>
      <c r="AR1384" s="87">
        <v>19</v>
      </c>
      <c r="AS1384" s="87"/>
      <c r="AT1384" s="87">
        <v>12</v>
      </c>
      <c r="AU1384" s="87">
        <v>195</v>
      </c>
      <c r="AV1384" s="87"/>
      <c r="AW1384" s="88" t="str">
        <f>HYPERLINK("http://www.openstreetmap.org/?mlat=36.1548&amp;mlon=44.1213&amp;zoom=12#map=12/36.1548/44.1213","Maplink1")</f>
        <v>Maplink1</v>
      </c>
      <c r="AX1384" s="88" t="str">
        <f>HYPERLINK("https://www.google.iq/maps/search/+36.1548,44.1213/@36.1548,44.1213,14z?hl=en","Maplink2")</f>
        <v>Maplink2</v>
      </c>
      <c r="AY1384" s="88" t="str">
        <f>HYPERLINK("http://www.bing.com/maps/?lvl=14&amp;sty=h&amp;cp=36.1548~44.1213&amp;sp=point.36.1548_44.1213","Maplink3")</f>
        <v>Maplink3</v>
      </c>
      <c r="AZ1384" s="76"/>
    </row>
    <row r="1385" spans="1:52" x14ac:dyDescent="0.25">
      <c r="A1385" s="86">
        <v>33883</v>
      </c>
      <c r="B1385" s="87" t="s">
        <v>18</v>
      </c>
      <c r="C1385" s="87" t="s">
        <v>18</v>
      </c>
      <c r="D1385" s="87" t="s">
        <v>5909</v>
      </c>
      <c r="E1385" s="87" t="s">
        <v>5910</v>
      </c>
      <c r="F1385" s="87">
        <v>36.113685569060003</v>
      </c>
      <c r="G1385" s="87">
        <v>43.952865729999999</v>
      </c>
      <c r="H1385" s="86">
        <v>400</v>
      </c>
      <c r="I1385" s="86">
        <v>2400</v>
      </c>
      <c r="J1385" s="87">
        <v>250</v>
      </c>
      <c r="K1385" s="87"/>
      <c r="L1385" s="87"/>
      <c r="M1385" s="87"/>
      <c r="N1385" s="87"/>
      <c r="O1385" s="87"/>
      <c r="P1385" s="87"/>
      <c r="Q1385" s="87"/>
      <c r="R1385" s="87"/>
      <c r="S1385" s="87"/>
      <c r="T1385" s="87"/>
      <c r="U1385" s="87"/>
      <c r="V1385" s="87">
        <v>85</v>
      </c>
      <c r="W1385" s="87"/>
      <c r="X1385" s="87">
        <v>65</v>
      </c>
      <c r="Y1385" s="87"/>
      <c r="Z1385" s="87"/>
      <c r="AA1385" s="87"/>
      <c r="AB1385" s="87"/>
      <c r="AC1385" s="87"/>
      <c r="AD1385" s="87"/>
      <c r="AE1385" s="87"/>
      <c r="AF1385" s="87"/>
      <c r="AG1385" s="87"/>
      <c r="AH1385" s="87">
        <v>400</v>
      </c>
      <c r="AI1385" s="87"/>
      <c r="AJ1385" s="87"/>
      <c r="AK1385" s="87"/>
      <c r="AL1385" s="87"/>
      <c r="AM1385" s="87"/>
      <c r="AN1385" s="87">
        <v>50</v>
      </c>
      <c r="AO1385" s="87">
        <v>65</v>
      </c>
      <c r="AP1385" s="87"/>
      <c r="AQ1385" s="87"/>
      <c r="AR1385" s="87">
        <v>200</v>
      </c>
      <c r="AS1385" s="87"/>
      <c r="AT1385" s="87">
        <v>85</v>
      </c>
      <c r="AU1385" s="87"/>
      <c r="AV1385" s="87"/>
      <c r="AW1385" s="88" t="str">
        <f>HYPERLINK("http://www.openstreetmap.org/?mlat=36.1137&amp;mlon=43.9529&amp;zoom=12#map=12/36.1137/43.9529","Maplink1")</f>
        <v>Maplink1</v>
      </c>
      <c r="AX1385" s="88" t="str">
        <f>HYPERLINK("https://www.google.iq/maps/search/+36.1137,43.9529/@36.1137,43.9529,14z?hl=en","Maplink2")</f>
        <v>Maplink2</v>
      </c>
      <c r="AY1385" s="88" t="str">
        <f>HYPERLINK("http://www.bing.com/maps/?lvl=14&amp;sty=h&amp;cp=36.1137~43.9529&amp;sp=point.36.1137_43.9529","Maplink3")</f>
        <v>Maplink3</v>
      </c>
      <c r="AZ1385" s="76"/>
    </row>
    <row r="1386" spans="1:52" x14ac:dyDescent="0.25">
      <c r="A1386" s="86">
        <v>24507</v>
      </c>
      <c r="B1386" s="87" t="s">
        <v>18</v>
      </c>
      <c r="C1386" s="87" t="s">
        <v>18</v>
      </c>
      <c r="D1386" s="87" t="s">
        <v>2728</v>
      </c>
      <c r="E1386" s="87" t="s">
        <v>2729</v>
      </c>
      <c r="F1386" s="87">
        <v>36.186364990000001</v>
      </c>
      <c r="G1386" s="87">
        <v>44.011834</v>
      </c>
      <c r="H1386" s="86">
        <v>30</v>
      </c>
      <c r="I1386" s="86">
        <v>180</v>
      </c>
      <c r="J1386" s="87"/>
      <c r="K1386" s="87"/>
      <c r="L1386" s="87"/>
      <c r="M1386" s="87"/>
      <c r="N1386" s="87"/>
      <c r="O1386" s="87"/>
      <c r="P1386" s="87"/>
      <c r="Q1386" s="87"/>
      <c r="R1386" s="87"/>
      <c r="S1386" s="87"/>
      <c r="T1386" s="87"/>
      <c r="U1386" s="87"/>
      <c r="V1386" s="87">
        <v>30</v>
      </c>
      <c r="W1386" s="87"/>
      <c r="X1386" s="87"/>
      <c r="Y1386" s="87"/>
      <c r="Z1386" s="87"/>
      <c r="AA1386" s="87"/>
      <c r="AB1386" s="87"/>
      <c r="AC1386" s="87"/>
      <c r="AD1386" s="87"/>
      <c r="AE1386" s="87">
        <v>30</v>
      </c>
      <c r="AF1386" s="87"/>
      <c r="AG1386" s="87"/>
      <c r="AH1386" s="87"/>
      <c r="AI1386" s="87"/>
      <c r="AJ1386" s="87"/>
      <c r="AK1386" s="87"/>
      <c r="AL1386" s="87"/>
      <c r="AM1386" s="87"/>
      <c r="AN1386" s="87"/>
      <c r="AO1386" s="87"/>
      <c r="AP1386" s="87">
        <v>30</v>
      </c>
      <c r="AQ1386" s="87"/>
      <c r="AR1386" s="87"/>
      <c r="AS1386" s="87"/>
      <c r="AT1386" s="87"/>
      <c r="AU1386" s="87"/>
      <c r="AV1386" s="87"/>
      <c r="AW1386" s="88" t="str">
        <f>HYPERLINK("http://www.openstreetmap.org/?mlat=36.1864&amp;mlon=44.0118&amp;zoom=12#map=12/36.1864/44.0118","Maplink1")</f>
        <v>Maplink1</v>
      </c>
      <c r="AX1386" s="88" t="str">
        <f>HYPERLINK("https://www.google.iq/maps/search/+36.1864,44.0118/@36.1864,44.0118,14z?hl=en","Maplink2")</f>
        <v>Maplink2</v>
      </c>
      <c r="AY1386" s="88" t="str">
        <f>HYPERLINK("http://www.bing.com/maps/?lvl=14&amp;sty=h&amp;cp=36.1864~44.0118&amp;sp=point.36.1864_44.0118","Maplink3")</f>
        <v>Maplink3</v>
      </c>
      <c r="AZ1386" s="76"/>
    </row>
    <row r="1387" spans="1:52" x14ac:dyDescent="0.25">
      <c r="A1387" s="86">
        <v>24607</v>
      </c>
      <c r="B1387" s="87" t="s">
        <v>18</v>
      </c>
      <c r="C1387" s="87" t="s">
        <v>18</v>
      </c>
      <c r="D1387" s="87" t="s">
        <v>2730</v>
      </c>
      <c r="E1387" s="87" t="s">
        <v>2731</v>
      </c>
      <c r="F1387" s="87">
        <v>36.259406339999998</v>
      </c>
      <c r="G1387" s="87">
        <v>44.000774180000001</v>
      </c>
      <c r="H1387" s="86">
        <v>80</v>
      </c>
      <c r="I1387" s="86">
        <v>480</v>
      </c>
      <c r="J1387" s="87">
        <v>20</v>
      </c>
      <c r="K1387" s="87"/>
      <c r="L1387" s="87"/>
      <c r="M1387" s="87"/>
      <c r="N1387" s="87"/>
      <c r="O1387" s="87"/>
      <c r="P1387" s="87"/>
      <c r="Q1387" s="87"/>
      <c r="R1387" s="87">
        <v>5</v>
      </c>
      <c r="S1387" s="87"/>
      <c r="T1387" s="87"/>
      <c r="U1387" s="87"/>
      <c r="V1387" s="87">
        <v>55</v>
      </c>
      <c r="W1387" s="87"/>
      <c r="X1387" s="87"/>
      <c r="Y1387" s="87"/>
      <c r="Z1387" s="87"/>
      <c r="AA1387" s="87"/>
      <c r="AB1387" s="87"/>
      <c r="AC1387" s="87"/>
      <c r="AD1387" s="87"/>
      <c r="AE1387" s="87"/>
      <c r="AF1387" s="87"/>
      <c r="AG1387" s="87"/>
      <c r="AH1387" s="87">
        <v>80</v>
      </c>
      <c r="AI1387" s="87"/>
      <c r="AJ1387" s="87"/>
      <c r="AK1387" s="87"/>
      <c r="AL1387" s="87"/>
      <c r="AM1387" s="87"/>
      <c r="AN1387" s="87"/>
      <c r="AO1387" s="87"/>
      <c r="AP1387" s="87">
        <v>55</v>
      </c>
      <c r="AQ1387" s="87"/>
      <c r="AR1387" s="87">
        <v>20</v>
      </c>
      <c r="AS1387" s="87"/>
      <c r="AT1387" s="87"/>
      <c r="AU1387" s="87">
        <v>5</v>
      </c>
      <c r="AV1387" s="87"/>
      <c r="AW1387" s="88" t="str">
        <f>HYPERLINK("http://www.openstreetmap.org/?mlat=36.2594&amp;mlon=44.0008&amp;zoom=12#map=12/36.2594/44.0008","Maplink1")</f>
        <v>Maplink1</v>
      </c>
      <c r="AX1387" s="88" t="str">
        <f>HYPERLINK("https://www.google.iq/maps/search/+36.2594,44.0008/@36.2594,44.0008,14z?hl=en","Maplink2")</f>
        <v>Maplink2</v>
      </c>
      <c r="AY1387" s="88" t="str">
        <f>HYPERLINK("http://www.bing.com/maps/?lvl=14&amp;sty=h&amp;cp=36.2594~44.0008&amp;sp=point.36.2594_44.0008","Maplink3")</f>
        <v>Maplink3</v>
      </c>
      <c r="AZ1387" s="76"/>
    </row>
    <row r="1388" spans="1:52" x14ac:dyDescent="0.25">
      <c r="A1388" s="86">
        <v>24665</v>
      </c>
      <c r="B1388" s="87" t="s">
        <v>18</v>
      </c>
      <c r="C1388" s="87" t="s">
        <v>18</v>
      </c>
      <c r="D1388" s="87" t="s">
        <v>2732</v>
      </c>
      <c r="E1388" s="87" t="s">
        <v>2733</v>
      </c>
      <c r="F1388" s="87">
        <v>36.228460599999998</v>
      </c>
      <c r="G1388" s="87">
        <v>44.142557500000002</v>
      </c>
      <c r="H1388" s="86">
        <v>240</v>
      </c>
      <c r="I1388" s="86">
        <v>1440</v>
      </c>
      <c r="J1388" s="87">
        <v>67</v>
      </c>
      <c r="K1388" s="87"/>
      <c r="L1388" s="87"/>
      <c r="M1388" s="87"/>
      <c r="N1388" s="87"/>
      <c r="O1388" s="87"/>
      <c r="P1388" s="87"/>
      <c r="Q1388" s="87"/>
      <c r="R1388" s="87"/>
      <c r="S1388" s="87"/>
      <c r="T1388" s="87"/>
      <c r="U1388" s="87"/>
      <c r="V1388" s="87">
        <v>145</v>
      </c>
      <c r="W1388" s="87"/>
      <c r="X1388" s="87">
        <v>28</v>
      </c>
      <c r="Y1388" s="87"/>
      <c r="Z1388" s="87"/>
      <c r="AA1388" s="87"/>
      <c r="AB1388" s="87"/>
      <c r="AC1388" s="87"/>
      <c r="AD1388" s="87"/>
      <c r="AE1388" s="87"/>
      <c r="AF1388" s="87"/>
      <c r="AG1388" s="87"/>
      <c r="AH1388" s="87">
        <v>232</v>
      </c>
      <c r="AI1388" s="87"/>
      <c r="AJ1388" s="87"/>
      <c r="AK1388" s="87"/>
      <c r="AL1388" s="87">
        <v>8</v>
      </c>
      <c r="AM1388" s="87"/>
      <c r="AN1388" s="87">
        <v>25</v>
      </c>
      <c r="AO1388" s="87">
        <v>108</v>
      </c>
      <c r="AP1388" s="87">
        <v>15</v>
      </c>
      <c r="AQ1388" s="87"/>
      <c r="AR1388" s="87">
        <v>37</v>
      </c>
      <c r="AS1388" s="87"/>
      <c r="AT1388" s="87">
        <v>50</v>
      </c>
      <c r="AU1388" s="87">
        <v>5</v>
      </c>
      <c r="AV1388" s="87"/>
      <c r="AW1388" s="88" t="str">
        <f>HYPERLINK("http://www.openstreetmap.org/?mlat=36.2285&amp;mlon=44.1426&amp;zoom=12#map=12/36.2285/44.1426","Maplink1")</f>
        <v>Maplink1</v>
      </c>
      <c r="AX1388" s="88" t="str">
        <f>HYPERLINK("https://www.google.iq/maps/search/+36.2285,44.1426/@36.2285,44.1426,14z?hl=en","Maplink2")</f>
        <v>Maplink2</v>
      </c>
      <c r="AY1388" s="88" t="str">
        <f>HYPERLINK("http://www.bing.com/maps/?lvl=14&amp;sty=h&amp;cp=36.2285~44.1426&amp;sp=point.36.2285_44.1426","Maplink3")</f>
        <v>Maplink3</v>
      </c>
      <c r="AZ1388" s="76"/>
    </row>
    <row r="1389" spans="1:52" x14ac:dyDescent="0.25">
      <c r="A1389" s="86">
        <v>27135</v>
      </c>
      <c r="B1389" s="87" t="s">
        <v>18</v>
      </c>
      <c r="C1389" s="87" t="s">
        <v>18</v>
      </c>
      <c r="D1389" s="87" t="s">
        <v>5826</v>
      </c>
      <c r="E1389" s="87" t="s">
        <v>5827</v>
      </c>
      <c r="F1389" s="87">
        <v>36.261337959999999</v>
      </c>
      <c r="G1389" s="87">
        <v>43.989671653199999</v>
      </c>
      <c r="H1389" s="86">
        <v>55</v>
      </c>
      <c r="I1389" s="86">
        <v>330</v>
      </c>
      <c r="J1389" s="87">
        <v>2</v>
      </c>
      <c r="K1389" s="87"/>
      <c r="L1389" s="87"/>
      <c r="M1389" s="87"/>
      <c r="N1389" s="87"/>
      <c r="O1389" s="87"/>
      <c r="P1389" s="87"/>
      <c r="Q1389" s="87"/>
      <c r="R1389" s="87">
        <v>6</v>
      </c>
      <c r="S1389" s="87"/>
      <c r="T1389" s="87"/>
      <c r="U1389" s="87"/>
      <c r="V1389" s="87">
        <v>47</v>
      </c>
      <c r="W1389" s="87"/>
      <c r="X1389" s="87"/>
      <c r="Y1389" s="87"/>
      <c r="Z1389" s="87"/>
      <c r="AA1389" s="87"/>
      <c r="AB1389" s="87"/>
      <c r="AC1389" s="87"/>
      <c r="AD1389" s="87"/>
      <c r="AE1389" s="87"/>
      <c r="AF1389" s="87"/>
      <c r="AG1389" s="87"/>
      <c r="AH1389" s="87">
        <v>55</v>
      </c>
      <c r="AI1389" s="87"/>
      <c r="AJ1389" s="87"/>
      <c r="AK1389" s="87"/>
      <c r="AL1389" s="87"/>
      <c r="AM1389" s="87"/>
      <c r="AN1389" s="87">
        <v>2</v>
      </c>
      <c r="AO1389" s="87"/>
      <c r="AP1389" s="87">
        <v>47</v>
      </c>
      <c r="AQ1389" s="87"/>
      <c r="AR1389" s="87"/>
      <c r="AS1389" s="87"/>
      <c r="AT1389" s="87"/>
      <c r="AU1389" s="87">
        <v>6</v>
      </c>
      <c r="AV1389" s="87"/>
      <c r="AW1389" s="88" t="str">
        <f>HYPERLINK("http://www.openstreetmap.org/?mlat=36.2613&amp;mlon=43.9897&amp;zoom=12#map=12/36.2613/43.9897","Maplink1")</f>
        <v>Maplink1</v>
      </c>
      <c r="AX1389" s="88" t="str">
        <f>HYPERLINK("https://www.google.iq/maps/search/+36.2613,43.9897/@36.2613,43.9897,14z?hl=en","Maplink2")</f>
        <v>Maplink2</v>
      </c>
      <c r="AY1389" s="88" t="str">
        <f>HYPERLINK("http://www.bing.com/maps/?lvl=14&amp;sty=h&amp;cp=36.2613~43.9897&amp;sp=point.36.2613_43.9897","Maplink3")</f>
        <v>Maplink3</v>
      </c>
      <c r="AZ1389" s="76"/>
    </row>
    <row r="1390" spans="1:52" x14ac:dyDescent="0.25">
      <c r="A1390" s="86">
        <v>11778</v>
      </c>
      <c r="B1390" s="87" t="s">
        <v>18</v>
      </c>
      <c r="C1390" s="87" t="s">
        <v>18</v>
      </c>
      <c r="D1390" s="87" t="s">
        <v>2734</v>
      </c>
      <c r="E1390" s="87" t="s">
        <v>2735</v>
      </c>
      <c r="F1390" s="87">
        <v>36.234378599999999</v>
      </c>
      <c r="G1390" s="87">
        <v>44.138682699999997</v>
      </c>
      <c r="H1390" s="86">
        <v>30</v>
      </c>
      <c r="I1390" s="86">
        <v>180</v>
      </c>
      <c r="J1390" s="87">
        <v>14</v>
      </c>
      <c r="K1390" s="87"/>
      <c r="L1390" s="87"/>
      <c r="M1390" s="87"/>
      <c r="N1390" s="87"/>
      <c r="O1390" s="87"/>
      <c r="P1390" s="87"/>
      <c r="Q1390" s="87"/>
      <c r="R1390" s="87"/>
      <c r="S1390" s="87"/>
      <c r="T1390" s="87"/>
      <c r="U1390" s="87"/>
      <c r="V1390" s="87">
        <v>16</v>
      </c>
      <c r="W1390" s="87"/>
      <c r="X1390" s="87"/>
      <c r="Y1390" s="87"/>
      <c r="Z1390" s="87"/>
      <c r="AA1390" s="87"/>
      <c r="AB1390" s="87"/>
      <c r="AC1390" s="87"/>
      <c r="AD1390" s="87"/>
      <c r="AE1390" s="87"/>
      <c r="AF1390" s="87"/>
      <c r="AG1390" s="87"/>
      <c r="AH1390" s="87">
        <v>30</v>
      </c>
      <c r="AI1390" s="87"/>
      <c r="AJ1390" s="87"/>
      <c r="AK1390" s="87"/>
      <c r="AL1390" s="87"/>
      <c r="AM1390" s="87"/>
      <c r="AN1390" s="87">
        <v>9</v>
      </c>
      <c r="AO1390" s="87"/>
      <c r="AP1390" s="87">
        <v>5</v>
      </c>
      <c r="AQ1390" s="87"/>
      <c r="AR1390" s="87"/>
      <c r="AS1390" s="87"/>
      <c r="AT1390" s="87">
        <v>11</v>
      </c>
      <c r="AU1390" s="87">
        <v>5</v>
      </c>
      <c r="AV1390" s="87"/>
      <c r="AW1390" s="88" t="str">
        <f>HYPERLINK("http://www.openstreetmap.org/?mlat=36.2344&amp;mlon=44.1387&amp;zoom=12#map=12/36.2344/44.1387","Maplink1")</f>
        <v>Maplink1</v>
      </c>
      <c r="AX1390" s="88" t="str">
        <f>HYPERLINK("https://www.google.iq/maps/search/+36.2344,44.1387/@36.2344,44.1387,14z?hl=en","Maplink2")</f>
        <v>Maplink2</v>
      </c>
      <c r="AY1390" s="88" t="str">
        <f>HYPERLINK("http://www.bing.com/maps/?lvl=14&amp;sty=h&amp;cp=36.2344~44.1387&amp;sp=point.36.2344_44.1387","Maplink3")</f>
        <v>Maplink3</v>
      </c>
      <c r="AZ1390" s="76"/>
    </row>
    <row r="1391" spans="1:52" x14ac:dyDescent="0.25">
      <c r="A1391" s="86">
        <v>25974</v>
      </c>
      <c r="B1391" s="87" t="s">
        <v>18</v>
      </c>
      <c r="C1391" s="87" t="s">
        <v>18</v>
      </c>
      <c r="D1391" s="87" t="s">
        <v>2736</v>
      </c>
      <c r="E1391" s="87" t="s">
        <v>2737</v>
      </c>
      <c r="F1391" s="87">
        <v>36.022481268</v>
      </c>
      <c r="G1391" s="87">
        <v>43.923975900000002</v>
      </c>
      <c r="H1391" s="86">
        <v>235</v>
      </c>
      <c r="I1391" s="86">
        <v>1410</v>
      </c>
      <c r="J1391" s="87">
        <v>23</v>
      </c>
      <c r="K1391" s="87"/>
      <c r="L1391" s="87"/>
      <c r="M1391" s="87"/>
      <c r="N1391" s="87"/>
      <c r="O1391" s="87"/>
      <c r="P1391" s="87">
        <v>20</v>
      </c>
      <c r="Q1391" s="87"/>
      <c r="R1391" s="87"/>
      <c r="S1391" s="87"/>
      <c r="T1391" s="87"/>
      <c r="U1391" s="87"/>
      <c r="V1391" s="87">
        <v>165</v>
      </c>
      <c r="W1391" s="87"/>
      <c r="X1391" s="87">
        <v>27</v>
      </c>
      <c r="Y1391" s="87"/>
      <c r="Z1391" s="87"/>
      <c r="AA1391" s="87"/>
      <c r="AB1391" s="87"/>
      <c r="AC1391" s="87"/>
      <c r="AD1391" s="87"/>
      <c r="AE1391" s="87"/>
      <c r="AF1391" s="87"/>
      <c r="AG1391" s="87"/>
      <c r="AH1391" s="87">
        <v>235</v>
      </c>
      <c r="AI1391" s="87"/>
      <c r="AJ1391" s="87"/>
      <c r="AK1391" s="87"/>
      <c r="AL1391" s="87"/>
      <c r="AM1391" s="87"/>
      <c r="AN1391" s="87"/>
      <c r="AO1391" s="87">
        <v>176</v>
      </c>
      <c r="AP1391" s="87"/>
      <c r="AQ1391" s="87"/>
      <c r="AR1391" s="87">
        <v>13</v>
      </c>
      <c r="AS1391" s="87"/>
      <c r="AT1391" s="87">
        <v>16</v>
      </c>
      <c r="AU1391" s="87">
        <v>30</v>
      </c>
      <c r="AV1391" s="87"/>
      <c r="AW1391" s="88" t="str">
        <f>HYPERLINK("http://www.openstreetmap.org/?mlat=36.0225&amp;mlon=43.924&amp;zoom=12#map=12/36.0225/43.924","Maplink1")</f>
        <v>Maplink1</v>
      </c>
      <c r="AX1391" s="88" t="str">
        <f>HYPERLINK("https://www.google.iq/maps/search/+36.0225,43.924/@36.0225,43.924,14z?hl=en","Maplink2")</f>
        <v>Maplink2</v>
      </c>
      <c r="AY1391" s="88" t="str">
        <f>HYPERLINK("http://www.bing.com/maps/?lvl=14&amp;sty=h&amp;cp=36.0225~43.924&amp;sp=point.36.0225_43.924","Maplink3")</f>
        <v>Maplink3</v>
      </c>
      <c r="AZ1391" s="76"/>
    </row>
    <row r="1392" spans="1:52" x14ac:dyDescent="0.25">
      <c r="A1392" s="86">
        <v>13199</v>
      </c>
      <c r="B1392" s="87" t="s">
        <v>18</v>
      </c>
      <c r="C1392" s="87" t="s">
        <v>18</v>
      </c>
      <c r="D1392" s="87" t="s">
        <v>2738</v>
      </c>
      <c r="E1392" s="87" t="s">
        <v>2739</v>
      </c>
      <c r="F1392" s="87">
        <v>36.267332199999998</v>
      </c>
      <c r="G1392" s="87">
        <v>44.070373500000002</v>
      </c>
      <c r="H1392" s="86">
        <v>385</v>
      </c>
      <c r="I1392" s="86">
        <v>2310</v>
      </c>
      <c r="J1392" s="87">
        <v>120</v>
      </c>
      <c r="K1392" s="87"/>
      <c r="L1392" s="87"/>
      <c r="M1392" s="87"/>
      <c r="N1392" s="87"/>
      <c r="O1392" s="87"/>
      <c r="P1392" s="87"/>
      <c r="Q1392" s="87"/>
      <c r="R1392" s="87">
        <v>19</v>
      </c>
      <c r="S1392" s="87"/>
      <c r="T1392" s="87"/>
      <c r="U1392" s="87"/>
      <c r="V1392" s="87">
        <v>166</v>
      </c>
      <c r="W1392" s="87"/>
      <c r="X1392" s="87">
        <v>80</v>
      </c>
      <c r="Y1392" s="87"/>
      <c r="Z1392" s="87"/>
      <c r="AA1392" s="87"/>
      <c r="AB1392" s="87"/>
      <c r="AC1392" s="87">
        <v>5</v>
      </c>
      <c r="AD1392" s="87"/>
      <c r="AE1392" s="87"/>
      <c r="AF1392" s="87"/>
      <c r="AG1392" s="87"/>
      <c r="AH1392" s="87">
        <v>380</v>
      </c>
      <c r="AI1392" s="87"/>
      <c r="AJ1392" s="87"/>
      <c r="AK1392" s="87"/>
      <c r="AL1392" s="87"/>
      <c r="AM1392" s="87"/>
      <c r="AN1392" s="87">
        <v>65</v>
      </c>
      <c r="AO1392" s="87">
        <v>167</v>
      </c>
      <c r="AP1392" s="87">
        <v>50</v>
      </c>
      <c r="AQ1392" s="87"/>
      <c r="AR1392" s="87">
        <v>55</v>
      </c>
      <c r="AS1392" s="87"/>
      <c r="AT1392" s="87">
        <v>29</v>
      </c>
      <c r="AU1392" s="87">
        <v>19</v>
      </c>
      <c r="AV1392" s="87"/>
      <c r="AW1392" s="88" t="str">
        <f>HYPERLINK("http://www.openstreetmap.org/?mlat=36.2673&amp;mlon=44.0704&amp;zoom=12#map=12/36.2673/44.0704","Maplink1")</f>
        <v>Maplink1</v>
      </c>
      <c r="AX1392" s="88" t="str">
        <f>HYPERLINK("https://www.google.iq/maps/search/+36.2673,44.0704/@36.2673,44.0704,14z?hl=en","Maplink2")</f>
        <v>Maplink2</v>
      </c>
      <c r="AY1392" s="88" t="str">
        <f>HYPERLINK("http://www.bing.com/maps/?lvl=14&amp;sty=h&amp;cp=36.2673~44.0704&amp;sp=point.36.2673_44.0704","Maplink3")</f>
        <v>Maplink3</v>
      </c>
      <c r="AZ1392" s="76"/>
    </row>
    <row r="1393" spans="1:52" x14ac:dyDescent="0.25">
      <c r="A1393" s="86">
        <v>27332</v>
      </c>
      <c r="B1393" s="87" t="s">
        <v>18</v>
      </c>
      <c r="C1393" s="87" t="s">
        <v>18</v>
      </c>
      <c r="D1393" s="87" t="s">
        <v>2740</v>
      </c>
      <c r="E1393" s="87" t="s">
        <v>2741</v>
      </c>
      <c r="F1393" s="87">
        <v>36.193312200000001</v>
      </c>
      <c r="G1393" s="87">
        <v>44.1237256</v>
      </c>
      <c r="H1393" s="86">
        <v>165</v>
      </c>
      <c r="I1393" s="86">
        <v>990</v>
      </c>
      <c r="J1393" s="87">
        <v>45</v>
      </c>
      <c r="K1393" s="87"/>
      <c r="L1393" s="87"/>
      <c r="M1393" s="87"/>
      <c r="N1393" s="87"/>
      <c r="O1393" s="87"/>
      <c r="P1393" s="87"/>
      <c r="Q1393" s="87"/>
      <c r="R1393" s="87">
        <v>50</v>
      </c>
      <c r="S1393" s="87"/>
      <c r="T1393" s="87"/>
      <c r="U1393" s="87"/>
      <c r="V1393" s="87">
        <v>50</v>
      </c>
      <c r="W1393" s="87"/>
      <c r="X1393" s="87">
        <v>20</v>
      </c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>
        <v>165</v>
      </c>
      <c r="AI1393" s="87"/>
      <c r="AJ1393" s="87"/>
      <c r="AK1393" s="87"/>
      <c r="AL1393" s="87"/>
      <c r="AM1393" s="87"/>
      <c r="AN1393" s="87">
        <v>25</v>
      </c>
      <c r="AO1393" s="87">
        <v>25</v>
      </c>
      <c r="AP1393" s="87">
        <v>10</v>
      </c>
      <c r="AQ1393" s="87"/>
      <c r="AR1393" s="87">
        <v>10</v>
      </c>
      <c r="AS1393" s="87"/>
      <c r="AT1393" s="87">
        <v>30</v>
      </c>
      <c r="AU1393" s="87">
        <v>60</v>
      </c>
      <c r="AV1393" s="87">
        <v>5</v>
      </c>
      <c r="AW1393" s="88" t="str">
        <f>HYPERLINK("http://www.openstreetmap.org/?mlat=36.1933&amp;mlon=44.1237&amp;zoom=12#map=12/36.1933/44.1237","Maplink1")</f>
        <v>Maplink1</v>
      </c>
      <c r="AX1393" s="88" t="str">
        <f>HYPERLINK("https://www.google.iq/maps/search/+36.1933,44.1237/@36.1933,44.1237,14z?hl=en","Maplink2")</f>
        <v>Maplink2</v>
      </c>
      <c r="AY1393" s="88" t="str">
        <f>HYPERLINK("http://www.bing.com/maps/?lvl=14&amp;sty=h&amp;cp=36.1933~44.1237&amp;sp=point.36.1933_44.1237","Maplink3")</f>
        <v>Maplink3</v>
      </c>
      <c r="AZ1393" s="76"/>
    </row>
    <row r="1394" spans="1:52" x14ac:dyDescent="0.25">
      <c r="A1394" s="86">
        <v>33882</v>
      </c>
      <c r="B1394" s="87" t="s">
        <v>18</v>
      </c>
      <c r="C1394" s="87" t="s">
        <v>18</v>
      </c>
      <c r="D1394" s="87" t="s">
        <v>5911</v>
      </c>
      <c r="E1394" s="87" t="s">
        <v>5912</v>
      </c>
      <c r="F1394" s="87">
        <v>36.125061819999999</v>
      </c>
      <c r="G1394" s="87">
        <v>43.965123976599997</v>
      </c>
      <c r="H1394" s="86">
        <v>1236</v>
      </c>
      <c r="I1394" s="86">
        <v>7416</v>
      </c>
      <c r="J1394" s="87">
        <v>650</v>
      </c>
      <c r="K1394" s="87"/>
      <c r="L1394" s="87"/>
      <c r="M1394" s="87"/>
      <c r="N1394" s="87"/>
      <c r="O1394" s="87"/>
      <c r="P1394" s="87"/>
      <c r="Q1394" s="87"/>
      <c r="R1394" s="87"/>
      <c r="S1394" s="87"/>
      <c r="T1394" s="87"/>
      <c r="U1394" s="87"/>
      <c r="V1394" s="87">
        <v>436</v>
      </c>
      <c r="W1394" s="87"/>
      <c r="X1394" s="87">
        <v>150</v>
      </c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>
        <v>1236</v>
      </c>
      <c r="AI1394" s="87"/>
      <c r="AJ1394" s="87"/>
      <c r="AK1394" s="87"/>
      <c r="AL1394" s="87"/>
      <c r="AM1394" s="87"/>
      <c r="AN1394" s="87">
        <v>200</v>
      </c>
      <c r="AO1394" s="87">
        <v>200</v>
      </c>
      <c r="AP1394" s="87">
        <v>36</v>
      </c>
      <c r="AQ1394" s="87"/>
      <c r="AR1394" s="87">
        <v>450</v>
      </c>
      <c r="AS1394" s="87"/>
      <c r="AT1394" s="87">
        <v>350</v>
      </c>
      <c r="AU1394" s="87"/>
      <c r="AV1394" s="87"/>
      <c r="AW1394" s="88" t="str">
        <f>HYPERLINK("http://www.openstreetmap.org/?mlat=36.1251&amp;mlon=43.9651&amp;zoom=12#map=12/36.1251/43.9651","Maplink1")</f>
        <v>Maplink1</v>
      </c>
      <c r="AX1394" s="88" t="str">
        <f>HYPERLINK("https://www.google.iq/maps/search/+36.1251,43.9651/@36.1251,43.9651,14z?hl=en","Maplink2")</f>
        <v>Maplink2</v>
      </c>
      <c r="AY1394" s="88" t="str">
        <f>HYPERLINK("http://www.bing.com/maps/?lvl=14&amp;sty=h&amp;cp=36.1251~43.9651&amp;sp=point.36.1251_43.9651","Maplink3")</f>
        <v>Maplink3</v>
      </c>
      <c r="AZ1394" s="76"/>
    </row>
    <row r="1395" spans="1:52" x14ac:dyDescent="0.25">
      <c r="A1395" s="86">
        <v>21318</v>
      </c>
      <c r="B1395" s="87" t="s">
        <v>18</v>
      </c>
      <c r="C1395" s="87" t="s">
        <v>18</v>
      </c>
      <c r="D1395" s="87" t="s">
        <v>2742</v>
      </c>
      <c r="E1395" s="87" t="s">
        <v>2743</v>
      </c>
      <c r="F1395" s="87">
        <v>36.0793779754</v>
      </c>
      <c r="G1395" s="87">
        <v>43.947904999999999</v>
      </c>
      <c r="H1395" s="86">
        <v>335</v>
      </c>
      <c r="I1395" s="86">
        <v>2010</v>
      </c>
      <c r="J1395" s="87">
        <v>195</v>
      </c>
      <c r="K1395" s="87"/>
      <c r="L1395" s="87"/>
      <c r="M1395" s="87"/>
      <c r="N1395" s="87"/>
      <c r="O1395" s="87"/>
      <c r="P1395" s="87">
        <v>55</v>
      </c>
      <c r="Q1395" s="87"/>
      <c r="R1395" s="87">
        <v>5</v>
      </c>
      <c r="S1395" s="87"/>
      <c r="T1395" s="87"/>
      <c r="U1395" s="87"/>
      <c r="V1395" s="87">
        <v>40</v>
      </c>
      <c r="W1395" s="87"/>
      <c r="X1395" s="87">
        <v>40</v>
      </c>
      <c r="Y1395" s="87"/>
      <c r="Z1395" s="87"/>
      <c r="AA1395" s="87"/>
      <c r="AB1395" s="87"/>
      <c r="AC1395" s="87"/>
      <c r="AD1395" s="87"/>
      <c r="AE1395" s="87"/>
      <c r="AF1395" s="87"/>
      <c r="AG1395" s="87"/>
      <c r="AH1395" s="87">
        <v>335</v>
      </c>
      <c r="AI1395" s="87"/>
      <c r="AJ1395" s="87"/>
      <c r="AK1395" s="87"/>
      <c r="AL1395" s="87"/>
      <c r="AM1395" s="87"/>
      <c r="AN1395" s="87">
        <v>50</v>
      </c>
      <c r="AO1395" s="87">
        <v>65</v>
      </c>
      <c r="AP1395" s="87">
        <v>5</v>
      </c>
      <c r="AQ1395" s="87"/>
      <c r="AR1395" s="87">
        <v>132</v>
      </c>
      <c r="AS1395" s="87"/>
      <c r="AT1395" s="87">
        <v>10</v>
      </c>
      <c r="AU1395" s="87">
        <v>73</v>
      </c>
      <c r="AV1395" s="87"/>
      <c r="AW1395" s="88" t="str">
        <f>HYPERLINK("http://www.openstreetmap.org/?mlat=36.0794&amp;mlon=43.9479&amp;zoom=12#map=12/36.0794/43.9479","Maplink1")</f>
        <v>Maplink1</v>
      </c>
      <c r="AX1395" s="88" t="str">
        <f>HYPERLINK("https://www.google.iq/maps/search/+36.0794,43.9479/@36.0794,43.9479,14z?hl=en","Maplink2")</f>
        <v>Maplink2</v>
      </c>
      <c r="AY1395" s="88" t="str">
        <f>HYPERLINK("http://www.bing.com/maps/?lvl=14&amp;sty=h&amp;cp=36.0794~43.9479&amp;sp=point.36.0794_43.9479","Maplink3")</f>
        <v>Maplink3</v>
      </c>
      <c r="AZ1395" s="76"/>
    </row>
    <row r="1396" spans="1:52" x14ac:dyDescent="0.25">
      <c r="A1396" s="86">
        <v>13400</v>
      </c>
      <c r="B1396" s="87" t="s">
        <v>18</v>
      </c>
      <c r="C1396" s="87" t="s">
        <v>18</v>
      </c>
      <c r="D1396" s="87" t="s">
        <v>5913</v>
      </c>
      <c r="E1396" s="87" t="s">
        <v>2744</v>
      </c>
      <c r="F1396" s="87">
        <v>36.00809847</v>
      </c>
      <c r="G1396" s="87">
        <v>44.037307970000001</v>
      </c>
      <c r="H1396" s="86">
        <v>1023</v>
      </c>
      <c r="I1396" s="86">
        <v>6138</v>
      </c>
      <c r="J1396" s="87">
        <v>272</v>
      </c>
      <c r="K1396" s="87"/>
      <c r="L1396" s="87">
        <v>54</v>
      </c>
      <c r="M1396" s="87"/>
      <c r="N1396" s="87"/>
      <c r="O1396" s="87">
        <v>21</v>
      </c>
      <c r="P1396" s="87"/>
      <c r="Q1396" s="87"/>
      <c r="R1396" s="87">
        <v>28</v>
      </c>
      <c r="S1396" s="87"/>
      <c r="T1396" s="87"/>
      <c r="U1396" s="87"/>
      <c r="V1396" s="87">
        <v>556</v>
      </c>
      <c r="W1396" s="87"/>
      <c r="X1396" s="87">
        <v>92</v>
      </c>
      <c r="Y1396" s="87"/>
      <c r="Z1396" s="87"/>
      <c r="AA1396" s="87"/>
      <c r="AB1396" s="87"/>
      <c r="AC1396" s="87">
        <v>20</v>
      </c>
      <c r="AD1396" s="87"/>
      <c r="AE1396" s="87"/>
      <c r="AF1396" s="87"/>
      <c r="AG1396" s="87"/>
      <c r="AH1396" s="87">
        <v>1003</v>
      </c>
      <c r="AI1396" s="87"/>
      <c r="AJ1396" s="87"/>
      <c r="AK1396" s="87"/>
      <c r="AL1396" s="87"/>
      <c r="AM1396" s="87"/>
      <c r="AN1396" s="87">
        <v>81</v>
      </c>
      <c r="AO1396" s="87">
        <v>143</v>
      </c>
      <c r="AP1396" s="87">
        <v>5</v>
      </c>
      <c r="AQ1396" s="87">
        <v>54</v>
      </c>
      <c r="AR1396" s="87">
        <v>200</v>
      </c>
      <c r="AS1396" s="87"/>
      <c r="AT1396" s="87">
        <v>500</v>
      </c>
      <c r="AU1396" s="87">
        <v>40</v>
      </c>
      <c r="AV1396" s="87"/>
      <c r="AW1396" s="88" t="str">
        <f>HYPERLINK("http://www.openstreetmap.org/?mlat=36.0081&amp;mlon=44.0373&amp;zoom=12#map=12/36.0081/44.0373","Maplink1")</f>
        <v>Maplink1</v>
      </c>
      <c r="AX1396" s="88" t="str">
        <f>HYPERLINK("https://www.google.iq/maps/search/+36.0081,44.0373/@36.0081,44.0373,14z?hl=en","Maplink2")</f>
        <v>Maplink2</v>
      </c>
      <c r="AY1396" s="88" t="str">
        <f>HYPERLINK("http://www.bing.com/maps/?lvl=14&amp;sty=h&amp;cp=36.0081~44.0373&amp;sp=point.36.0081_44.0373","Maplink3")</f>
        <v>Maplink3</v>
      </c>
      <c r="AZ1396" s="76"/>
    </row>
    <row r="1397" spans="1:52" x14ac:dyDescent="0.25">
      <c r="A1397" s="86">
        <v>13670</v>
      </c>
      <c r="B1397" s="87" t="s">
        <v>18</v>
      </c>
      <c r="C1397" s="87" t="s">
        <v>18</v>
      </c>
      <c r="D1397" s="87" t="s">
        <v>2745</v>
      </c>
      <c r="E1397" s="87" t="s">
        <v>2746</v>
      </c>
      <c r="F1397" s="87">
        <v>36.148443125100002</v>
      </c>
      <c r="G1397" s="87">
        <v>44.0174735883</v>
      </c>
      <c r="H1397" s="86">
        <v>300</v>
      </c>
      <c r="I1397" s="86">
        <v>1800</v>
      </c>
      <c r="J1397" s="87">
        <v>200</v>
      </c>
      <c r="K1397" s="87"/>
      <c r="L1397" s="87">
        <v>50</v>
      </c>
      <c r="M1397" s="87"/>
      <c r="N1397" s="87"/>
      <c r="O1397" s="87"/>
      <c r="P1397" s="87"/>
      <c r="Q1397" s="87"/>
      <c r="R1397" s="87"/>
      <c r="S1397" s="87"/>
      <c r="T1397" s="87"/>
      <c r="U1397" s="87"/>
      <c r="V1397" s="87">
        <v>50</v>
      </c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>
        <v>300</v>
      </c>
      <c r="AI1397" s="87"/>
      <c r="AJ1397" s="87"/>
      <c r="AK1397" s="87"/>
      <c r="AL1397" s="87"/>
      <c r="AM1397" s="87"/>
      <c r="AN1397" s="87">
        <v>200</v>
      </c>
      <c r="AO1397" s="87">
        <v>50</v>
      </c>
      <c r="AP1397" s="87"/>
      <c r="AQ1397" s="87">
        <v>50</v>
      </c>
      <c r="AR1397" s="87"/>
      <c r="AS1397" s="87"/>
      <c r="AT1397" s="87"/>
      <c r="AU1397" s="87"/>
      <c r="AV1397" s="87"/>
      <c r="AW1397" s="88" t="str">
        <f>HYPERLINK("http://www.openstreetmap.org/?mlat=36.1484&amp;mlon=44.0175&amp;zoom=12#map=12/36.1484/44.0175","Maplink1")</f>
        <v>Maplink1</v>
      </c>
      <c r="AX1397" s="88" t="str">
        <f>HYPERLINK("https://www.google.iq/maps/search/+36.1484,44.0175/@36.1484,44.0175,14z?hl=en","Maplink2")</f>
        <v>Maplink2</v>
      </c>
      <c r="AY1397" s="88" t="str">
        <f>HYPERLINK("http://www.bing.com/maps/?lvl=14&amp;sty=h&amp;cp=36.1484~44.0175&amp;sp=point.36.1484_44.0175","Maplink3")</f>
        <v>Maplink3</v>
      </c>
      <c r="AZ1397" s="76"/>
    </row>
    <row r="1398" spans="1:52" x14ac:dyDescent="0.25">
      <c r="A1398" s="86">
        <v>21899</v>
      </c>
      <c r="B1398" s="87" t="s">
        <v>18</v>
      </c>
      <c r="C1398" s="87" t="s">
        <v>18</v>
      </c>
      <c r="D1398" s="87" t="s">
        <v>2048</v>
      </c>
      <c r="E1398" s="87" t="s">
        <v>2049</v>
      </c>
      <c r="F1398" s="87">
        <v>36.279736800000002</v>
      </c>
      <c r="G1398" s="87">
        <v>43.734181700000001</v>
      </c>
      <c r="H1398" s="86">
        <v>683</v>
      </c>
      <c r="I1398" s="86">
        <v>4098</v>
      </c>
      <c r="J1398" s="87">
        <v>213</v>
      </c>
      <c r="K1398" s="87"/>
      <c r="L1398" s="87"/>
      <c r="M1398" s="87"/>
      <c r="N1398" s="87"/>
      <c r="O1398" s="87"/>
      <c r="P1398" s="87"/>
      <c r="Q1398" s="87"/>
      <c r="R1398" s="87"/>
      <c r="S1398" s="87"/>
      <c r="T1398" s="87"/>
      <c r="U1398" s="87"/>
      <c r="V1398" s="87">
        <v>345</v>
      </c>
      <c r="W1398" s="87"/>
      <c r="X1398" s="87">
        <v>125</v>
      </c>
      <c r="Y1398" s="87"/>
      <c r="Z1398" s="87"/>
      <c r="AA1398" s="87"/>
      <c r="AB1398" s="87"/>
      <c r="AC1398" s="87"/>
      <c r="AD1398" s="87"/>
      <c r="AE1398" s="87"/>
      <c r="AF1398" s="87"/>
      <c r="AG1398" s="87"/>
      <c r="AH1398" s="87">
        <v>683</v>
      </c>
      <c r="AI1398" s="87"/>
      <c r="AJ1398" s="87"/>
      <c r="AK1398" s="87"/>
      <c r="AL1398" s="87"/>
      <c r="AM1398" s="87"/>
      <c r="AN1398" s="87">
        <v>85</v>
      </c>
      <c r="AO1398" s="87">
        <v>227</v>
      </c>
      <c r="AP1398" s="87">
        <v>8</v>
      </c>
      <c r="AQ1398" s="87"/>
      <c r="AR1398" s="87">
        <v>108</v>
      </c>
      <c r="AS1398" s="87"/>
      <c r="AT1398" s="87">
        <v>255</v>
      </c>
      <c r="AU1398" s="87"/>
      <c r="AV1398" s="87"/>
      <c r="AW1398" s="88" t="str">
        <f>HYPERLINK("http://www.openstreetmap.org/?mlat=36.2797&amp;mlon=43.7342&amp;zoom=12#map=12/36.2797/43.7342","Maplink1")</f>
        <v>Maplink1</v>
      </c>
      <c r="AX1398" s="88" t="str">
        <f>HYPERLINK("https://www.google.iq/maps/search/+36.2797,43.7342/@36.2797,43.7342,14z?hl=en","Maplink2")</f>
        <v>Maplink2</v>
      </c>
      <c r="AY1398" s="88" t="str">
        <f>HYPERLINK("http://www.bing.com/maps/?lvl=14&amp;sty=h&amp;cp=36.2797~43.7342&amp;sp=point.36.2797_43.7342","Maplink3")</f>
        <v>Maplink3</v>
      </c>
      <c r="AZ1398" s="76"/>
    </row>
    <row r="1399" spans="1:52" x14ac:dyDescent="0.25">
      <c r="A1399" s="86">
        <v>20997</v>
      </c>
      <c r="B1399" s="87" t="s">
        <v>18</v>
      </c>
      <c r="C1399" s="87" t="s">
        <v>18</v>
      </c>
      <c r="D1399" s="87" t="s">
        <v>2747</v>
      </c>
      <c r="E1399" s="87" t="s">
        <v>2748</v>
      </c>
      <c r="F1399" s="87">
        <v>36.169571589999997</v>
      </c>
      <c r="G1399" s="87">
        <v>44.018189710000001</v>
      </c>
      <c r="H1399" s="86">
        <v>100</v>
      </c>
      <c r="I1399" s="86">
        <v>600</v>
      </c>
      <c r="J1399" s="87">
        <v>53</v>
      </c>
      <c r="K1399" s="87"/>
      <c r="L1399" s="87">
        <v>8</v>
      </c>
      <c r="M1399" s="87"/>
      <c r="N1399" s="87"/>
      <c r="O1399" s="87"/>
      <c r="P1399" s="87"/>
      <c r="Q1399" s="87"/>
      <c r="R1399" s="87"/>
      <c r="S1399" s="87"/>
      <c r="T1399" s="87"/>
      <c r="U1399" s="87"/>
      <c r="V1399" s="87">
        <v>39</v>
      </c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>
        <v>100</v>
      </c>
      <c r="AI1399" s="87"/>
      <c r="AJ1399" s="87"/>
      <c r="AK1399" s="87"/>
      <c r="AL1399" s="87"/>
      <c r="AM1399" s="87"/>
      <c r="AN1399" s="87"/>
      <c r="AO1399" s="87">
        <v>33</v>
      </c>
      <c r="AP1399" s="87"/>
      <c r="AQ1399" s="87">
        <v>8</v>
      </c>
      <c r="AR1399" s="87">
        <v>53</v>
      </c>
      <c r="AS1399" s="87"/>
      <c r="AT1399" s="87">
        <v>6</v>
      </c>
      <c r="AU1399" s="87"/>
      <c r="AV1399" s="87"/>
      <c r="AW1399" s="88" t="str">
        <f>HYPERLINK("http://www.openstreetmap.org/?mlat=36.1696&amp;mlon=44.0182&amp;zoom=12#map=12/36.1696/44.0182","Maplink1")</f>
        <v>Maplink1</v>
      </c>
      <c r="AX1399" s="88" t="str">
        <f>HYPERLINK("https://www.google.iq/maps/search/+36.1696,44.0182/@36.1696,44.0182,14z?hl=en","Maplink2")</f>
        <v>Maplink2</v>
      </c>
      <c r="AY1399" s="88" t="str">
        <f>HYPERLINK("http://www.bing.com/maps/?lvl=14&amp;sty=h&amp;cp=36.1696~44.0182&amp;sp=point.36.1696_44.0182","Maplink3")</f>
        <v>Maplink3</v>
      </c>
      <c r="AZ1399" s="76"/>
    </row>
    <row r="1400" spans="1:52" x14ac:dyDescent="0.25">
      <c r="A1400" s="86">
        <v>27210</v>
      </c>
      <c r="B1400" s="87" t="s">
        <v>18</v>
      </c>
      <c r="C1400" s="87" t="s">
        <v>18</v>
      </c>
      <c r="D1400" s="87" t="s">
        <v>2749</v>
      </c>
      <c r="E1400" s="87" t="s">
        <v>2750</v>
      </c>
      <c r="F1400" s="87">
        <v>36.161257169999999</v>
      </c>
      <c r="G1400" s="87">
        <v>44.025814820000001</v>
      </c>
      <c r="H1400" s="86">
        <v>140</v>
      </c>
      <c r="I1400" s="86">
        <v>840</v>
      </c>
      <c r="J1400" s="87">
        <v>60</v>
      </c>
      <c r="K1400" s="87"/>
      <c r="L1400" s="87">
        <v>23</v>
      </c>
      <c r="M1400" s="87"/>
      <c r="N1400" s="87"/>
      <c r="O1400" s="87"/>
      <c r="P1400" s="87"/>
      <c r="Q1400" s="87"/>
      <c r="R1400" s="87"/>
      <c r="S1400" s="87"/>
      <c r="T1400" s="87"/>
      <c r="U1400" s="87"/>
      <c r="V1400" s="87">
        <v>51</v>
      </c>
      <c r="W1400" s="87"/>
      <c r="X1400" s="87">
        <v>6</v>
      </c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>
        <v>140</v>
      </c>
      <c r="AI1400" s="87"/>
      <c r="AJ1400" s="87"/>
      <c r="AK1400" s="87"/>
      <c r="AL1400" s="87"/>
      <c r="AM1400" s="87"/>
      <c r="AN1400" s="87">
        <v>3</v>
      </c>
      <c r="AO1400" s="87">
        <v>44</v>
      </c>
      <c r="AP1400" s="87"/>
      <c r="AQ1400" s="87">
        <v>23</v>
      </c>
      <c r="AR1400" s="87">
        <v>45</v>
      </c>
      <c r="AS1400" s="87">
        <v>13</v>
      </c>
      <c r="AT1400" s="87">
        <v>12</v>
      </c>
      <c r="AU1400" s="87"/>
      <c r="AV1400" s="87"/>
      <c r="AW1400" s="88" t="str">
        <f>HYPERLINK("http://www.openstreetmap.org/?mlat=36.1613&amp;mlon=44.0258&amp;zoom=12#map=12/36.1613/44.0258","Maplink1")</f>
        <v>Maplink1</v>
      </c>
      <c r="AX1400" s="88" t="str">
        <f>HYPERLINK("https://www.google.iq/maps/search/+36.1613,44.0258/@36.1613,44.0258,14z?hl=en","Maplink2")</f>
        <v>Maplink2</v>
      </c>
      <c r="AY1400" s="88" t="str">
        <f>HYPERLINK("http://www.bing.com/maps/?lvl=14&amp;sty=h&amp;cp=36.1613~44.0258&amp;sp=point.36.1613_44.0258","Maplink3")</f>
        <v>Maplink3</v>
      </c>
      <c r="AZ1400" s="76"/>
    </row>
    <row r="1401" spans="1:52" x14ac:dyDescent="0.25">
      <c r="A1401" s="86">
        <v>27206</v>
      </c>
      <c r="B1401" s="87" t="s">
        <v>18</v>
      </c>
      <c r="C1401" s="87" t="s">
        <v>18</v>
      </c>
      <c r="D1401" s="87" t="s">
        <v>2751</v>
      </c>
      <c r="E1401" s="87" t="s">
        <v>2752</v>
      </c>
      <c r="F1401" s="87">
        <v>36.175833744999998</v>
      </c>
      <c r="G1401" s="87">
        <v>44.019065219700003</v>
      </c>
      <c r="H1401" s="86">
        <v>50</v>
      </c>
      <c r="I1401" s="86">
        <v>300</v>
      </c>
      <c r="J1401" s="87"/>
      <c r="K1401" s="87"/>
      <c r="L1401" s="87">
        <v>3</v>
      </c>
      <c r="M1401" s="87"/>
      <c r="N1401" s="87"/>
      <c r="O1401" s="87"/>
      <c r="P1401" s="87"/>
      <c r="Q1401" s="87"/>
      <c r="R1401" s="87"/>
      <c r="S1401" s="87"/>
      <c r="T1401" s="87"/>
      <c r="U1401" s="87"/>
      <c r="V1401" s="87">
        <v>40</v>
      </c>
      <c r="W1401" s="87"/>
      <c r="X1401" s="87">
        <v>7</v>
      </c>
      <c r="Y1401" s="87"/>
      <c r="Z1401" s="87"/>
      <c r="AA1401" s="87"/>
      <c r="AB1401" s="87"/>
      <c r="AC1401" s="87"/>
      <c r="AD1401" s="87"/>
      <c r="AE1401" s="87"/>
      <c r="AF1401" s="87"/>
      <c r="AG1401" s="87"/>
      <c r="AH1401" s="87">
        <v>50</v>
      </c>
      <c r="AI1401" s="87"/>
      <c r="AJ1401" s="87"/>
      <c r="AK1401" s="87"/>
      <c r="AL1401" s="87"/>
      <c r="AM1401" s="87"/>
      <c r="AN1401" s="87"/>
      <c r="AO1401" s="87">
        <v>37</v>
      </c>
      <c r="AP1401" s="87"/>
      <c r="AQ1401" s="87">
        <v>3</v>
      </c>
      <c r="AR1401" s="87"/>
      <c r="AS1401" s="87"/>
      <c r="AT1401" s="87">
        <v>10</v>
      </c>
      <c r="AU1401" s="87"/>
      <c r="AV1401" s="87"/>
      <c r="AW1401" s="88" t="str">
        <f>HYPERLINK("http://www.openstreetmap.org/?mlat=36.1758&amp;mlon=44.0191&amp;zoom=12#map=12/36.1758/44.0191","Maplink1")</f>
        <v>Maplink1</v>
      </c>
      <c r="AX1401" s="88" t="str">
        <f>HYPERLINK("https://www.google.iq/maps/search/+36.1758,44.0191/@36.1758,44.0191,14z?hl=en","Maplink2")</f>
        <v>Maplink2</v>
      </c>
      <c r="AY1401" s="88" t="str">
        <f>HYPERLINK("http://www.bing.com/maps/?lvl=14&amp;sty=h&amp;cp=36.1758~44.0191&amp;sp=point.36.1758_44.0191","Maplink3")</f>
        <v>Maplink3</v>
      </c>
      <c r="AZ1401" s="76"/>
    </row>
    <row r="1402" spans="1:52" x14ac:dyDescent="0.25">
      <c r="A1402" s="86">
        <v>27208</v>
      </c>
      <c r="B1402" s="87" t="s">
        <v>18</v>
      </c>
      <c r="C1402" s="87" t="s">
        <v>18</v>
      </c>
      <c r="D1402" s="87" t="s">
        <v>2753</v>
      </c>
      <c r="E1402" s="87" t="s">
        <v>2754</v>
      </c>
      <c r="F1402" s="87">
        <v>36.180847720000003</v>
      </c>
      <c r="G1402" s="87">
        <v>44.03236115</v>
      </c>
      <c r="H1402" s="86">
        <v>106</v>
      </c>
      <c r="I1402" s="86">
        <v>636</v>
      </c>
      <c r="J1402" s="87">
        <v>36</v>
      </c>
      <c r="K1402" s="87"/>
      <c r="L1402" s="87">
        <v>10</v>
      </c>
      <c r="M1402" s="87"/>
      <c r="N1402" s="87"/>
      <c r="O1402" s="87"/>
      <c r="P1402" s="87"/>
      <c r="Q1402" s="87"/>
      <c r="R1402" s="87"/>
      <c r="S1402" s="87"/>
      <c r="T1402" s="87"/>
      <c r="U1402" s="87"/>
      <c r="V1402" s="87">
        <v>53</v>
      </c>
      <c r="W1402" s="87"/>
      <c r="X1402" s="87">
        <v>7</v>
      </c>
      <c r="Y1402" s="87"/>
      <c r="Z1402" s="87"/>
      <c r="AA1402" s="87"/>
      <c r="AB1402" s="87"/>
      <c r="AC1402" s="87"/>
      <c r="AD1402" s="87"/>
      <c r="AE1402" s="87"/>
      <c r="AF1402" s="87"/>
      <c r="AG1402" s="87"/>
      <c r="AH1402" s="87">
        <v>106</v>
      </c>
      <c r="AI1402" s="87"/>
      <c r="AJ1402" s="87"/>
      <c r="AK1402" s="87"/>
      <c r="AL1402" s="87"/>
      <c r="AM1402" s="87"/>
      <c r="AN1402" s="87">
        <v>31</v>
      </c>
      <c r="AO1402" s="87">
        <v>19</v>
      </c>
      <c r="AP1402" s="87"/>
      <c r="AQ1402" s="87">
        <v>10</v>
      </c>
      <c r="AR1402" s="87">
        <v>5</v>
      </c>
      <c r="AS1402" s="87"/>
      <c r="AT1402" s="87">
        <v>41</v>
      </c>
      <c r="AU1402" s="87"/>
      <c r="AV1402" s="87"/>
      <c r="AW1402" s="88" t="str">
        <f>HYPERLINK("http://www.openstreetmap.org/?mlat=36.1808&amp;mlon=44.0324&amp;zoom=12#map=12/36.1808/44.0324","Maplink1")</f>
        <v>Maplink1</v>
      </c>
      <c r="AX1402" s="88" t="str">
        <f>HYPERLINK("https://www.google.iq/maps/search/+36.1808,44.0324/@36.1808,44.0324,14z?hl=en","Maplink2")</f>
        <v>Maplink2</v>
      </c>
      <c r="AY1402" s="88" t="str">
        <f>HYPERLINK("http://www.bing.com/maps/?lvl=14&amp;sty=h&amp;cp=36.1808~44.0324&amp;sp=point.36.1808_44.0324","Maplink3")</f>
        <v>Maplink3</v>
      </c>
      <c r="AZ1402" s="76"/>
    </row>
    <row r="1403" spans="1:52" x14ac:dyDescent="0.25">
      <c r="A1403" s="86">
        <v>27209</v>
      </c>
      <c r="B1403" s="87" t="s">
        <v>18</v>
      </c>
      <c r="C1403" s="87" t="s">
        <v>18</v>
      </c>
      <c r="D1403" s="87" t="s">
        <v>2755</v>
      </c>
      <c r="E1403" s="87" t="s">
        <v>2756</v>
      </c>
      <c r="F1403" s="87">
        <v>36.178663405400002</v>
      </c>
      <c r="G1403" s="87">
        <v>44.030632246300001</v>
      </c>
      <c r="H1403" s="86">
        <v>105</v>
      </c>
      <c r="I1403" s="86">
        <v>630</v>
      </c>
      <c r="J1403" s="87">
        <v>61</v>
      </c>
      <c r="K1403" s="87"/>
      <c r="L1403" s="87">
        <v>3</v>
      </c>
      <c r="M1403" s="87"/>
      <c r="N1403" s="87"/>
      <c r="O1403" s="87"/>
      <c r="P1403" s="87"/>
      <c r="Q1403" s="87"/>
      <c r="R1403" s="87"/>
      <c r="S1403" s="87"/>
      <c r="T1403" s="87"/>
      <c r="U1403" s="87"/>
      <c r="V1403" s="87">
        <v>39</v>
      </c>
      <c r="W1403" s="87"/>
      <c r="X1403" s="87">
        <v>2</v>
      </c>
      <c r="Y1403" s="87"/>
      <c r="Z1403" s="87"/>
      <c r="AA1403" s="87"/>
      <c r="AB1403" s="87"/>
      <c r="AC1403" s="87"/>
      <c r="AD1403" s="87"/>
      <c r="AE1403" s="87"/>
      <c r="AF1403" s="87"/>
      <c r="AG1403" s="87"/>
      <c r="AH1403" s="87">
        <v>105</v>
      </c>
      <c r="AI1403" s="87"/>
      <c r="AJ1403" s="87"/>
      <c r="AK1403" s="87"/>
      <c r="AL1403" s="87"/>
      <c r="AM1403" s="87"/>
      <c r="AN1403" s="87">
        <v>5</v>
      </c>
      <c r="AO1403" s="87">
        <v>7</v>
      </c>
      <c r="AP1403" s="87"/>
      <c r="AQ1403" s="87">
        <v>3</v>
      </c>
      <c r="AR1403" s="87">
        <v>56</v>
      </c>
      <c r="AS1403" s="87"/>
      <c r="AT1403" s="87">
        <v>34</v>
      </c>
      <c r="AU1403" s="87"/>
      <c r="AV1403" s="87"/>
      <c r="AW1403" s="88" t="str">
        <f>HYPERLINK("http://www.openstreetmap.org/?mlat=36.1787&amp;mlon=44.0306&amp;zoom=12#map=12/36.1787/44.0306","Maplink1")</f>
        <v>Maplink1</v>
      </c>
      <c r="AX1403" s="88" t="str">
        <f>HYPERLINK("https://www.google.iq/maps/search/+36.1787,44.0306/@36.1787,44.0306,14z?hl=en","Maplink2")</f>
        <v>Maplink2</v>
      </c>
      <c r="AY1403" s="88" t="str">
        <f>HYPERLINK("http://www.bing.com/maps/?lvl=14&amp;sty=h&amp;cp=36.1787~44.0306&amp;sp=point.36.1787_44.0306","Maplink3")</f>
        <v>Maplink3</v>
      </c>
      <c r="AZ1403" s="76"/>
    </row>
    <row r="1404" spans="1:52" x14ac:dyDescent="0.25">
      <c r="A1404" s="86">
        <v>27205</v>
      </c>
      <c r="B1404" s="87" t="s">
        <v>18</v>
      </c>
      <c r="C1404" s="87" t="s">
        <v>18</v>
      </c>
      <c r="D1404" s="87" t="s">
        <v>2757</v>
      </c>
      <c r="E1404" s="87" t="s">
        <v>2758</v>
      </c>
      <c r="F1404" s="87">
        <v>36.163996750000003</v>
      </c>
      <c r="G1404" s="87">
        <v>44.021292029999998</v>
      </c>
      <c r="H1404" s="86">
        <v>230</v>
      </c>
      <c r="I1404" s="86">
        <v>1380</v>
      </c>
      <c r="J1404" s="87">
        <v>138</v>
      </c>
      <c r="K1404" s="87"/>
      <c r="L1404" s="87">
        <v>30</v>
      </c>
      <c r="M1404" s="87"/>
      <c r="N1404" s="87"/>
      <c r="O1404" s="87"/>
      <c r="P1404" s="87"/>
      <c r="Q1404" s="87"/>
      <c r="R1404" s="87"/>
      <c r="S1404" s="87"/>
      <c r="T1404" s="87"/>
      <c r="U1404" s="87"/>
      <c r="V1404" s="87">
        <v>50</v>
      </c>
      <c r="W1404" s="87"/>
      <c r="X1404" s="87">
        <v>12</v>
      </c>
      <c r="Y1404" s="87"/>
      <c r="Z1404" s="87"/>
      <c r="AA1404" s="87"/>
      <c r="AB1404" s="87"/>
      <c r="AC1404" s="87"/>
      <c r="AD1404" s="87"/>
      <c r="AE1404" s="87"/>
      <c r="AF1404" s="87"/>
      <c r="AG1404" s="87"/>
      <c r="AH1404" s="87">
        <v>230</v>
      </c>
      <c r="AI1404" s="87"/>
      <c r="AJ1404" s="87"/>
      <c r="AK1404" s="87"/>
      <c r="AL1404" s="87"/>
      <c r="AM1404" s="87"/>
      <c r="AN1404" s="87">
        <v>34</v>
      </c>
      <c r="AO1404" s="87">
        <v>37</v>
      </c>
      <c r="AP1404" s="87"/>
      <c r="AQ1404" s="87">
        <v>30</v>
      </c>
      <c r="AR1404" s="87">
        <v>100</v>
      </c>
      <c r="AS1404" s="87"/>
      <c r="AT1404" s="87">
        <v>25</v>
      </c>
      <c r="AU1404" s="87">
        <v>4</v>
      </c>
      <c r="AV1404" s="87"/>
      <c r="AW1404" s="88" t="str">
        <f>HYPERLINK("http://www.openstreetmap.org/?mlat=36.164&amp;mlon=44.0213&amp;zoom=12#map=12/36.164/44.0213","Maplink1")</f>
        <v>Maplink1</v>
      </c>
      <c r="AX1404" s="88" t="str">
        <f>HYPERLINK("https://www.google.iq/maps/search/+36.164,44.0213/@36.164,44.0213,14z?hl=en","Maplink2")</f>
        <v>Maplink2</v>
      </c>
      <c r="AY1404" s="88" t="str">
        <f>HYPERLINK("http://www.bing.com/maps/?lvl=14&amp;sty=h&amp;cp=36.164~44.0213&amp;sp=point.36.164_44.0213","Maplink3")</f>
        <v>Maplink3</v>
      </c>
      <c r="AZ1404" s="76"/>
    </row>
    <row r="1405" spans="1:52" x14ac:dyDescent="0.25">
      <c r="A1405" s="86">
        <v>27207</v>
      </c>
      <c r="B1405" s="87" t="s">
        <v>18</v>
      </c>
      <c r="C1405" s="87" t="s">
        <v>18</v>
      </c>
      <c r="D1405" s="87" t="s">
        <v>2759</v>
      </c>
      <c r="E1405" s="87" t="s">
        <v>2760</v>
      </c>
      <c r="F1405" s="87">
        <v>36.169199962900002</v>
      </c>
      <c r="G1405" s="87">
        <v>44.032324344300001</v>
      </c>
      <c r="H1405" s="86">
        <v>251</v>
      </c>
      <c r="I1405" s="86">
        <v>1506</v>
      </c>
      <c r="J1405" s="87">
        <v>115</v>
      </c>
      <c r="K1405" s="87"/>
      <c r="L1405" s="87">
        <v>22</v>
      </c>
      <c r="M1405" s="87"/>
      <c r="N1405" s="87"/>
      <c r="O1405" s="87"/>
      <c r="P1405" s="87"/>
      <c r="Q1405" s="87"/>
      <c r="R1405" s="87"/>
      <c r="S1405" s="87"/>
      <c r="T1405" s="87"/>
      <c r="U1405" s="87"/>
      <c r="V1405" s="87">
        <v>91</v>
      </c>
      <c r="W1405" s="87"/>
      <c r="X1405" s="87">
        <v>23</v>
      </c>
      <c r="Y1405" s="87"/>
      <c r="Z1405" s="87"/>
      <c r="AA1405" s="87"/>
      <c r="AB1405" s="87"/>
      <c r="AC1405" s="87"/>
      <c r="AD1405" s="87"/>
      <c r="AE1405" s="87"/>
      <c r="AF1405" s="87"/>
      <c r="AG1405" s="87"/>
      <c r="AH1405" s="87">
        <v>251</v>
      </c>
      <c r="AI1405" s="87"/>
      <c r="AJ1405" s="87"/>
      <c r="AK1405" s="87"/>
      <c r="AL1405" s="87"/>
      <c r="AM1405" s="87"/>
      <c r="AN1405" s="87">
        <v>10</v>
      </c>
      <c r="AO1405" s="87">
        <v>38</v>
      </c>
      <c r="AP1405" s="87"/>
      <c r="AQ1405" s="87">
        <v>22</v>
      </c>
      <c r="AR1405" s="87">
        <v>95</v>
      </c>
      <c r="AS1405" s="87">
        <v>10</v>
      </c>
      <c r="AT1405" s="87">
        <v>66</v>
      </c>
      <c r="AU1405" s="87">
        <v>10</v>
      </c>
      <c r="AV1405" s="87"/>
      <c r="AW1405" s="88" t="str">
        <f>HYPERLINK("http://www.openstreetmap.org/?mlat=36.1692&amp;mlon=44.0323&amp;zoom=12#map=12/36.1692/44.0323","Maplink1")</f>
        <v>Maplink1</v>
      </c>
      <c r="AX1405" s="88" t="str">
        <f>HYPERLINK("https://www.google.iq/maps/search/+36.1692,44.0323/@36.1692,44.0323,14z?hl=en","Maplink2")</f>
        <v>Maplink2</v>
      </c>
      <c r="AY1405" s="88" t="str">
        <f>HYPERLINK("http://www.bing.com/maps/?lvl=14&amp;sty=h&amp;cp=36.1692~44.0323&amp;sp=point.36.1692_44.0323","Maplink3")</f>
        <v>Maplink3</v>
      </c>
      <c r="AZ1405" s="76"/>
    </row>
    <row r="1406" spans="1:52" x14ac:dyDescent="0.25">
      <c r="A1406" s="86">
        <v>27134</v>
      </c>
      <c r="B1406" s="87" t="s">
        <v>18</v>
      </c>
      <c r="C1406" s="87" t="s">
        <v>18</v>
      </c>
      <c r="D1406" s="87" t="s">
        <v>2761</v>
      </c>
      <c r="E1406" s="87" t="s">
        <v>2762</v>
      </c>
      <c r="F1406" s="87">
        <v>36.236749209999999</v>
      </c>
      <c r="G1406" s="87">
        <v>43.993729860000002</v>
      </c>
      <c r="H1406" s="86">
        <v>210</v>
      </c>
      <c r="I1406" s="86">
        <v>1260</v>
      </c>
      <c r="J1406" s="87">
        <v>10</v>
      </c>
      <c r="K1406" s="87"/>
      <c r="L1406" s="87"/>
      <c r="M1406" s="87"/>
      <c r="N1406" s="87"/>
      <c r="O1406" s="87"/>
      <c r="P1406" s="87"/>
      <c r="Q1406" s="87"/>
      <c r="R1406" s="87"/>
      <c r="S1406" s="87"/>
      <c r="T1406" s="87"/>
      <c r="U1406" s="87"/>
      <c r="V1406" s="87">
        <v>200</v>
      </c>
      <c r="W1406" s="87"/>
      <c r="X1406" s="87"/>
      <c r="Y1406" s="87"/>
      <c r="Z1406" s="87"/>
      <c r="AA1406" s="87"/>
      <c r="AB1406" s="87"/>
      <c r="AC1406" s="87"/>
      <c r="AD1406" s="87"/>
      <c r="AE1406" s="87"/>
      <c r="AF1406" s="87"/>
      <c r="AG1406" s="87"/>
      <c r="AH1406" s="87">
        <v>210</v>
      </c>
      <c r="AI1406" s="87"/>
      <c r="AJ1406" s="87"/>
      <c r="AK1406" s="87"/>
      <c r="AL1406" s="87"/>
      <c r="AM1406" s="87"/>
      <c r="AN1406" s="87">
        <v>10</v>
      </c>
      <c r="AO1406" s="87">
        <v>190</v>
      </c>
      <c r="AP1406" s="87"/>
      <c r="AQ1406" s="87"/>
      <c r="AR1406" s="87"/>
      <c r="AS1406" s="87"/>
      <c r="AT1406" s="87">
        <v>10</v>
      </c>
      <c r="AU1406" s="87"/>
      <c r="AV1406" s="87"/>
      <c r="AW1406" s="88" t="str">
        <f>HYPERLINK("http://www.openstreetmap.org/?mlat=36.2367&amp;mlon=43.9937&amp;zoom=12#map=12/36.2367/43.9937","Maplink1")</f>
        <v>Maplink1</v>
      </c>
      <c r="AX1406" s="88" t="str">
        <f>HYPERLINK("https://www.google.iq/maps/search/+36.2367,43.9937/@36.2367,43.9937,14z?hl=en","Maplink2")</f>
        <v>Maplink2</v>
      </c>
      <c r="AY1406" s="88" t="str">
        <f>HYPERLINK("http://www.bing.com/maps/?lvl=14&amp;sty=h&amp;cp=36.2367~43.9937&amp;sp=point.36.2367_43.9937","Maplink3")</f>
        <v>Maplink3</v>
      </c>
      <c r="AZ1406" s="76"/>
    </row>
    <row r="1407" spans="1:52" x14ac:dyDescent="0.25">
      <c r="A1407" s="86">
        <v>27226</v>
      </c>
      <c r="B1407" s="87" t="s">
        <v>18</v>
      </c>
      <c r="C1407" s="87" t="s">
        <v>18</v>
      </c>
      <c r="D1407" s="87" t="s">
        <v>2763</v>
      </c>
      <c r="E1407" s="87" t="s">
        <v>2049</v>
      </c>
      <c r="F1407" s="87">
        <v>36.1713606</v>
      </c>
      <c r="G1407" s="87">
        <v>43.9952744</v>
      </c>
      <c r="H1407" s="86">
        <v>133</v>
      </c>
      <c r="I1407" s="86">
        <v>798</v>
      </c>
      <c r="J1407" s="87">
        <v>5</v>
      </c>
      <c r="K1407" s="87"/>
      <c r="L1407" s="87"/>
      <c r="M1407" s="87"/>
      <c r="N1407" s="87"/>
      <c r="O1407" s="87"/>
      <c r="P1407" s="87"/>
      <c r="Q1407" s="87"/>
      <c r="R1407" s="87"/>
      <c r="S1407" s="87"/>
      <c r="T1407" s="87"/>
      <c r="U1407" s="87"/>
      <c r="V1407" s="87">
        <v>128</v>
      </c>
      <c r="W1407" s="87"/>
      <c r="X1407" s="87"/>
      <c r="Y1407" s="87"/>
      <c r="Z1407" s="87"/>
      <c r="AA1407" s="87"/>
      <c r="AB1407" s="87"/>
      <c r="AC1407" s="87"/>
      <c r="AD1407" s="87"/>
      <c r="AE1407" s="87"/>
      <c r="AF1407" s="87"/>
      <c r="AG1407" s="87"/>
      <c r="AH1407" s="87">
        <v>133</v>
      </c>
      <c r="AI1407" s="87"/>
      <c r="AJ1407" s="87"/>
      <c r="AK1407" s="87"/>
      <c r="AL1407" s="87"/>
      <c r="AM1407" s="87"/>
      <c r="AN1407" s="87">
        <v>5</v>
      </c>
      <c r="AO1407" s="87">
        <v>93</v>
      </c>
      <c r="AP1407" s="87">
        <v>20</v>
      </c>
      <c r="AQ1407" s="87"/>
      <c r="AR1407" s="87"/>
      <c r="AS1407" s="87"/>
      <c r="AT1407" s="87">
        <v>15</v>
      </c>
      <c r="AU1407" s="87"/>
      <c r="AV1407" s="87"/>
      <c r="AW1407" s="88" t="str">
        <f>HYPERLINK("http://www.openstreetmap.org/?mlat=36.1714&amp;mlon=43.9953&amp;zoom=12#map=12/36.1714/43.9953","Maplink1")</f>
        <v>Maplink1</v>
      </c>
      <c r="AX1407" s="88" t="str">
        <f>HYPERLINK("https://www.google.iq/maps/search/+36.1714,43.9953/@36.1714,43.9953,14z?hl=en","Maplink2")</f>
        <v>Maplink2</v>
      </c>
      <c r="AY1407" s="88" t="str">
        <f>HYPERLINK("http://www.bing.com/maps/?lvl=14&amp;sty=h&amp;cp=36.1714~43.9953&amp;sp=point.36.1714_43.9953","Maplink3")</f>
        <v>Maplink3</v>
      </c>
      <c r="AZ1407" s="76"/>
    </row>
    <row r="1408" spans="1:52" x14ac:dyDescent="0.25">
      <c r="A1408" s="86">
        <v>27216</v>
      </c>
      <c r="B1408" s="87" t="s">
        <v>18</v>
      </c>
      <c r="C1408" s="87" t="s">
        <v>18</v>
      </c>
      <c r="D1408" s="87" t="s">
        <v>2764</v>
      </c>
      <c r="E1408" s="87" t="s">
        <v>2765</v>
      </c>
      <c r="F1408" s="87">
        <v>36.180798000000003</v>
      </c>
      <c r="G1408" s="87">
        <v>44.020308999999997</v>
      </c>
      <c r="H1408" s="86">
        <v>50</v>
      </c>
      <c r="I1408" s="86">
        <v>300</v>
      </c>
      <c r="J1408" s="87">
        <v>5</v>
      </c>
      <c r="K1408" s="87"/>
      <c r="L1408" s="87"/>
      <c r="M1408" s="87"/>
      <c r="N1408" s="87"/>
      <c r="O1408" s="87"/>
      <c r="P1408" s="87"/>
      <c r="Q1408" s="87"/>
      <c r="R1408" s="87"/>
      <c r="S1408" s="87"/>
      <c r="T1408" s="87"/>
      <c r="U1408" s="87"/>
      <c r="V1408" s="87">
        <v>25</v>
      </c>
      <c r="W1408" s="87"/>
      <c r="X1408" s="87">
        <v>20</v>
      </c>
      <c r="Y1408" s="87"/>
      <c r="Z1408" s="87"/>
      <c r="AA1408" s="87"/>
      <c r="AB1408" s="87"/>
      <c r="AC1408" s="87"/>
      <c r="AD1408" s="87"/>
      <c r="AE1408" s="87"/>
      <c r="AF1408" s="87"/>
      <c r="AG1408" s="87"/>
      <c r="AH1408" s="87">
        <v>50</v>
      </c>
      <c r="AI1408" s="87"/>
      <c r="AJ1408" s="87"/>
      <c r="AK1408" s="87"/>
      <c r="AL1408" s="87"/>
      <c r="AM1408" s="87"/>
      <c r="AN1408" s="87"/>
      <c r="AO1408" s="87">
        <v>20</v>
      </c>
      <c r="AP1408" s="87">
        <v>10</v>
      </c>
      <c r="AQ1408" s="87"/>
      <c r="AR1408" s="87">
        <v>5</v>
      </c>
      <c r="AS1408" s="87"/>
      <c r="AT1408" s="87">
        <v>15</v>
      </c>
      <c r="AU1408" s="87"/>
      <c r="AV1408" s="87"/>
      <c r="AW1408" s="88" t="str">
        <f>HYPERLINK("http://www.openstreetmap.org/?mlat=36.1808&amp;mlon=44.0203&amp;zoom=12#map=12/36.1808/44.0203","Maplink1")</f>
        <v>Maplink1</v>
      </c>
      <c r="AX1408" s="88" t="str">
        <f>HYPERLINK("https://www.google.iq/maps/search/+36.1808,44.0203/@36.1808,44.0203,14z?hl=en","Maplink2")</f>
        <v>Maplink2</v>
      </c>
      <c r="AY1408" s="88" t="str">
        <f>HYPERLINK("http://www.bing.com/maps/?lvl=14&amp;sty=h&amp;cp=36.1808~44.0203&amp;sp=point.36.1808_44.0203","Maplink3")</f>
        <v>Maplink3</v>
      </c>
      <c r="AZ1408" s="76"/>
    </row>
    <row r="1409" spans="1:52" x14ac:dyDescent="0.25">
      <c r="A1409" s="86">
        <v>27215</v>
      </c>
      <c r="B1409" s="87" t="s">
        <v>18</v>
      </c>
      <c r="C1409" s="87" t="s">
        <v>18</v>
      </c>
      <c r="D1409" s="87" t="s">
        <v>2766</v>
      </c>
      <c r="E1409" s="87" t="s">
        <v>2767</v>
      </c>
      <c r="F1409" s="87">
        <v>36.189755040000001</v>
      </c>
      <c r="G1409" s="87">
        <v>44.031867339999998</v>
      </c>
      <c r="H1409" s="86">
        <v>41</v>
      </c>
      <c r="I1409" s="86">
        <v>246</v>
      </c>
      <c r="J1409" s="87">
        <v>5</v>
      </c>
      <c r="K1409" s="87"/>
      <c r="L1409" s="87"/>
      <c r="M1409" s="87"/>
      <c r="N1409" s="87"/>
      <c r="O1409" s="87"/>
      <c r="P1409" s="87"/>
      <c r="Q1409" s="87"/>
      <c r="R1409" s="87">
        <v>8</v>
      </c>
      <c r="S1409" s="87"/>
      <c r="T1409" s="87"/>
      <c r="U1409" s="87"/>
      <c r="V1409" s="87">
        <v>24</v>
      </c>
      <c r="W1409" s="87"/>
      <c r="X1409" s="87">
        <v>4</v>
      </c>
      <c r="Y1409" s="87"/>
      <c r="Z1409" s="87"/>
      <c r="AA1409" s="87"/>
      <c r="AB1409" s="87"/>
      <c r="AC1409" s="87"/>
      <c r="AD1409" s="87"/>
      <c r="AE1409" s="87"/>
      <c r="AF1409" s="87"/>
      <c r="AG1409" s="87"/>
      <c r="AH1409" s="87">
        <v>41</v>
      </c>
      <c r="AI1409" s="87"/>
      <c r="AJ1409" s="87"/>
      <c r="AK1409" s="87"/>
      <c r="AL1409" s="87"/>
      <c r="AM1409" s="87"/>
      <c r="AN1409" s="87"/>
      <c r="AO1409" s="87">
        <v>28</v>
      </c>
      <c r="AP1409" s="87"/>
      <c r="AQ1409" s="87"/>
      <c r="AR1409" s="87">
        <v>5</v>
      </c>
      <c r="AS1409" s="87"/>
      <c r="AT1409" s="87"/>
      <c r="AU1409" s="87">
        <v>8</v>
      </c>
      <c r="AV1409" s="87"/>
      <c r="AW1409" s="88" t="str">
        <f>HYPERLINK("http://www.openstreetmap.org/?mlat=36.1898&amp;mlon=44.0319&amp;zoom=12#map=12/36.1898/44.0319","Maplink1")</f>
        <v>Maplink1</v>
      </c>
      <c r="AX1409" s="88" t="str">
        <f>HYPERLINK("https://www.google.iq/maps/search/+36.1898,44.0319/@36.1898,44.0319,14z?hl=en","Maplink2")</f>
        <v>Maplink2</v>
      </c>
      <c r="AY1409" s="88" t="str">
        <f>HYPERLINK("http://www.bing.com/maps/?lvl=14&amp;sty=h&amp;cp=36.1898~44.0319&amp;sp=point.36.1898_44.0319","Maplink3")</f>
        <v>Maplink3</v>
      </c>
      <c r="AZ1409" s="76"/>
    </row>
    <row r="1410" spans="1:52" x14ac:dyDescent="0.25">
      <c r="A1410" s="86">
        <v>27330</v>
      </c>
      <c r="B1410" s="87" t="s">
        <v>18</v>
      </c>
      <c r="C1410" s="87" t="s">
        <v>18</v>
      </c>
      <c r="D1410" s="87" t="s">
        <v>2768</v>
      </c>
      <c r="E1410" s="87" t="s">
        <v>2769</v>
      </c>
      <c r="F1410" s="87">
        <v>36.248841300000002</v>
      </c>
      <c r="G1410" s="87">
        <v>44.102793699999999</v>
      </c>
      <c r="H1410" s="86">
        <v>25</v>
      </c>
      <c r="I1410" s="86">
        <v>150</v>
      </c>
      <c r="J1410" s="87">
        <v>15</v>
      </c>
      <c r="K1410" s="87"/>
      <c r="L1410" s="87"/>
      <c r="M1410" s="87"/>
      <c r="N1410" s="87"/>
      <c r="O1410" s="87"/>
      <c r="P1410" s="87"/>
      <c r="Q1410" s="87"/>
      <c r="R1410" s="87"/>
      <c r="S1410" s="87"/>
      <c r="T1410" s="87"/>
      <c r="U1410" s="87"/>
      <c r="V1410" s="87">
        <v>10</v>
      </c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>
        <v>25</v>
      </c>
      <c r="AI1410" s="87"/>
      <c r="AJ1410" s="87"/>
      <c r="AK1410" s="87"/>
      <c r="AL1410" s="87"/>
      <c r="AM1410" s="87"/>
      <c r="AN1410" s="87">
        <v>3</v>
      </c>
      <c r="AO1410" s="87">
        <v>2</v>
      </c>
      <c r="AP1410" s="87"/>
      <c r="AQ1410" s="87"/>
      <c r="AR1410" s="87">
        <v>10</v>
      </c>
      <c r="AS1410" s="87"/>
      <c r="AT1410" s="87">
        <v>10</v>
      </c>
      <c r="AU1410" s="87"/>
      <c r="AV1410" s="87"/>
      <c r="AW1410" s="88" t="str">
        <f>HYPERLINK("http://www.openstreetmap.org/?mlat=36.2488&amp;mlon=44.1028&amp;zoom=12#map=12/36.2488/44.1028","Maplink1")</f>
        <v>Maplink1</v>
      </c>
      <c r="AX1410" s="88" t="str">
        <f>HYPERLINK("https://www.google.iq/maps/search/+36.2488,44.1028/@36.2488,44.1028,14z?hl=en","Maplink2")</f>
        <v>Maplink2</v>
      </c>
      <c r="AY1410" s="88" t="str">
        <f>HYPERLINK("http://www.bing.com/maps/?lvl=14&amp;sty=h&amp;cp=36.2488~44.1028&amp;sp=point.36.2488_44.1028","Maplink3")</f>
        <v>Maplink3</v>
      </c>
      <c r="AZ1410" s="76"/>
    </row>
    <row r="1411" spans="1:52" x14ac:dyDescent="0.25">
      <c r="A1411" s="86">
        <v>33884</v>
      </c>
      <c r="B1411" s="87" t="s">
        <v>18</v>
      </c>
      <c r="C1411" s="87" t="s">
        <v>18</v>
      </c>
      <c r="D1411" s="87" t="s">
        <v>5914</v>
      </c>
      <c r="E1411" s="87" t="s">
        <v>5915</v>
      </c>
      <c r="F1411" s="87">
        <v>36.129795550280001</v>
      </c>
      <c r="G1411" s="87">
        <v>43.9671985293921</v>
      </c>
      <c r="H1411" s="86">
        <v>50</v>
      </c>
      <c r="I1411" s="86">
        <v>300</v>
      </c>
      <c r="J1411" s="87">
        <v>30</v>
      </c>
      <c r="K1411" s="87"/>
      <c r="L1411" s="87"/>
      <c r="M1411" s="87"/>
      <c r="N1411" s="87"/>
      <c r="O1411" s="87"/>
      <c r="P1411" s="87"/>
      <c r="Q1411" s="87"/>
      <c r="R1411" s="87"/>
      <c r="S1411" s="87"/>
      <c r="T1411" s="87"/>
      <c r="U1411" s="87"/>
      <c r="V1411" s="87">
        <v>15</v>
      </c>
      <c r="W1411" s="87"/>
      <c r="X1411" s="87">
        <v>5</v>
      </c>
      <c r="Y1411" s="87"/>
      <c r="Z1411" s="87"/>
      <c r="AA1411" s="87"/>
      <c r="AB1411" s="87"/>
      <c r="AC1411" s="87"/>
      <c r="AD1411" s="87"/>
      <c r="AE1411" s="87"/>
      <c r="AF1411" s="87"/>
      <c r="AG1411" s="87"/>
      <c r="AH1411" s="87">
        <v>50</v>
      </c>
      <c r="AI1411" s="87"/>
      <c r="AJ1411" s="87"/>
      <c r="AK1411" s="87"/>
      <c r="AL1411" s="87"/>
      <c r="AM1411" s="87"/>
      <c r="AN1411" s="87"/>
      <c r="AO1411" s="87">
        <v>5</v>
      </c>
      <c r="AP1411" s="87"/>
      <c r="AQ1411" s="87"/>
      <c r="AR1411" s="87">
        <v>30</v>
      </c>
      <c r="AS1411" s="87"/>
      <c r="AT1411" s="87">
        <v>15</v>
      </c>
      <c r="AU1411" s="87"/>
      <c r="AV1411" s="87"/>
      <c r="AW1411" s="88" t="str">
        <f>HYPERLINK("http://www.openstreetmap.org/?mlat=36.1298&amp;mlon=43.9672&amp;zoom=12#map=12/36.1298/43.9672","Maplink1")</f>
        <v>Maplink1</v>
      </c>
      <c r="AX1411" s="88" t="str">
        <f>HYPERLINK("https://www.google.iq/maps/search/+36.1298,43.9672/@36.1298,43.9672,14z?hl=en","Maplink2")</f>
        <v>Maplink2</v>
      </c>
      <c r="AY1411" s="88" t="str">
        <f>HYPERLINK("http://www.bing.com/maps/?lvl=14&amp;sty=h&amp;cp=36.1298~43.9672&amp;sp=point.36.1298_43.9672","Maplink3")</f>
        <v>Maplink3</v>
      </c>
      <c r="AZ1411" s="76"/>
    </row>
    <row r="1412" spans="1:52" x14ac:dyDescent="0.25">
      <c r="A1412" s="86">
        <v>23911</v>
      </c>
      <c r="B1412" s="87" t="s">
        <v>18</v>
      </c>
      <c r="C1412" s="87" t="s">
        <v>18</v>
      </c>
      <c r="D1412" s="87" t="s">
        <v>2770</v>
      </c>
      <c r="E1412" s="87" t="s">
        <v>2771</v>
      </c>
      <c r="F1412" s="87">
        <v>36.182650389999999</v>
      </c>
      <c r="G1412" s="87">
        <v>44.018366899999997</v>
      </c>
      <c r="H1412" s="86">
        <v>202</v>
      </c>
      <c r="I1412" s="86">
        <v>1212</v>
      </c>
      <c r="J1412" s="87"/>
      <c r="K1412" s="87"/>
      <c r="L1412" s="87">
        <v>20</v>
      </c>
      <c r="M1412" s="87"/>
      <c r="N1412" s="87"/>
      <c r="O1412" s="87"/>
      <c r="P1412" s="87"/>
      <c r="Q1412" s="87"/>
      <c r="R1412" s="87">
        <v>4</v>
      </c>
      <c r="S1412" s="87"/>
      <c r="T1412" s="87"/>
      <c r="U1412" s="87"/>
      <c r="V1412" s="87">
        <v>158</v>
      </c>
      <c r="W1412" s="87"/>
      <c r="X1412" s="87">
        <v>20</v>
      </c>
      <c r="Y1412" s="87"/>
      <c r="Z1412" s="87"/>
      <c r="AA1412" s="87"/>
      <c r="AB1412" s="87"/>
      <c r="AC1412" s="87"/>
      <c r="AD1412" s="87"/>
      <c r="AE1412" s="87"/>
      <c r="AF1412" s="87"/>
      <c r="AG1412" s="87"/>
      <c r="AH1412" s="87">
        <v>202</v>
      </c>
      <c r="AI1412" s="87"/>
      <c r="AJ1412" s="87"/>
      <c r="AK1412" s="87"/>
      <c r="AL1412" s="87"/>
      <c r="AM1412" s="87"/>
      <c r="AN1412" s="87"/>
      <c r="AO1412" s="87">
        <v>78</v>
      </c>
      <c r="AP1412" s="87"/>
      <c r="AQ1412" s="87">
        <v>20</v>
      </c>
      <c r="AR1412" s="87"/>
      <c r="AS1412" s="87"/>
      <c r="AT1412" s="87">
        <v>100</v>
      </c>
      <c r="AU1412" s="87">
        <v>4</v>
      </c>
      <c r="AV1412" s="87"/>
      <c r="AW1412" s="88" t="str">
        <f>HYPERLINK("http://www.openstreetmap.org/?mlat=36.1827&amp;mlon=44.0184&amp;zoom=12#map=12/36.1827/44.0184","Maplink1")</f>
        <v>Maplink1</v>
      </c>
      <c r="AX1412" s="88" t="str">
        <f>HYPERLINK("https://www.google.iq/maps/search/+36.1827,44.0184/@36.1827,44.0184,14z?hl=en","Maplink2")</f>
        <v>Maplink2</v>
      </c>
      <c r="AY1412" s="88" t="str">
        <f>HYPERLINK("http://www.bing.com/maps/?lvl=14&amp;sty=h&amp;cp=36.1827~44.0184&amp;sp=point.36.1827_44.0184","Maplink3")</f>
        <v>Maplink3</v>
      </c>
      <c r="AZ1412" s="76"/>
    </row>
    <row r="1413" spans="1:52" x14ac:dyDescent="0.25">
      <c r="A1413" s="86">
        <v>11777</v>
      </c>
      <c r="B1413" s="87" t="s">
        <v>18</v>
      </c>
      <c r="C1413" s="87" t="s">
        <v>18</v>
      </c>
      <c r="D1413" s="87" t="s">
        <v>2772</v>
      </c>
      <c r="E1413" s="87" t="s">
        <v>2773</v>
      </c>
      <c r="F1413" s="87">
        <v>36.217360300000003</v>
      </c>
      <c r="G1413" s="87">
        <v>44.098165999999999</v>
      </c>
      <c r="H1413" s="86">
        <v>300</v>
      </c>
      <c r="I1413" s="86">
        <v>1800</v>
      </c>
      <c r="J1413" s="87">
        <v>35</v>
      </c>
      <c r="K1413" s="87"/>
      <c r="L1413" s="87"/>
      <c r="M1413" s="87"/>
      <c r="N1413" s="87"/>
      <c r="O1413" s="87"/>
      <c r="P1413" s="87"/>
      <c r="Q1413" s="87"/>
      <c r="R1413" s="87"/>
      <c r="S1413" s="87"/>
      <c r="T1413" s="87"/>
      <c r="U1413" s="87"/>
      <c r="V1413" s="87">
        <v>195</v>
      </c>
      <c r="W1413" s="87"/>
      <c r="X1413" s="87">
        <v>70</v>
      </c>
      <c r="Y1413" s="87"/>
      <c r="Z1413" s="87"/>
      <c r="AA1413" s="87"/>
      <c r="AB1413" s="87"/>
      <c r="AC1413" s="87"/>
      <c r="AD1413" s="87"/>
      <c r="AE1413" s="87"/>
      <c r="AF1413" s="87"/>
      <c r="AG1413" s="87"/>
      <c r="AH1413" s="87">
        <v>300</v>
      </c>
      <c r="AI1413" s="87"/>
      <c r="AJ1413" s="87"/>
      <c r="AK1413" s="87"/>
      <c r="AL1413" s="87"/>
      <c r="AM1413" s="87"/>
      <c r="AN1413" s="87">
        <v>20</v>
      </c>
      <c r="AO1413" s="87">
        <v>160</v>
      </c>
      <c r="AP1413" s="87">
        <v>40</v>
      </c>
      <c r="AQ1413" s="87"/>
      <c r="AR1413" s="87">
        <v>10</v>
      </c>
      <c r="AS1413" s="87">
        <v>10</v>
      </c>
      <c r="AT1413" s="87">
        <v>55</v>
      </c>
      <c r="AU1413" s="87">
        <v>5</v>
      </c>
      <c r="AV1413" s="87"/>
      <c r="AW1413" s="88" t="str">
        <f>HYPERLINK("http://www.openstreetmap.org/?mlat=36.2174&amp;mlon=44.0982&amp;zoom=12#map=12/36.2174/44.0982","Maplink1")</f>
        <v>Maplink1</v>
      </c>
      <c r="AX1413" s="88" t="str">
        <f>HYPERLINK("https://www.google.iq/maps/search/+36.2174,44.0982/@36.2174,44.0982,14z?hl=en","Maplink2")</f>
        <v>Maplink2</v>
      </c>
      <c r="AY1413" s="88" t="str">
        <f>HYPERLINK("http://www.bing.com/maps/?lvl=14&amp;sty=h&amp;cp=36.2174~44.0982&amp;sp=point.36.2174_44.0982","Maplink3")</f>
        <v>Maplink3</v>
      </c>
      <c r="AZ1413" s="76"/>
    </row>
    <row r="1414" spans="1:52" x14ac:dyDescent="0.25">
      <c r="A1414" s="86">
        <v>21251</v>
      </c>
      <c r="B1414" s="87" t="s">
        <v>18</v>
      </c>
      <c r="C1414" s="87" t="s">
        <v>18</v>
      </c>
      <c r="D1414" s="87" t="s">
        <v>2774</v>
      </c>
      <c r="E1414" s="87" t="s">
        <v>2775</v>
      </c>
      <c r="F1414" s="87">
        <v>36.189650499999999</v>
      </c>
      <c r="G1414" s="87">
        <v>44.029168900000002</v>
      </c>
      <c r="H1414" s="86">
        <v>97</v>
      </c>
      <c r="I1414" s="86">
        <v>582</v>
      </c>
      <c r="J1414" s="87">
        <v>17</v>
      </c>
      <c r="K1414" s="87"/>
      <c r="L1414" s="87"/>
      <c r="M1414" s="87"/>
      <c r="N1414" s="87"/>
      <c r="O1414" s="87"/>
      <c r="P1414" s="87"/>
      <c r="Q1414" s="87"/>
      <c r="R1414" s="87"/>
      <c r="S1414" s="87"/>
      <c r="T1414" s="87"/>
      <c r="U1414" s="87"/>
      <c r="V1414" s="87">
        <v>53</v>
      </c>
      <c r="W1414" s="87"/>
      <c r="X1414" s="87">
        <v>27</v>
      </c>
      <c r="Y1414" s="87"/>
      <c r="Z1414" s="87"/>
      <c r="AA1414" s="87"/>
      <c r="AB1414" s="87"/>
      <c r="AC1414" s="87"/>
      <c r="AD1414" s="87"/>
      <c r="AE1414" s="87"/>
      <c r="AF1414" s="87"/>
      <c r="AG1414" s="87"/>
      <c r="AH1414" s="87">
        <v>97</v>
      </c>
      <c r="AI1414" s="87"/>
      <c r="AJ1414" s="87"/>
      <c r="AK1414" s="87"/>
      <c r="AL1414" s="87"/>
      <c r="AM1414" s="87"/>
      <c r="AN1414" s="87">
        <v>7</v>
      </c>
      <c r="AO1414" s="87">
        <v>70</v>
      </c>
      <c r="AP1414" s="87"/>
      <c r="AQ1414" s="87"/>
      <c r="AR1414" s="87">
        <v>10</v>
      </c>
      <c r="AS1414" s="87"/>
      <c r="AT1414" s="87">
        <v>10</v>
      </c>
      <c r="AU1414" s="87"/>
      <c r="AV1414" s="87"/>
      <c r="AW1414" s="88" t="str">
        <f>HYPERLINK("http://www.openstreetmap.org/?mlat=36.1897&amp;mlon=44.0292&amp;zoom=12#map=12/36.1897/44.0292","Maplink1")</f>
        <v>Maplink1</v>
      </c>
      <c r="AX1414" s="88" t="str">
        <f>HYPERLINK("https://www.google.iq/maps/search/+36.1897,44.0292/@36.1897,44.0292,14z?hl=en","Maplink2")</f>
        <v>Maplink2</v>
      </c>
      <c r="AY1414" s="88" t="str">
        <f>HYPERLINK("http://www.bing.com/maps/?lvl=14&amp;sty=h&amp;cp=36.1897~44.0292&amp;sp=point.36.1897_44.0292","Maplink3")</f>
        <v>Maplink3</v>
      </c>
      <c r="AZ1414" s="76"/>
    </row>
    <row r="1415" spans="1:52" x14ac:dyDescent="0.25">
      <c r="A1415" s="86">
        <v>25469</v>
      </c>
      <c r="B1415" s="87" t="s">
        <v>18</v>
      </c>
      <c r="C1415" s="87" t="s">
        <v>18</v>
      </c>
      <c r="D1415" s="87" t="s">
        <v>2776</v>
      </c>
      <c r="E1415" s="87" t="s">
        <v>2777</v>
      </c>
      <c r="F1415" s="87">
        <v>36.228132700000003</v>
      </c>
      <c r="G1415" s="87">
        <v>44.123728100000001</v>
      </c>
      <c r="H1415" s="86">
        <v>700</v>
      </c>
      <c r="I1415" s="86">
        <v>4200</v>
      </c>
      <c r="J1415" s="87">
        <v>180</v>
      </c>
      <c r="K1415" s="87"/>
      <c r="L1415" s="87">
        <v>2</v>
      </c>
      <c r="M1415" s="87"/>
      <c r="N1415" s="87"/>
      <c r="O1415" s="87"/>
      <c r="P1415" s="87"/>
      <c r="Q1415" s="87"/>
      <c r="R1415" s="87"/>
      <c r="S1415" s="87"/>
      <c r="T1415" s="87"/>
      <c r="U1415" s="87"/>
      <c r="V1415" s="87">
        <v>306</v>
      </c>
      <c r="W1415" s="87"/>
      <c r="X1415" s="87">
        <v>212</v>
      </c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>
        <v>700</v>
      </c>
      <c r="AI1415" s="87"/>
      <c r="AJ1415" s="87"/>
      <c r="AK1415" s="87"/>
      <c r="AL1415" s="87"/>
      <c r="AM1415" s="87"/>
      <c r="AN1415" s="87">
        <v>89</v>
      </c>
      <c r="AO1415" s="87">
        <v>365</v>
      </c>
      <c r="AP1415" s="87">
        <v>33</v>
      </c>
      <c r="AQ1415" s="87">
        <v>2</v>
      </c>
      <c r="AR1415" s="87">
        <v>74</v>
      </c>
      <c r="AS1415" s="87"/>
      <c r="AT1415" s="87">
        <v>115</v>
      </c>
      <c r="AU1415" s="87">
        <v>17</v>
      </c>
      <c r="AV1415" s="87">
        <v>5</v>
      </c>
      <c r="AW1415" s="88" t="str">
        <f>HYPERLINK("http://www.openstreetmap.org/?mlat=36.2281&amp;mlon=44.1237&amp;zoom=12#map=12/36.2281/44.1237","Maplink1")</f>
        <v>Maplink1</v>
      </c>
      <c r="AX1415" s="88" t="str">
        <f>HYPERLINK("https://www.google.iq/maps/search/+36.2281,44.1237/@36.2281,44.1237,14z?hl=en","Maplink2")</f>
        <v>Maplink2</v>
      </c>
      <c r="AY1415" s="88" t="str">
        <f>HYPERLINK("http://www.bing.com/maps/?lvl=14&amp;sty=h&amp;cp=36.2281~44.1237&amp;sp=point.36.2281_44.1237","Maplink3")</f>
        <v>Maplink3</v>
      </c>
      <c r="AZ1415" s="76"/>
    </row>
    <row r="1416" spans="1:52" x14ac:dyDescent="0.25">
      <c r="A1416" s="86">
        <v>21250</v>
      </c>
      <c r="B1416" s="87" t="s">
        <v>18</v>
      </c>
      <c r="C1416" s="87" t="s">
        <v>18</v>
      </c>
      <c r="D1416" s="87" t="s">
        <v>2778</v>
      </c>
      <c r="E1416" s="87" t="s">
        <v>2779</v>
      </c>
      <c r="F1416" s="87">
        <v>36.152072670000003</v>
      </c>
      <c r="G1416" s="87">
        <v>44.042323690000003</v>
      </c>
      <c r="H1416" s="86">
        <v>346</v>
      </c>
      <c r="I1416" s="86">
        <v>2076</v>
      </c>
      <c r="J1416" s="87">
        <v>86</v>
      </c>
      <c r="K1416" s="87"/>
      <c r="L1416" s="87">
        <v>100</v>
      </c>
      <c r="M1416" s="87"/>
      <c r="N1416" s="87"/>
      <c r="O1416" s="87"/>
      <c r="P1416" s="87"/>
      <c r="Q1416" s="87"/>
      <c r="R1416" s="87"/>
      <c r="S1416" s="87"/>
      <c r="T1416" s="87"/>
      <c r="U1416" s="87"/>
      <c r="V1416" s="87">
        <v>100</v>
      </c>
      <c r="W1416" s="87"/>
      <c r="X1416" s="87">
        <v>60</v>
      </c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>
        <v>346</v>
      </c>
      <c r="AI1416" s="87"/>
      <c r="AJ1416" s="87"/>
      <c r="AK1416" s="87"/>
      <c r="AL1416" s="87"/>
      <c r="AM1416" s="87"/>
      <c r="AN1416" s="87">
        <v>56</v>
      </c>
      <c r="AO1416" s="87">
        <v>60</v>
      </c>
      <c r="AP1416" s="87"/>
      <c r="AQ1416" s="87">
        <v>100</v>
      </c>
      <c r="AR1416" s="87">
        <v>30</v>
      </c>
      <c r="AS1416" s="87"/>
      <c r="AT1416" s="87">
        <v>100</v>
      </c>
      <c r="AU1416" s="87"/>
      <c r="AV1416" s="87"/>
      <c r="AW1416" s="88" t="str">
        <f>HYPERLINK("http://www.openstreetmap.org/?mlat=36.1521&amp;mlon=44.0423&amp;zoom=12#map=12/36.1521/44.0423","Maplink1")</f>
        <v>Maplink1</v>
      </c>
      <c r="AX1416" s="88" t="str">
        <f>HYPERLINK("https://www.google.iq/maps/search/+36.1521,44.0423/@36.1521,44.0423,14z?hl=en","Maplink2")</f>
        <v>Maplink2</v>
      </c>
      <c r="AY1416" s="88" t="str">
        <f>HYPERLINK("http://www.bing.com/maps/?lvl=14&amp;sty=h&amp;cp=36.1521~44.0423&amp;sp=point.36.1521_44.0423","Maplink3")</f>
        <v>Maplink3</v>
      </c>
      <c r="AZ1416" s="76"/>
    </row>
    <row r="1417" spans="1:52" x14ac:dyDescent="0.25">
      <c r="A1417" s="86">
        <v>11709</v>
      </c>
      <c r="B1417" s="87" t="s">
        <v>18</v>
      </c>
      <c r="C1417" s="87" t="s">
        <v>18</v>
      </c>
      <c r="D1417" s="87" t="s">
        <v>2780</v>
      </c>
      <c r="E1417" s="87" t="s">
        <v>2781</v>
      </c>
      <c r="F1417" s="87">
        <v>36.248131399999998</v>
      </c>
      <c r="G1417" s="87">
        <v>44.085810000000002</v>
      </c>
      <c r="H1417" s="86">
        <v>520</v>
      </c>
      <c r="I1417" s="86">
        <v>3120</v>
      </c>
      <c r="J1417" s="87">
        <v>70</v>
      </c>
      <c r="K1417" s="87"/>
      <c r="L1417" s="87">
        <v>57</v>
      </c>
      <c r="M1417" s="87"/>
      <c r="N1417" s="87"/>
      <c r="O1417" s="87"/>
      <c r="P1417" s="87"/>
      <c r="Q1417" s="87"/>
      <c r="R1417" s="87">
        <v>15</v>
      </c>
      <c r="S1417" s="87"/>
      <c r="T1417" s="87"/>
      <c r="U1417" s="87"/>
      <c r="V1417" s="87">
        <v>363</v>
      </c>
      <c r="W1417" s="87"/>
      <c r="X1417" s="87">
        <v>15</v>
      </c>
      <c r="Y1417" s="87"/>
      <c r="Z1417" s="87"/>
      <c r="AA1417" s="87"/>
      <c r="AB1417" s="87"/>
      <c r="AC1417" s="87">
        <v>8</v>
      </c>
      <c r="AD1417" s="87"/>
      <c r="AE1417" s="87"/>
      <c r="AF1417" s="87"/>
      <c r="AG1417" s="87"/>
      <c r="AH1417" s="87">
        <v>512</v>
      </c>
      <c r="AI1417" s="87"/>
      <c r="AJ1417" s="87"/>
      <c r="AK1417" s="87"/>
      <c r="AL1417" s="87"/>
      <c r="AM1417" s="87"/>
      <c r="AN1417" s="87"/>
      <c r="AO1417" s="87">
        <v>332</v>
      </c>
      <c r="AP1417" s="87">
        <v>16</v>
      </c>
      <c r="AQ1417" s="87">
        <v>48</v>
      </c>
      <c r="AR1417" s="87">
        <v>51</v>
      </c>
      <c r="AS1417" s="87">
        <v>10</v>
      </c>
      <c r="AT1417" s="87">
        <v>48</v>
      </c>
      <c r="AU1417" s="87">
        <v>15</v>
      </c>
      <c r="AV1417" s="87"/>
      <c r="AW1417" s="88" t="str">
        <f>HYPERLINK("http://www.openstreetmap.org/?mlat=36.2481&amp;mlon=44.0858&amp;zoom=12#map=12/36.2481/44.0858","Maplink1")</f>
        <v>Maplink1</v>
      </c>
      <c r="AX1417" s="88" t="str">
        <f>HYPERLINK("https://www.google.iq/maps/search/+36.2481,44.0858/@36.2481,44.0858,14z?hl=en","Maplink2")</f>
        <v>Maplink2</v>
      </c>
      <c r="AY1417" s="88" t="str">
        <f>HYPERLINK("http://www.bing.com/maps/?lvl=14&amp;sty=h&amp;cp=36.2481~44.0858&amp;sp=point.36.2481_44.0858","Maplink3")</f>
        <v>Maplink3</v>
      </c>
      <c r="AZ1417" s="76"/>
    </row>
    <row r="1418" spans="1:52" x14ac:dyDescent="0.25">
      <c r="A1418" s="86">
        <v>27331</v>
      </c>
      <c r="B1418" s="87" t="s">
        <v>18</v>
      </c>
      <c r="C1418" s="87" t="s">
        <v>18</v>
      </c>
      <c r="D1418" s="87" t="s">
        <v>2782</v>
      </c>
      <c r="E1418" s="87" t="s">
        <v>2783</v>
      </c>
      <c r="F1418" s="87">
        <v>36.194267400000001</v>
      </c>
      <c r="G1418" s="87">
        <v>44.134699599999998</v>
      </c>
      <c r="H1418" s="86">
        <v>23</v>
      </c>
      <c r="I1418" s="86">
        <v>138</v>
      </c>
      <c r="J1418" s="87">
        <v>11</v>
      </c>
      <c r="K1418" s="87"/>
      <c r="L1418" s="87"/>
      <c r="M1418" s="87"/>
      <c r="N1418" s="87"/>
      <c r="O1418" s="87"/>
      <c r="P1418" s="87"/>
      <c r="Q1418" s="87"/>
      <c r="R1418" s="87"/>
      <c r="S1418" s="87"/>
      <c r="T1418" s="87"/>
      <c r="U1418" s="87"/>
      <c r="V1418" s="87">
        <v>12</v>
      </c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>
        <v>23</v>
      </c>
      <c r="AI1418" s="87"/>
      <c r="AJ1418" s="87"/>
      <c r="AK1418" s="87"/>
      <c r="AL1418" s="87"/>
      <c r="AM1418" s="87"/>
      <c r="AN1418" s="87">
        <v>10</v>
      </c>
      <c r="AO1418" s="87">
        <v>10</v>
      </c>
      <c r="AP1418" s="87">
        <v>3</v>
      </c>
      <c r="AQ1418" s="87"/>
      <c r="AR1418" s="87"/>
      <c r="AS1418" s="87"/>
      <c r="AT1418" s="87"/>
      <c r="AU1418" s="87"/>
      <c r="AV1418" s="87"/>
      <c r="AW1418" s="88" t="str">
        <f>HYPERLINK("http://www.openstreetmap.org/?mlat=36.1943&amp;mlon=44.1347&amp;zoom=12#map=12/36.1943/44.1347","Maplink1")</f>
        <v>Maplink1</v>
      </c>
      <c r="AX1418" s="88" t="str">
        <f>HYPERLINK("https://www.google.iq/maps/search/+36.1943,44.1347/@36.1943,44.1347,14z?hl=en","Maplink2")</f>
        <v>Maplink2</v>
      </c>
      <c r="AY1418" s="88" t="str">
        <f>HYPERLINK("http://www.bing.com/maps/?lvl=14&amp;sty=h&amp;cp=36.1943~44.1347&amp;sp=point.36.1943_44.1347","Maplink3")</f>
        <v>Maplink3</v>
      </c>
      <c r="AZ1418" s="76"/>
    </row>
    <row r="1419" spans="1:52" x14ac:dyDescent="0.25">
      <c r="A1419" s="86">
        <v>22076</v>
      </c>
      <c r="B1419" s="87" t="s">
        <v>18</v>
      </c>
      <c r="C1419" s="87" t="s">
        <v>18</v>
      </c>
      <c r="D1419" s="87" t="s">
        <v>2784</v>
      </c>
      <c r="E1419" s="87" t="s">
        <v>2156</v>
      </c>
      <c r="F1419" s="87">
        <v>36.206951500000002</v>
      </c>
      <c r="G1419" s="87">
        <v>44.019946045600001</v>
      </c>
      <c r="H1419" s="86">
        <v>234</v>
      </c>
      <c r="I1419" s="86">
        <v>1404</v>
      </c>
      <c r="J1419" s="87">
        <v>32</v>
      </c>
      <c r="K1419" s="87"/>
      <c r="L1419" s="87">
        <v>60</v>
      </c>
      <c r="M1419" s="87"/>
      <c r="N1419" s="87"/>
      <c r="O1419" s="87">
        <v>3</v>
      </c>
      <c r="P1419" s="87"/>
      <c r="Q1419" s="87"/>
      <c r="R1419" s="87">
        <v>12</v>
      </c>
      <c r="S1419" s="87"/>
      <c r="T1419" s="87"/>
      <c r="U1419" s="87"/>
      <c r="V1419" s="87">
        <v>118</v>
      </c>
      <c r="W1419" s="87"/>
      <c r="X1419" s="87">
        <v>9</v>
      </c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>
        <v>214</v>
      </c>
      <c r="AI1419" s="87"/>
      <c r="AJ1419" s="87"/>
      <c r="AK1419" s="87"/>
      <c r="AL1419" s="87">
        <v>20</v>
      </c>
      <c r="AM1419" s="87"/>
      <c r="AN1419" s="87">
        <v>10</v>
      </c>
      <c r="AO1419" s="87">
        <v>77</v>
      </c>
      <c r="AP1419" s="87">
        <v>15</v>
      </c>
      <c r="AQ1419" s="87">
        <v>42</v>
      </c>
      <c r="AR1419" s="87">
        <v>22</v>
      </c>
      <c r="AS1419" s="87">
        <v>8</v>
      </c>
      <c r="AT1419" s="87">
        <v>40</v>
      </c>
      <c r="AU1419" s="87">
        <v>20</v>
      </c>
      <c r="AV1419" s="87"/>
      <c r="AW1419" s="88" t="str">
        <f>HYPERLINK("http://www.openstreetmap.org/?mlat=36.207&amp;mlon=44.0199&amp;zoom=12#map=12/36.207/44.0199","Maplink1")</f>
        <v>Maplink1</v>
      </c>
      <c r="AX1419" s="88" t="str">
        <f>HYPERLINK("https://www.google.iq/maps/search/+36.207,44.0199/@36.207,44.0199,14z?hl=en","Maplink2")</f>
        <v>Maplink2</v>
      </c>
      <c r="AY1419" s="88" t="str">
        <f>HYPERLINK("http://www.bing.com/maps/?lvl=14&amp;sty=h&amp;cp=36.207~44.0199&amp;sp=point.36.207_44.0199","Maplink3")</f>
        <v>Maplink3</v>
      </c>
      <c r="AZ1419" s="76"/>
    </row>
    <row r="1420" spans="1:52" x14ac:dyDescent="0.25">
      <c r="A1420" s="86">
        <v>27212</v>
      </c>
      <c r="B1420" s="87" t="s">
        <v>18</v>
      </c>
      <c r="C1420" s="87" t="s">
        <v>18</v>
      </c>
      <c r="D1420" s="87" t="s">
        <v>2785</v>
      </c>
      <c r="E1420" s="87" t="s">
        <v>2786</v>
      </c>
      <c r="F1420" s="87">
        <v>36.209784373399998</v>
      </c>
      <c r="G1420" s="87">
        <v>44.004601594900002</v>
      </c>
      <c r="H1420" s="86">
        <v>243</v>
      </c>
      <c r="I1420" s="86">
        <v>1458</v>
      </c>
      <c r="J1420" s="87">
        <v>30</v>
      </c>
      <c r="K1420" s="87"/>
      <c r="L1420" s="87">
        <v>71</v>
      </c>
      <c r="M1420" s="87"/>
      <c r="N1420" s="87"/>
      <c r="O1420" s="87">
        <v>3</v>
      </c>
      <c r="P1420" s="87"/>
      <c r="Q1420" s="87"/>
      <c r="R1420" s="87">
        <v>21</v>
      </c>
      <c r="S1420" s="87"/>
      <c r="T1420" s="87"/>
      <c r="U1420" s="87"/>
      <c r="V1420" s="87">
        <v>97</v>
      </c>
      <c r="W1420" s="87"/>
      <c r="X1420" s="87">
        <v>21</v>
      </c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>
        <v>231</v>
      </c>
      <c r="AI1420" s="87"/>
      <c r="AJ1420" s="87"/>
      <c r="AK1420" s="87"/>
      <c r="AL1420" s="87">
        <v>12</v>
      </c>
      <c r="AM1420" s="87"/>
      <c r="AN1420" s="87">
        <v>5</v>
      </c>
      <c r="AO1420" s="87">
        <v>84</v>
      </c>
      <c r="AP1420" s="87">
        <v>10</v>
      </c>
      <c r="AQ1420" s="87">
        <v>70</v>
      </c>
      <c r="AR1420" s="87">
        <v>30</v>
      </c>
      <c r="AS1420" s="87">
        <v>6</v>
      </c>
      <c r="AT1420" s="87">
        <v>13</v>
      </c>
      <c r="AU1420" s="87">
        <v>25</v>
      </c>
      <c r="AV1420" s="87"/>
      <c r="AW1420" s="88" t="str">
        <f>HYPERLINK("http://www.openstreetmap.org/?mlat=36.2098&amp;mlon=44.0046&amp;zoom=12#map=12/36.2098/44.0046","Maplink1")</f>
        <v>Maplink1</v>
      </c>
      <c r="AX1420" s="88" t="str">
        <f>HYPERLINK("https://www.google.iq/maps/search/+36.2098,44.0046/@36.2098,44.0046,14z?hl=en","Maplink2")</f>
        <v>Maplink2</v>
      </c>
      <c r="AY1420" s="88" t="str">
        <f>HYPERLINK("http://www.bing.com/maps/?lvl=14&amp;sty=h&amp;cp=36.2098~44.0046&amp;sp=point.36.2098_44.0046","Maplink3")</f>
        <v>Maplink3</v>
      </c>
      <c r="AZ1420" s="76"/>
    </row>
    <row r="1421" spans="1:52" x14ac:dyDescent="0.25">
      <c r="A1421" s="86">
        <v>27211</v>
      </c>
      <c r="B1421" s="87" t="s">
        <v>18</v>
      </c>
      <c r="C1421" s="87" t="s">
        <v>18</v>
      </c>
      <c r="D1421" s="87" t="s">
        <v>2787</v>
      </c>
      <c r="E1421" s="87" t="s">
        <v>2788</v>
      </c>
      <c r="F1421" s="87">
        <v>36.215089980000002</v>
      </c>
      <c r="G1421" s="87">
        <v>44.019153983899997</v>
      </c>
      <c r="H1421" s="86">
        <v>292</v>
      </c>
      <c r="I1421" s="86">
        <v>1752</v>
      </c>
      <c r="J1421" s="87">
        <v>40</v>
      </c>
      <c r="K1421" s="87"/>
      <c r="L1421" s="87">
        <v>60</v>
      </c>
      <c r="M1421" s="87"/>
      <c r="N1421" s="87"/>
      <c r="O1421" s="87">
        <v>5</v>
      </c>
      <c r="P1421" s="87"/>
      <c r="Q1421" s="87"/>
      <c r="R1421" s="87">
        <v>30</v>
      </c>
      <c r="S1421" s="87"/>
      <c r="T1421" s="87"/>
      <c r="U1421" s="87"/>
      <c r="V1421" s="87">
        <v>142</v>
      </c>
      <c r="W1421" s="87"/>
      <c r="X1421" s="87">
        <v>15</v>
      </c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>
        <v>274</v>
      </c>
      <c r="AI1421" s="87"/>
      <c r="AJ1421" s="87"/>
      <c r="AK1421" s="87"/>
      <c r="AL1421" s="87">
        <v>18</v>
      </c>
      <c r="AM1421" s="87"/>
      <c r="AN1421" s="87">
        <v>15</v>
      </c>
      <c r="AO1421" s="87">
        <v>111</v>
      </c>
      <c r="AP1421" s="87">
        <v>22</v>
      </c>
      <c r="AQ1421" s="87">
        <v>60</v>
      </c>
      <c r="AR1421" s="87">
        <v>25</v>
      </c>
      <c r="AS1421" s="87">
        <v>3</v>
      </c>
      <c r="AT1421" s="87">
        <v>26</v>
      </c>
      <c r="AU1421" s="87">
        <v>30</v>
      </c>
      <c r="AV1421" s="87"/>
      <c r="AW1421" s="88" t="str">
        <f>HYPERLINK("http://www.openstreetmap.org/?mlat=36.2151&amp;mlon=44.0192&amp;zoom=12#map=12/36.2151/44.0192","Maplink1")</f>
        <v>Maplink1</v>
      </c>
      <c r="AX1421" s="88" t="str">
        <f>HYPERLINK("https://www.google.iq/maps/search/+36.2151,44.0192/@36.2151,44.0192,14z?hl=en","Maplink2")</f>
        <v>Maplink2</v>
      </c>
      <c r="AY1421" s="88" t="str">
        <f>HYPERLINK("http://www.bing.com/maps/?lvl=14&amp;sty=h&amp;cp=36.2151~44.0192&amp;sp=point.36.2151_44.0192","Maplink3")</f>
        <v>Maplink3</v>
      </c>
      <c r="AZ1421" s="76"/>
    </row>
    <row r="1422" spans="1:52" x14ac:dyDescent="0.25">
      <c r="A1422" s="86">
        <v>27214</v>
      </c>
      <c r="B1422" s="87" t="s">
        <v>18</v>
      </c>
      <c r="C1422" s="87" t="s">
        <v>18</v>
      </c>
      <c r="D1422" s="87" t="s">
        <v>2789</v>
      </c>
      <c r="E1422" s="87" t="s">
        <v>2790</v>
      </c>
      <c r="F1422" s="87">
        <v>36.213827000000002</v>
      </c>
      <c r="G1422" s="87">
        <v>44.020886484800002</v>
      </c>
      <c r="H1422" s="86">
        <v>214</v>
      </c>
      <c r="I1422" s="86">
        <v>1284</v>
      </c>
      <c r="J1422" s="87">
        <v>23</v>
      </c>
      <c r="K1422" s="87"/>
      <c r="L1422" s="87">
        <v>60</v>
      </c>
      <c r="M1422" s="87"/>
      <c r="N1422" s="87"/>
      <c r="O1422" s="87">
        <v>2</v>
      </c>
      <c r="P1422" s="87"/>
      <c r="Q1422" s="87"/>
      <c r="R1422" s="87">
        <v>15</v>
      </c>
      <c r="S1422" s="87"/>
      <c r="T1422" s="87"/>
      <c r="U1422" s="87"/>
      <c r="V1422" s="87">
        <v>99</v>
      </c>
      <c r="W1422" s="87"/>
      <c r="X1422" s="87">
        <v>15</v>
      </c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>
        <v>204</v>
      </c>
      <c r="AI1422" s="87"/>
      <c r="AJ1422" s="87"/>
      <c r="AK1422" s="87"/>
      <c r="AL1422" s="87">
        <v>10</v>
      </c>
      <c r="AM1422" s="87"/>
      <c r="AN1422" s="87">
        <v>9</v>
      </c>
      <c r="AO1422" s="87">
        <v>95</v>
      </c>
      <c r="AP1422" s="87">
        <v>10</v>
      </c>
      <c r="AQ1422" s="87">
        <v>60</v>
      </c>
      <c r="AR1422" s="87">
        <v>13</v>
      </c>
      <c r="AS1422" s="87"/>
      <c r="AT1422" s="87">
        <v>12</v>
      </c>
      <c r="AU1422" s="87">
        <v>15</v>
      </c>
      <c r="AV1422" s="87"/>
      <c r="AW1422" s="88" t="str">
        <f>HYPERLINK("http://www.openstreetmap.org/?mlat=36.2138&amp;mlon=44.0209&amp;zoom=12#map=12/36.2138/44.0209","Maplink1")</f>
        <v>Maplink1</v>
      </c>
      <c r="AX1422" s="88" t="str">
        <f>HYPERLINK("https://www.google.iq/maps/search/+36.2138,44.0209/@36.2138,44.0209,14z?hl=en","Maplink2")</f>
        <v>Maplink2</v>
      </c>
      <c r="AY1422" s="88" t="str">
        <f>HYPERLINK("http://www.bing.com/maps/?lvl=14&amp;sty=h&amp;cp=36.2138~44.0209&amp;sp=point.36.2138_44.0209","Maplink3")</f>
        <v>Maplink3</v>
      </c>
      <c r="AZ1422" s="76"/>
    </row>
    <row r="1423" spans="1:52" x14ac:dyDescent="0.25">
      <c r="A1423" s="86">
        <v>27213</v>
      </c>
      <c r="B1423" s="87" t="s">
        <v>18</v>
      </c>
      <c r="C1423" s="87" t="s">
        <v>18</v>
      </c>
      <c r="D1423" s="87" t="s">
        <v>2791</v>
      </c>
      <c r="E1423" s="87" t="s">
        <v>2792</v>
      </c>
      <c r="F1423" s="87">
        <v>36.209334400000003</v>
      </c>
      <c r="G1423" s="87">
        <v>44.0125722983</v>
      </c>
      <c r="H1423" s="86">
        <v>157</v>
      </c>
      <c r="I1423" s="86">
        <v>942</v>
      </c>
      <c r="J1423" s="87">
        <v>35</v>
      </c>
      <c r="K1423" s="87"/>
      <c r="L1423" s="87">
        <v>15</v>
      </c>
      <c r="M1423" s="87"/>
      <c r="N1423" s="87"/>
      <c r="O1423" s="87">
        <v>2</v>
      </c>
      <c r="P1423" s="87"/>
      <c r="Q1423" s="87"/>
      <c r="R1423" s="87">
        <v>5</v>
      </c>
      <c r="S1423" s="87"/>
      <c r="T1423" s="87"/>
      <c r="U1423" s="87"/>
      <c r="V1423" s="87">
        <v>90</v>
      </c>
      <c r="W1423" s="87"/>
      <c r="X1423" s="87">
        <v>10</v>
      </c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>
        <v>147</v>
      </c>
      <c r="AI1423" s="87"/>
      <c r="AJ1423" s="87"/>
      <c r="AK1423" s="87"/>
      <c r="AL1423" s="87">
        <v>10</v>
      </c>
      <c r="AM1423" s="87"/>
      <c r="AN1423" s="87">
        <v>2</v>
      </c>
      <c r="AO1423" s="87">
        <v>84</v>
      </c>
      <c r="AP1423" s="87">
        <v>9</v>
      </c>
      <c r="AQ1423" s="87">
        <v>15</v>
      </c>
      <c r="AR1423" s="87">
        <v>28</v>
      </c>
      <c r="AS1423" s="87"/>
      <c r="AT1423" s="87">
        <v>7</v>
      </c>
      <c r="AU1423" s="87">
        <v>12</v>
      </c>
      <c r="AV1423" s="87"/>
      <c r="AW1423" s="88" t="str">
        <f>HYPERLINK("http://www.openstreetmap.org/?mlat=36.2093&amp;mlon=44.0126&amp;zoom=12#map=12/36.2093/44.0126","Maplink1")</f>
        <v>Maplink1</v>
      </c>
      <c r="AX1423" s="88" t="str">
        <f>HYPERLINK("https://www.google.iq/maps/search/+36.2093,44.0126/@36.2093,44.0126,14z?hl=en","Maplink2")</f>
        <v>Maplink2</v>
      </c>
      <c r="AY1423" s="88" t="str">
        <f>HYPERLINK("http://www.bing.com/maps/?lvl=14&amp;sty=h&amp;cp=36.2093~44.0126&amp;sp=point.36.2093_44.0126","Maplink3")</f>
        <v>Maplink3</v>
      </c>
      <c r="AZ1423" s="76"/>
    </row>
    <row r="1424" spans="1:52" x14ac:dyDescent="0.25">
      <c r="A1424" s="86">
        <v>27149</v>
      </c>
      <c r="B1424" s="87" t="s">
        <v>18</v>
      </c>
      <c r="C1424" s="87" t="s">
        <v>18</v>
      </c>
      <c r="D1424" s="87" t="s">
        <v>2793</v>
      </c>
      <c r="E1424" s="87" t="s">
        <v>2794</v>
      </c>
      <c r="F1424" s="87">
        <v>36.225873159999999</v>
      </c>
      <c r="G1424" s="87">
        <v>44.001875929999997</v>
      </c>
      <c r="H1424" s="86">
        <v>32</v>
      </c>
      <c r="I1424" s="86">
        <v>192</v>
      </c>
      <c r="J1424" s="87"/>
      <c r="K1424" s="87"/>
      <c r="L1424" s="87"/>
      <c r="M1424" s="87"/>
      <c r="N1424" s="87"/>
      <c r="O1424" s="87"/>
      <c r="P1424" s="87"/>
      <c r="Q1424" s="87"/>
      <c r="R1424" s="87"/>
      <c r="S1424" s="87"/>
      <c r="T1424" s="87"/>
      <c r="U1424" s="87"/>
      <c r="V1424" s="87">
        <v>32</v>
      </c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>
        <v>32</v>
      </c>
      <c r="AI1424" s="87"/>
      <c r="AJ1424" s="87"/>
      <c r="AK1424" s="87"/>
      <c r="AL1424" s="87"/>
      <c r="AM1424" s="87"/>
      <c r="AN1424" s="87"/>
      <c r="AO1424" s="87">
        <v>32</v>
      </c>
      <c r="AP1424" s="87"/>
      <c r="AQ1424" s="87"/>
      <c r="AR1424" s="87"/>
      <c r="AS1424" s="87"/>
      <c r="AT1424" s="87"/>
      <c r="AU1424" s="87"/>
      <c r="AV1424" s="87"/>
      <c r="AW1424" s="88" t="str">
        <f>HYPERLINK("http://www.openstreetmap.org/?mlat=36.2259&amp;mlon=44.0019&amp;zoom=12#map=12/36.2259/44.0019","Maplink1")</f>
        <v>Maplink1</v>
      </c>
      <c r="AX1424" s="88" t="str">
        <f>HYPERLINK("https://www.google.iq/maps/search/+36.2259,44.0019/@36.2259,44.0019,14z?hl=en","Maplink2")</f>
        <v>Maplink2</v>
      </c>
      <c r="AY1424" s="88" t="str">
        <f>HYPERLINK("http://www.bing.com/maps/?lvl=14&amp;sty=h&amp;cp=36.2259~44.0019&amp;sp=point.36.2259_44.0019","Maplink3")</f>
        <v>Maplink3</v>
      </c>
      <c r="AZ1424" s="76"/>
    </row>
    <row r="1425" spans="1:52" x14ac:dyDescent="0.25">
      <c r="A1425" s="86">
        <v>22027</v>
      </c>
      <c r="B1425" s="87" t="s">
        <v>18</v>
      </c>
      <c r="C1425" s="87" t="s">
        <v>18</v>
      </c>
      <c r="D1425" s="87" t="s">
        <v>2795</v>
      </c>
      <c r="E1425" s="87" t="s">
        <v>2796</v>
      </c>
      <c r="F1425" s="87">
        <v>36.192742699999997</v>
      </c>
      <c r="G1425" s="87">
        <v>43.600090399999999</v>
      </c>
      <c r="H1425" s="86">
        <v>24</v>
      </c>
      <c r="I1425" s="86">
        <v>144</v>
      </c>
      <c r="J1425" s="87"/>
      <c r="K1425" s="87"/>
      <c r="L1425" s="87"/>
      <c r="M1425" s="87"/>
      <c r="N1425" s="87"/>
      <c r="O1425" s="87"/>
      <c r="P1425" s="87"/>
      <c r="Q1425" s="87"/>
      <c r="R1425" s="87">
        <v>9</v>
      </c>
      <c r="S1425" s="87"/>
      <c r="T1425" s="87"/>
      <c r="U1425" s="87"/>
      <c r="V1425" s="87">
        <v>15</v>
      </c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>
        <v>24</v>
      </c>
      <c r="AI1425" s="87"/>
      <c r="AJ1425" s="87"/>
      <c r="AK1425" s="87"/>
      <c r="AL1425" s="87"/>
      <c r="AM1425" s="87"/>
      <c r="AN1425" s="87"/>
      <c r="AO1425" s="87">
        <v>15</v>
      </c>
      <c r="AP1425" s="87"/>
      <c r="AQ1425" s="87"/>
      <c r="AR1425" s="87"/>
      <c r="AS1425" s="87"/>
      <c r="AT1425" s="87"/>
      <c r="AU1425" s="87">
        <v>9</v>
      </c>
      <c r="AV1425" s="87"/>
      <c r="AW1425" s="88" t="str">
        <f>HYPERLINK("http://www.openstreetmap.org/?mlat=36.1927&amp;mlon=43.6001&amp;zoom=12#map=12/36.1927/43.6001","Maplink1")</f>
        <v>Maplink1</v>
      </c>
      <c r="AX1425" s="88" t="str">
        <f>HYPERLINK("https://www.google.iq/maps/search/+36.1927,43.6001/@36.1927,43.6001,14z?hl=en","Maplink2")</f>
        <v>Maplink2</v>
      </c>
      <c r="AY1425" s="88" t="str">
        <f>HYPERLINK("http://www.bing.com/maps/?lvl=14&amp;sty=h&amp;cp=36.1927~43.6001&amp;sp=point.36.1927_43.6001","Maplink3")</f>
        <v>Maplink3</v>
      </c>
      <c r="AZ1425" s="76"/>
    </row>
    <row r="1426" spans="1:52" x14ac:dyDescent="0.25">
      <c r="A1426" s="86">
        <v>24159</v>
      </c>
      <c r="B1426" s="87" t="s">
        <v>18</v>
      </c>
      <c r="C1426" s="87" t="s">
        <v>18</v>
      </c>
      <c r="D1426" s="87" t="s">
        <v>2797</v>
      </c>
      <c r="E1426" s="87" t="s">
        <v>2798</v>
      </c>
      <c r="F1426" s="87">
        <v>36.195718499999998</v>
      </c>
      <c r="G1426" s="87">
        <v>44.007530099999997</v>
      </c>
      <c r="H1426" s="86">
        <v>333</v>
      </c>
      <c r="I1426" s="86">
        <v>1998</v>
      </c>
      <c r="J1426" s="87">
        <v>75</v>
      </c>
      <c r="K1426" s="87"/>
      <c r="L1426" s="87">
        <v>75</v>
      </c>
      <c r="M1426" s="87"/>
      <c r="N1426" s="87"/>
      <c r="O1426" s="87">
        <v>12</v>
      </c>
      <c r="P1426" s="87"/>
      <c r="Q1426" s="87"/>
      <c r="R1426" s="87">
        <v>7</v>
      </c>
      <c r="S1426" s="87"/>
      <c r="T1426" s="87"/>
      <c r="U1426" s="87"/>
      <c r="V1426" s="87">
        <v>164</v>
      </c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>
        <v>333</v>
      </c>
      <c r="AI1426" s="87"/>
      <c r="AJ1426" s="87"/>
      <c r="AK1426" s="87"/>
      <c r="AL1426" s="87"/>
      <c r="AM1426" s="87"/>
      <c r="AN1426" s="87">
        <v>37</v>
      </c>
      <c r="AO1426" s="87">
        <v>100</v>
      </c>
      <c r="AP1426" s="87"/>
      <c r="AQ1426" s="87">
        <v>75</v>
      </c>
      <c r="AR1426" s="87">
        <v>50</v>
      </c>
      <c r="AS1426" s="87"/>
      <c r="AT1426" s="87">
        <v>64</v>
      </c>
      <c r="AU1426" s="87">
        <v>7</v>
      </c>
      <c r="AV1426" s="87"/>
      <c r="AW1426" s="88" t="str">
        <f>HYPERLINK("http://www.openstreetmap.org/?mlat=36.1957&amp;mlon=44.0075&amp;zoom=12#map=12/36.1957/44.0075","Maplink1")</f>
        <v>Maplink1</v>
      </c>
      <c r="AX1426" s="88" t="str">
        <f>HYPERLINK("https://www.google.iq/maps/search/+36.1957,44.0075/@36.1957,44.0075,14z?hl=en","Maplink2")</f>
        <v>Maplink2</v>
      </c>
      <c r="AY1426" s="88" t="str">
        <f>HYPERLINK("http://www.bing.com/maps/?lvl=14&amp;sty=h&amp;cp=36.1957~44.0075&amp;sp=point.36.1957_44.0075","Maplink3")</f>
        <v>Maplink3</v>
      </c>
      <c r="AZ1426" s="76"/>
    </row>
    <row r="1427" spans="1:52" x14ac:dyDescent="0.25">
      <c r="A1427" s="86">
        <v>33880</v>
      </c>
      <c r="B1427" s="87" t="s">
        <v>18</v>
      </c>
      <c r="C1427" s="87" t="s">
        <v>18</v>
      </c>
      <c r="D1427" s="87" t="s">
        <v>5916</v>
      </c>
      <c r="E1427" s="87" t="s">
        <v>5917</v>
      </c>
      <c r="F1427" s="87">
        <v>36.109405000000002</v>
      </c>
      <c r="G1427" s="87">
        <v>43.978608999999999</v>
      </c>
      <c r="H1427" s="86">
        <v>22</v>
      </c>
      <c r="I1427" s="86">
        <v>132</v>
      </c>
      <c r="J1427" s="87">
        <v>2</v>
      </c>
      <c r="K1427" s="87"/>
      <c r="L1427" s="87"/>
      <c r="M1427" s="87"/>
      <c r="N1427" s="87"/>
      <c r="O1427" s="87"/>
      <c r="P1427" s="87"/>
      <c r="Q1427" s="87"/>
      <c r="R1427" s="87"/>
      <c r="S1427" s="87"/>
      <c r="T1427" s="87"/>
      <c r="U1427" s="87"/>
      <c r="V1427" s="87">
        <v>20</v>
      </c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>
        <v>22</v>
      </c>
      <c r="AI1427" s="87"/>
      <c r="AJ1427" s="87"/>
      <c r="AK1427" s="87"/>
      <c r="AL1427" s="87"/>
      <c r="AM1427" s="87"/>
      <c r="AN1427" s="87">
        <v>2</v>
      </c>
      <c r="AO1427" s="87"/>
      <c r="AP1427" s="87"/>
      <c r="AQ1427" s="87"/>
      <c r="AR1427" s="87"/>
      <c r="AS1427" s="87"/>
      <c r="AT1427" s="87">
        <v>20</v>
      </c>
      <c r="AU1427" s="87"/>
      <c r="AV1427" s="87"/>
      <c r="AW1427" s="88" t="str">
        <f>HYPERLINK("http://www.openstreetmap.org/?mlat=36.1094&amp;mlon=43.9786&amp;zoom=12#map=12/36.1094/43.9786","Maplink1")</f>
        <v>Maplink1</v>
      </c>
      <c r="AX1427" s="88" t="str">
        <f>HYPERLINK("https://www.google.iq/maps/search/+36.1094,43.9786/@36.1094,43.9786,14z?hl=en","Maplink2")</f>
        <v>Maplink2</v>
      </c>
      <c r="AY1427" s="88" t="str">
        <f>HYPERLINK("http://www.bing.com/maps/?lvl=14&amp;sty=h&amp;cp=36.1094~43.9786&amp;sp=point.36.1094_43.9786","Maplink3")</f>
        <v>Maplink3</v>
      </c>
      <c r="AZ1427" s="76"/>
    </row>
    <row r="1428" spans="1:52" x14ac:dyDescent="0.25">
      <c r="A1428" s="86">
        <v>11706</v>
      </c>
      <c r="B1428" s="87" t="s">
        <v>18</v>
      </c>
      <c r="C1428" s="87" t="s">
        <v>18</v>
      </c>
      <c r="D1428" s="87" t="s">
        <v>2799</v>
      </c>
      <c r="E1428" s="87" t="s">
        <v>2800</v>
      </c>
      <c r="F1428" s="87">
        <v>36.167935800000002</v>
      </c>
      <c r="G1428" s="87">
        <v>43.937949099999997</v>
      </c>
      <c r="H1428" s="86">
        <v>595</v>
      </c>
      <c r="I1428" s="86">
        <v>3570</v>
      </c>
      <c r="J1428" s="87">
        <v>150</v>
      </c>
      <c r="K1428" s="87"/>
      <c r="L1428" s="87">
        <v>8</v>
      </c>
      <c r="M1428" s="87"/>
      <c r="N1428" s="87"/>
      <c r="O1428" s="87"/>
      <c r="P1428" s="87"/>
      <c r="Q1428" s="87"/>
      <c r="R1428" s="87">
        <v>8</v>
      </c>
      <c r="S1428" s="87"/>
      <c r="T1428" s="87"/>
      <c r="U1428" s="87"/>
      <c r="V1428" s="87">
        <v>409</v>
      </c>
      <c r="W1428" s="87"/>
      <c r="X1428" s="87">
        <v>20</v>
      </c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>
        <v>595</v>
      </c>
      <c r="AI1428" s="87"/>
      <c r="AJ1428" s="87"/>
      <c r="AK1428" s="87"/>
      <c r="AL1428" s="87"/>
      <c r="AM1428" s="87"/>
      <c r="AN1428" s="87">
        <v>115</v>
      </c>
      <c r="AO1428" s="87">
        <v>344</v>
      </c>
      <c r="AP1428" s="87">
        <v>30</v>
      </c>
      <c r="AQ1428" s="87">
        <v>8</v>
      </c>
      <c r="AR1428" s="87">
        <v>25</v>
      </c>
      <c r="AS1428" s="87">
        <v>15</v>
      </c>
      <c r="AT1428" s="87">
        <v>40</v>
      </c>
      <c r="AU1428" s="87">
        <v>18</v>
      </c>
      <c r="AV1428" s="87"/>
      <c r="AW1428" s="88" t="str">
        <f>HYPERLINK("http://www.openstreetmap.org/?mlat=36.1679&amp;mlon=43.9379&amp;zoom=12#map=12/36.1679/43.9379","Maplink1")</f>
        <v>Maplink1</v>
      </c>
      <c r="AX1428" s="88" t="str">
        <f>HYPERLINK("https://www.google.iq/maps/search/+36.1679,43.9379/@36.1679,43.9379,14z?hl=en","Maplink2")</f>
        <v>Maplink2</v>
      </c>
      <c r="AY1428" s="88" t="str">
        <f>HYPERLINK("http://www.bing.com/maps/?lvl=14&amp;sty=h&amp;cp=36.1679~43.9379&amp;sp=point.36.1679_43.9379","Maplink3")</f>
        <v>Maplink3</v>
      </c>
      <c r="AZ1428" s="76"/>
    </row>
    <row r="1429" spans="1:52" x14ac:dyDescent="0.25">
      <c r="A1429" s="86">
        <v>24308</v>
      </c>
      <c r="B1429" s="87" t="s">
        <v>18</v>
      </c>
      <c r="C1429" s="87" t="s">
        <v>18</v>
      </c>
      <c r="D1429" s="87" t="s">
        <v>2801</v>
      </c>
      <c r="E1429" s="87" t="s">
        <v>2802</v>
      </c>
      <c r="F1429" s="87">
        <v>36.1370217654</v>
      </c>
      <c r="G1429" s="87">
        <v>44.065966400000001</v>
      </c>
      <c r="H1429" s="86">
        <v>1550</v>
      </c>
      <c r="I1429" s="86">
        <v>9300</v>
      </c>
      <c r="J1429" s="87">
        <v>500</v>
      </c>
      <c r="K1429" s="87"/>
      <c r="L1429" s="87">
        <v>80</v>
      </c>
      <c r="M1429" s="87"/>
      <c r="N1429" s="87"/>
      <c r="O1429" s="87"/>
      <c r="P1429" s="87"/>
      <c r="Q1429" s="87"/>
      <c r="R1429" s="87">
        <v>10</v>
      </c>
      <c r="S1429" s="87"/>
      <c r="T1429" s="87"/>
      <c r="U1429" s="87"/>
      <c r="V1429" s="87">
        <v>460</v>
      </c>
      <c r="W1429" s="87"/>
      <c r="X1429" s="87">
        <v>500</v>
      </c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>
        <v>1550</v>
      </c>
      <c r="AI1429" s="87"/>
      <c r="AJ1429" s="87"/>
      <c r="AK1429" s="87"/>
      <c r="AL1429" s="87"/>
      <c r="AM1429" s="87"/>
      <c r="AN1429" s="87">
        <v>185</v>
      </c>
      <c r="AO1429" s="87">
        <v>557</v>
      </c>
      <c r="AP1429" s="87">
        <v>15</v>
      </c>
      <c r="AQ1429" s="87">
        <v>80</v>
      </c>
      <c r="AR1429" s="87">
        <v>310</v>
      </c>
      <c r="AS1429" s="87">
        <v>12</v>
      </c>
      <c r="AT1429" s="87">
        <v>371</v>
      </c>
      <c r="AU1429" s="87">
        <v>20</v>
      </c>
      <c r="AV1429" s="87"/>
      <c r="AW1429" s="88" t="str">
        <f>HYPERLINK("http://www.openstreetmap.org/?mlat=36.137&amp;mlon=44.066&amp;zoom=12#map=12/36.137/44.066","Maplink1")</f>
        <v>Maplink1</v>
      </c>
      <c r="AX1429" s="88" t="str">
        <f>HYPERLINK("https://www.google.iq/maps/search/+36.137,44.066/@36.137,44.066,14z?hl=en","Maplink2")</f>
        <v>Maplink2</v>
      </c>
      <c r="AY1429" s="88" t="str">
        <f>HYPERLINK("http://www.bing.com/maps/?lvl=14&amp;sty=h&amp;cp=36.137~44.066&amp;sp=point.36.137_44.066","Maplink3")</f>
        <v>Maplink3</v>
      </c>
      <c r="AZ1429" s="76"/>
    </row>
    <row r="1430" spans="1:52" x14ac:dyDescent="0.25">
      <c r="A1430" s="86">
        <v>21253</v>
      </c>
      <c r="B1430" s="87" t="s">
        <v>18</v>
      </c>
      <c r="C1430" s="87" t="s">
        <v>18</v>
      </c>
      <c r="D1430" s="87" t="s">
        <v>2803</v>
      </c>
      <c r="E1430" s="87" t="s">
        <v>2804</v>
      </c>
      <c r="F1430" s="87">
        <v>36.152885863599998</v>
      </c>
      <c r="G1430" s="87">
        <v>44.033731587399998</v>
      </c>
      <c r="H1430" s="86">
        <v>1563</v>
      </c>
      <c r="I1430" s="86">
        <v>9378</v>
      </c>
      <c r="J1430" s="87">
        <v>643</v>
      </c>
      <c r="K1430" s="87"/>
      <c r="L1430" s="87">
        <v>430</v>
      </c>
      <c r="M1430" s="87"/>
      <c r="N1430" s="87"/>
      <c r="O1430" s="87">
        <v>40</v>
      </c>
      <c r="P1430" s="87"/>
      <c r="Q1430" s="87"/>
      <c r="R1430" s="87">
        <v>13</v>
      </c>
      <c r="S1430" s="87"/>
      <c r="T1430" s="87"/>
      <c r="U1430" s="87"/>
      <c r="V1430" s="87">
        <v>315</v>
      </c>
      <c r="W1430" s="87"/>
      <c r="X1430" s="87">
        <v>122</v>
      </c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>
        <v>1563</v>
      </c>
      <c r="AI1430" s="87"/>
      <c r="AJ1430" s="87"/>
      <c r="AK1430" s="87"/>
      <c r="AL1430" s="87"/>
      <c r="AM1430" s="87"/>
      <c r="AN1430" s="87">
        <v>487</v>
      </c>
      <c r="AO1430" s="87">
        <v>122</v>
      </c>
      <c r="AP1430" s="87"/>
      <c r="AQ1430" s="87">
        <v>430</v>
      </c>
      <c r="AR1430" s="87">
        <v>150</v>
      </c>
      <c r="AS1430" s="87"/>
      <c r="AT1430" s="87">
        <v>315</v>
      </c>
      <c r="AU1430" s="87">
        <v>59</v>
      </c>
      <c r="AV1430" s="87"/>
      <c r="AW1430" s="88" t="str">
        <f>HYPERLINK("http://www.openstreetmap.org/?mlat=36.1529&amp;mlon=44.0337&amp;zoom=12#map=12/36.1529/44.0337","Maplink1")</f>
        <v>Maplink1</v>
      </c>
      <c r="AX1430" s="88" t="str">
        <f>HYPERLINK("https://www.google.iq/maps/search/+36.1529,44.0337/@36.1529,44.0337,14z?hl=en","Maplink2")</f>
        <v>Maplink2</v>
      </c>
      <c r="AY1430" s="88" t="str">
        <f>HYPERLINK("http://www.bing.com/maps/?lvl=14&amp;sty=h&amp;cp=36.1529~44.0337&amp;sp=point.36.1529_44.0337","Maplink3")</f>
        <v>Maplink3</v>
      </c>
      <c r="AZ1430" s="76"/>
    </row>
    <row r="1431" spans="1:52" x14ac:dyDescent="0.25">
      <c r="A1431" s="86">
        <v>27139</v>
      </c>
      <c r="B1431" s="87" t="s">
        <v>18</v>
      </c>
      <c r="C1431" s="87" t="s">
        <v>18</v>
      </c>
      <c r="D1431" s="87" t="s">
        <v>2805</v>
      </c>
      <c r="E1431" s="87" t="s">
        <v>2806</v>
      </c>
      <c r="F1431" s="87">
        <v>36.252192100000002</v>
      </c>
      <c r="G1431" s="87">
        <v>44.060974399999999</v>
      </c>
      <c r="H1431" s="86">
        <v>198</v>
      </c>
      <c r="I1431" s="86">
        <v>1188</v>
      </c>
      <c r="J1431" s="87">
        <v>40</v>
      </c>
      <c r="K1431" s="87"/>
      <c r="L1431" s="87"/>
      <c r="M1431" s="87"/>
      <c r="N1431" s="87"/>
      <c r="O1431" s="87"/>
      <c r="P1431" s="87"/>
      <c r="Q1431" s="87"/>
      <c r="R1431" s="87"/>
      <c r="S1431" s="87"/>
      <c r="T1431" s="87"/>
      <c r="U1431" s="87"/>
      <c r="V1431" s="87">
        <v>98</v>
      </c>
      <c r="W1431" s="87"/>
      <c r="X1431" s="87">
        <v>60</v>
      </c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>
        <v>198</v>
      </c>
      <c r="AI1431" s="87"/>
      <c r="AJ1431" s="87"/>
      <c r="AK1431" s="87"/>
      <c r="AL1431" s="87"/>
      <c r="AM1431" s="87"/>
      <c r="AN1431" s="87">
        <v>10</v>
      </c>
      <c r="AO1431" s="87">
        <v>130</v>
      </c>
      <c r="AP1431" s="87">
        <v>15</v>
      </c>
      <c r="AQ1431" s="87"/>
      <c r="AR1431" s="87">
        <v>30</v>
      </c>
      <c r="AS1431" s="87"/>
      <c r="AT1431" s="87">
        <v>13</v>
      </c>
      <c r="AU1431" s="87"/>
      <c r="AV1431" s="87"/>
      <c r="AW1431" s="88" t="str">
        <f>HYPERLINK("http://www.openstreetmap.org/?mlat=36.2522&amp;mlon=44.061&amp;zoom=12#map=12/36.2522/44.061","Maplink1")</f>
        <v>Maplink1</v>
      </c>
      <c r="AX1431" s="88" t="str">
        <f>HYPERLINK("https://www.google.iq/maps/search/+36.2522,44.061/@36.2522,44.061,14z?hl=en","Maplink2")</f>
        <v>Maplink2</v>
      </c>
      <c r="AY1431" s="88" t="str">
        <f>HYPERLINK("http://www.bing.com/maps/?lvl=14&amp;sty=h&amp;cp=36.2522~44.061&amp;sp=point.36.2522_44.061","Maplink3")</f>
        <v>Maplink3</v>
      </c>
      <c r="AZ1431" s="76"/>
    </row>
    <row r="1432" spans="1:52" x14ac:dyDescent="0.25">
      <c r="A1432" s="86">
        <v>24421</v>
      </c>
      <c r="B1432" s="87" t="s">
        <v>18</v>
      </c>
      <c r="C1432" s="87" t="s">
        <v>18</v>
      </c>
      <c r="D1432" s="87" t="s">
        <v>2807</v>
      </c>
      <c r="E1432" s="87" t="s">
        <v>2808</v>
      </c>
      <c r="F1432" s="87">
        <v>36.284707500000003</v>
      </c>
      <c r="G1432" s="87">
        <v>44.090647699999998</v>
      </c>
      <c r="H1432" s="86">
        <v>338</v>
      </c>
      <c r="I1432" s="86">
        <v>2028</v>
      </c>
      <c r="J1432" s="87">
        <v>15</v>
      </c>
      <c r="K1432" s="87"/>
      <c r="L1432" s="87"/>
      <c r="M1432" s="87"/>
      <c r="N1432" s="87"/>
      <c r="O1432" s="87"/>
      <c r="P1432" s="87"/>
      <c r="Q1432" s="87"/>
      <c r="R1432" s="87"/>
      <c r="S1432" s="87"/>
      <c r="T1432" s="87"/>
      <c r="U1432" s="87"/>
      <c r="V1432" s="87">
        <v>291</v>
      </c>
      <c r="W1432" s="87"/>
      <c r="X1432" s="87">
        <v>32</v>
      </c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>
        <v>338</v>
      </c>
      <c r="AI1432" s="87"/>
      <c r="AJ1432" s="87"/>
      <c r="AK1432" s="87"/>
      <c r="AL1432" s="87"/>
      <c r="AM1432" s="87"/>
      <c r="AN1432" s="87">
        <v>5</v>
      </c>
      <c r="AO1432" s="87">
        <v>250</v>
      </c>
      <c r="AP1432" s="87"/>
      <c r="AQ1432" s="87"/>
      <c r="AR1432" s="87">
        <v>10</v>
      </c>
      <c r="AS1432" s="87"/>
      <c r="AT1432" s="87">
        <v>73</v>
      </c>
      <c r="AU1432" s="87"/>
      <c r="AV1432" s="87"/>
      <c r="AW1432" s="88" t="str">
        <f>HYPERLINK("http://www.openstreetmap.org/?mlat=36.2847&amp;mlon=44.0906&amp;zoom=12#map=12/36.2847/44.0906","Maplink1")</f>
        <v>Maplink1</v>
      </c>
      <c r="AX1432" s="88" t="str">
        <f>HYPERLINK("https://www.google.iq/maps/search/+36.2847,44.0906/@36.2847,44.0906,14z?hl=en","Maplink2")</f>
        <v>Maplink2</v>
      </c>
      <c r="AY1432" s="88" t="str">
        <f>HYPERLINK("http://www.bing.com/maps/?lvl=14&amp;sty=h&amp;cp=36.2847~44.0906&amp;sp=point.36.2847_44.0906","Maplink3")</f>
        <v>Maplink3</v>
      </c>
      <c r="AZ1432" s="76"/>
    </row>
    <row r="1433" spans="1:52" x14ac:dyDescent="0.25">
      <c r="A1433" s="86">
        <v>25972</v>
      </c>
      <c r="B1433" s="87" t="s">
        <v>18</v>
      </c>
      <c r="C1433" s="87" t="s">
        <v>18</v>
      </c>
      <c r="D1433" s="87" t="s">
        <v>2809</v>
      </c>
      <c r="E1433" s="87" t="s">
        <v>2810</v>
      </c>
      <c r="F1433" s="87">
        <v>36.117124199999999</v>
      </c>
      <c r="G1433" s="87">
        <v>44.0450333</v>
      </c>
      <c r="H1433" s="86">
        <v>53</v>
      </c>
      <c r="I1433" s="86">
        <v>318</v>
      </c>
      <c r="J1433" s="87">
        <v>10</v>
      </c>
      <c r="K1433" s="87"/>
      <c r="L1433" s="87"/>
      <c r="M1433" s="87"/>
      <c r="N1433" s="87"/>
      <c r="O1433" s="87"/>
      <c r="P1433" s="87"/>
      <c r="Q1433" s="87"/>
      <c r="R1433" s="87">
        <v>30</v>
      </c>
      <c r="S1433" s="87"/>
      <c r="T1433" s="87"/>
      <c r="U1433" s="87"/>
      <c r="V1433" s="87">
        <v>8</v>
      </c>
      <c r="W1433" s="87"/>
      <c r="X1433" s="87">
        <v>5</v>
      </c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>
        <v>53</v>
      </c>
      <c r="AI1433" s="87"/>
      <c r="AJ1433" s="87"/>
      <c r="AK1433" s="87"/>
      <c r="AL1433" s="87"/>
      <c r="AM1433" s="87"/>
      <c r="AN1433" s="87"/>
      <c r="AO1433" s="87">
        <v>13</v>
      </c>
      <c r="AP1433" s="87"/>
      <c r="AQ1433" s="87"/>
      <c r="AR1433" s="87">
        <v>10</v>
      </c>
      <c r="AS1433" s="87"/>
      <c r="AT1433" s="87"/>
      <c r="AU1433" s="87">
        <v>30</v>
      </c>
      <c r="AV1433" s="87"/>
      <c r="AW1433" s="88" t="str">
        <f>HYPERLINK("http://www.openstreetmap.org/?mlat=36.1171&amp;mlon=44.045&amp;zoom=12#map=12/36.1171/44.045","Maplink1")</f>
        <v>Maplink1</v>
      </c>
      <c r="AX1433" s="88" t="str">
        <f>HYPERLINK("https://www.google.iq/maps/search/+36.1171,44.045/@36.1171,44.045,14z?hl=en","Maplink2")</f>
        <v>Maplink2</v>
      </c>
      <c r="AY1433" s="88" t="str">
        <f>HYPERLINK("http://www.bing.com/maps/?lvl=14&amp;sty=h&amp;cp=36.1171~44.045&amp;sp=point.36.1171_44.045","Maplink3")</f>
        <v>Maplink3</v>
      </c>
      <c r="AZ1433" s="76"/>
    </row>
    <row r="1434" spans="1:52" x14ac:dyDescent="0.25">
      <c r="A1434" s="86">
        <v>25629</v>
      </c>
      <c r="B1434" s="87" t="s">
        <v>18</v>
      </c>
      <c r="C1434" s="87" t="s">
        <v>18</v>
      </c>
      <c r="D1434" s="87" t="s">
        <v>2811</v>
      </c>
      <c r="E1434" s="87" t="s">
        <v>2812</v>
      </c>
      <c r="F1434" s="87">
        <v>36.125964400000001</v>
      </c>
      <c r="G1434" s="87">
        <v>44.014516112899997</v>
      </c>
      <c r="H1434" s="86">
        <v>500</v>
      </c>
      <c r="I1434" s="86">
        <v>3000</v>
      </c>
      <c r="J1434" s="87">
        <v>258</v>
      </c>
      <c r="K1434" s="87"/>
      <c r="L1434" s="87">
        <v>18</v>
      </c>
      <c r="M1434" s="87"/>
      <c r="N1434" s="87"/>
      <c r="O1434" s="87"/>
      <c r="P1434" s="87"/>
      <c r="Q1434" s="87"/>
      <c r="R1434" s="87">
        <v>50</v>
      </c>
      <c r="S1434" s="87"/>
      <c r="T1434" s="87"/>
      <c r="U1434" s="87"/>
      <c r="V1434" s="87">
        <v>121</v>
      </c>
      <c r="W1434" s="87"/>
      <c r="X1434" s="87">
        <v>53</v>
      </c>
      <c r="Y1434" s="87"/>
      <c r="Z1434" s="87"/>
      <c r="AA1434" s="87"/>
      <c r="AB1434" s="87"/>
      <c r="AC1434" s="87">
        <v>5</v>
      </c>
      <c r="AD1434" s="87"/>
      <c r="AE1434" s="87"/>
      <c r="AF1434" s="87"/>
      <c r="AG1434" s="87"/>
      <c r="AH1434" s="87">
        <v>495</v>
      </c>
      <c r="AI1434" s="87"/>
      <c r="AJ1434" s="87"/>
      <c r="AK1434" s="87"/>
      <c r="AL1434" s="87"/>
      <c r="AM1434" s="87"/>
      <c r="AN1434" s="87">
        <v>105</v>
      </c>
      <c r="AO1434" s="87">
        <v>125</v>
      </c>
      <c r="AP1434" s="87"/>
      <c r="AQ1434" s="87">
        <v>18</v>
      </c>
      <c r="AR1434" s="87">
        <v>152</v>
      </c>
      <c r="AS1434" s="87"/>
      <c r="AT1434" s="87">
        <v>50</v>
      </c>
      <c r="AU1434" s="87">
        <v>50</v>
      </c>
      <c r="AV1434" s="87"/>
      <c r="AW1434" s="88" t="str">
        <f>HYPERLINK("http://www.openstreetmap.org/?mlat=36.126&amp;mlon=44.0145&amp;zoom=12#map=12/36.126/44.0145","Maplink1")</f>
        <v>Maplink1</v>
      </c>
      <c r="AX1434" s="88" t="str">
        <f>HYPERLINK("https://www.google.iq/maps/search/+36.126,44.0145/@36.126,44.0145,14z?hl=en","Maplink2")</f>
        <v>Maplink2</v>
      </c>
      <c r="AY1434" s="88" t="str">
        <f>HYPERLINK("http://www.bing.com/maps/?lvl=14&amp;sty=h&amp;cp=36.126~44.0145&amp;sp=point.36.126_44.0145","Maplink3")</f>
        <v>Maplink3</v>
      </c>
      <c r="AZ1434" s="76"/>
    </row>
    <row r="1435" spans="1:52" x14ac:dyDescent="0.25">
      <c r="A1435" s="86">
        <v>24484</v>
      </c>
      <c r="B1435" s="87" t="s">
        <v>18</v>
      </c>
      <c r="C1435" s="87" t="s">
        <v>2813</v>
      </c>
      <c r="D1435" s="87" t="s">
        <v>2814</v>
      </c>
      <c r="E1435" s="87" t="s">
        <v>2815</v>
      </c>
      <c r="F1435" s="87">
        <v>36.068156600000002</v>
      </c>
      <c r="G1435" s="87">
        <v>44.6072378</v>
      </c>
      <c r="H1435" s="86">
        <v>25</v>
      </c>
      <c r="I1435" s="86">
        <v>150</v>
      </c>
      <c r="J1435" s="87"/>
      <c r="K1435" s="87"/>
      <c r="L1435" s="87">
        <v>14</v>
      </c>
      <c r="M1435" s="87"/>
      <c r="N1435" s="87"/>
      <c r="O1435" s="87"/>
      <c r="P1435" s="87"/>
      <c r="Q1435" s="87"/>
      <c r="R1435" s="87"/>
      <c r="S1435" s="87"/>
      <c r="T1435" s="87"/>
      <c r="U1435" s="87"/>
      <c r="V1435" s="87">
        <v>11</v>
      </c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>
        <v>25</v>
      </c>
      <c r="AI1435" s="87"/>
      <c r="AJ1435" s="87"/>
      <c r="AK1435" s="87"/>
      <c r="AL1435" s="87"/>
      <c r="AM1435" s="87"/>
      <c r="AN1435" s="87"/>
      <c r="AO1435" s="87">
        <v>11</v>
      </c>
      <c r="AP1435" s="87"/>
      <c r="AQ1435" s="87">
        <v>14</v>
      </c>
      <c r="AR1435" s="87"/>
      <c r="AS1435" s="87"/>
      <c r="AT1435" s="87"/>
      <c r="AU1435" s="87"/>
      <c r="AV1435" s="87"/>
      <c r="AW1435" s="88" t="str">
        <f>HYPERLINK("http://www.openstreetmap.org/?mlat=36.0682&amp;mlon=44.6072&amp;zoom=12#map=12/36.0682/44.6072","Maplink1")</f>
        <v>Maplink1</v>
      </c>
      <c r="AX1435" s="88" t="str">
        <f>HYPERLINK("https://www.google.iq/maps/search/+36.0682,44.6072/@36.0682,44.6072,14z?hl=en","Maplink2")</f>
        <v>Maplink2</v>
      </c>
      <c r="AY1435" s="88" t="str">
        <f>HYPERLINK("http://www.bing.com/maps/?lvl=14&amp;sty=h&amp;cp=36.0682~44.6072&amp;sp=point.36.0682_44.6072","Maplink3")</f>
        <v>Maplink3</v>
      </c>
      <c r="AZ1435" s="76"/>
    </row>
    <row r="1436" spans="1:52" x14ac:dyDescent="0.25">
      <c r="A1436" s="86">
        <v>24598</v>
      </c>
      <c r="B1436" s="87" t="s">
        <v>18</v>
      </c>
      <c r="C1436" s="87" t="s">
        <v>2813</v>
      </c>
      <c r="D1436" s="87" t="s">
        <v>2816</v>
      </c>
      <c r="E1436" s="87" t="s">
        <v>2817</v>
      </c>
      <c r="F1436" s="87">
        <v>36.084878199999999</v>
      </c>
      <c r="G1436" s="87">
        <v>44.638982900000002</v>
      </c>
      <c r="H1436" s="86">
        <v>65</v>
      </c>
      <c r="I1436" s="86">
        <v>390</v>
      </c>
      <c r="J1436" s="87">
        <v>5</v>
      </c>
      <c r="K1436" s="87"/>
      <c r="L1436" s="87">
        <v>41</v>
      </c>
      <c r="M1436" s="87"/>
      <c r="N1436" s="87"/>
      <c r="O1436" s="87"/>
      <c r="P1436" s="87"/>
      <c r="Q1436" s="87"/>
      <c r="R1436" s="87"/>
      <c r="S1436" s="87"/>
      <c r="T1436" s="87"/>
      <c r="U1436" s="87"/>
      <c r="V1436" s="87">
        <v>13</v>
      </c>
      <c r="W1436" s="87"/>
      <c r="X1436" s="87">
        <v>6</v>
      </c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>
        <v>65</v>
      </c>
      <c r="AI1436" s="87"/>
      <c r="AJ1436" s="87"/>
      <c r="AK1436" s="87"/>
      <c r="AL1436" s="87"/>
      <c r="AM1436" s="87"/>
      <c r="AN1436" s="87">
        <v>5</v>
      </c>
      <c r="AO1436" s="87">
        <v>6</v>
      </c>
      <c r="AP1436" s="87"/>
      <c r="AQ1436" s="87">
        <v>41</v>
      </c>
      <c r="AR1436" s="87"/>
      <c r="AS1436" s="87"/>
      <c r="AT1436" s="87">
        <v>13</v>
      </c>
      <c r="AU1436" s="87"/>
      <c r="AV1436" s="87"/>
      <c r="AW1436" s="88" t="str">
        <f>HYPERLINK("http://www.openstreetmap.org/?mlat=36.0849&amp;mlon=44.639&amp;zoom=12#map=12/36.0849/44.639","Maplink1")</f>
        <v>Maplink1</v>
      </c>
      <c r="AX1436" s="88" t="str">
        <f>HYPERLINK("https://www.google.iq/maps/search/+36.0849,44.639/@36.0849,44.639,14z?hl=en","Maplink2")</f>
        <v>Maplink2</v>
      </c>
      <c r="AY1436" s="88" t="str">
        <f>HYPERLINK("http://www.bing.com/maps/?lvl=14&amp;sty=h&amp;cp=36.0849~44.639&amp;sp=point.36.0849_44.639","Maplink3")</f>
        <v>Maplink3</v>
      </c>
      <c r="AZ1436" s="76"/>
    </row>
    <row r="1437" spans="1:52" x14ac:dyDescent="0.25">
      <c r="A1437" s="86">
        <v>12371</v>
      </c>
      <c r="B1437" s="87" t="s">
        <v>18</v>
      </c>
      <c r="C1437" s="87" t="s">
        <v>2813</v>
      </c>
      <c r="D1437" s="87" t="s">
        <v>2818</v>
      </c>
      <c r="E1437" s="87" t="s">
        <v>2819</v>
      </c>
      <c r="F1437" s="87">
        <v>36.087467799999999</v>
      </c>
      <c r="G1437" s="87">
        <v>44.629339000000002</v>
      </c>
      <c r="H1437" s="86">
        <v>55</v>
      </c>
      <c r="I1437" s="86">
        <v>330</v>
      </c>
      <c r="J1437" s="87">
        <v>5</v>
      </c>
      <c r="K1437" s="87"/>
      <c r="L1437" s="87">
        <v>32</v>
      </c>
      <c r="M1437" s="87"/>
      <c r="N1437" s="87"/>
      <c r="O1437" s="87"/>
      <c r="P1437" s="87"/>
      <c r="Q1437" s="87"/>
      <c r="R1437" s="87"/>
      <c r="S1437" s="87"/>
      <c r="T1437" s="87"/>
      <c r="U1437" s="87"/>
      <c r="V1437" s="87">
        <v>18</v>
      </c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>
        <v>55</v>
      </c>
      <c r="AI1437" s="87"/>
      <c r="AJ1437" s="87"/>
      <c r="AK1437" s="87"/>
      <c r="AL1437" s="87"/>
      <c r="AM1437" s="87"/>
      <c r="AN1437" s="87">
        <v>5</v>
      </c>
      <c r="AO1437" s="87"/>
      <c r="AP1437" s="87"/>
      <c r="AQ1437" s="87">
        <v>32</v>
      </c>
      <c r="AR1437" s="87"/>
      <c r="AS1437" s="87"/>
      <c r="AT1437" s="87">
        <v>18</v>
      </c>
      <c r="AU1437" s="87"/>
      <c r="AV1437" s="87"/>
      <c r="AW1437" s="88" t="str">
        <f>HYPERLINK("http://www.openstreetmap.org/?mlat=36.0875&amp;mlon=44.6293&amp;zoom=12#map=12/36.0875/44.6293","Maplink1")</f>
        <v>Maplink1</v>
      </c>
      <c r="AX1437" s="88" t="str">
        <f>HYPERLINK("https://www.google.iq/maps/search/+36.0875,44.6293/@36.0875,44.6293,14z?hl=en","Maplink2")</f>
        <v>Maplink2</v>
      </c>
      <c r="AY1437" s="88" t="str">
        <f>HYPERLINK("http://www.bing.com/maps/?lvl=14&amp;sty=h&amp;cp=36.0875~44.6293&amp;sp=point.36.0875_44.6293","Maplink3")</f>
        <v>Maplink3</v>
      </c>
      <c r="AZ1437" s="76"/>
    </row>
    <row r="1438" spans="1:52" x14ac:dyDescent="0.25">
      <c r="A1438" s="86">
        <v>24597</v>
      </c>
      <c r="B1438" s="87" t="s">
        <v>18</v>
      </c>
      <c r="C1438" s="87" t="s">
        <v>2813</v>
      </c>
      <c r="D1438" s="87" t="s">
        <v>2820</v>
      </c>
      <c r="E1438" s="87" t="s">
        <v>2821</v>
      </c>
      <c r="F1438" s="87">
        <v>36.083678999999997</v>
      </c>
      <c r="G1438" s="87">
        <v>44.628785499999999</v>
      </c>
      <c r="H1438" s="86">
        <v>65</v>
      </c>
      <c r="I1438" s="86">
        <v>390</v>
      </c>
      <c r="J1438" s="87"/>
      <c r="K1438" s="87"/>
      <c r="L1438" s="87">
        <v>20</v>
      </c>
      <c r="M1438" s="87"/>
      <c r="N1438" s="87"/>
      <c r="O1438" s="87"/>
      <c r="P1438" s="87"/>
      <c r="Q1438" s="87"/>
      <c r="R1438" s="87"/>
      <c r="S1438" s="87"/>
      <c r="T1438" s="87"/>
      <c r="U1438" s="87"/>
      <c r="V1438" s="87">
        <v>35</v>
      </c>
      <c r="W1438" s="87"/>
      <c r="X1438" s="87">
        <v>10</v>
      </c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>
        <v>65</v>
      </c>
      <c r="AI1438" s="87"/>
      <c r="AJ1438" s="87"/>
      <c r="AK1438" s="87"/>
      <c r="AL1438" s="87"/>
      <c r="AM1438" s="87"/>
      <c r="AN1438" s="87"/>
      <c r="AO1438" s="87">
        <v>10</v>
      </c>
      <c r="AP1438" s="87"/>
      <c r="AQ1438" s="87">
        <v>20</v>
      </c>
      <c r="AR1438" s="87"/>
      <c r="AS1438" s="87"/>
      <c r="AT1438" s="87">
        <v>35</v>
      </c>
      <c r="AU1438" s="87"/>
      <c r="AV1438" s="87"/>
      <c r="AW1438" s="88" t="str">
        <f>HYPERLINK("http://www.openstreetmap.org/?mlat=36.0837&amp;mlon=44.6288&amp;zoom=12#map=12/36.0837/44.6288","Maplink1")</f>
        <v>Maplink1</v>
      </c>
      <c r="AX1438" s="88" t="str">
        <f>HYPERLINK("https://www.google.iq/maps/search/+36.0837,44.6288/@36.0837,44.6288,14z?hl=en","Maplink2")</f>
        <v>Maplink2</v>
      </c>
      <c r="AY1438" s="88" t="str">
        <f>HYPERLINK("http://www.bing.com/maps/?lvl=14&amp;sty=h&amp;cp=36.0837~44.6288&amp;sp=point.36.0837_44.6288","Maplink3")</f>
        <v>Maplink3</v>
      </c>
      <c r="AZ1438" s="76"/>
    </row>
    <row r="1439" spans="1:52" x14ac:dyDescent="0.25">
      <c r="A1439" s="86">
        <v>27223</v>
      </c>
      <c r="B1439" s="87" t="s">
        <v>18</v>
      </c>
      <c r="C1439" s="87" t="s">
        <v>2813</v>
      </c>
      <c r="D1439" s="87" t="s">
        <v>2822</v>
      </c>
      <c r="E1439" s="87" t="s">
        <v>2823</v>
      </c>
      <c r="F1439" s="87">
        <v>36.090205699999999</v>
      </c>
      <c r="G1439" s="87">
        <v>44.6623454</v>
      </c>
      <c r="H1439" s="86">
        <v>9</v>
      </c>
      <c r="I1439" s="86">
        <v>54</v>
      </c>
      <c r="J1439" s="87"/>
      <c r="K1439" s="87"/>
      <c r="L1439" s="87">
        <v>5</v>
      </c>
      <c r="M1439" s="87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  <c r="X1439" s="87">
        <v>4</v>
      </c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>
        <v>9</v>
      </c>
      <c r="AI1439" s="87"/>
      <c r="AJ1439" s="87"/>
      <c r="AK1439" s="87"/>
      <c r="AL1439" s="87"/>
      <c r="AM1439" s="87"/>
      <c r="AN1439" s="87"/>
      <c r="AO1439" s="87">
        <v>4</v>
      </c>
      <c r="AP1439" s="87"/>
      <c r="AQ1439" s="87">
        <v>5</v>
      </c>
      <c r="AR1439" s="87"/>
      <c r="AS1439" s="87"/>
      <c r="AT1439" s="87"/>
      <c r="AU1439" s="87"/>
      <c r="AV1439" s="87"/>
      <c r="AW1439" s="88" t="str">
        <f>HYPERLINK("http://www.openstreetmap.org/?mlat=36.0902&amp;mlon=44.6623&amp;zoom=12#map=12/36.0902/44.6623","Maplink1")</f>
        <v>Maplink1</v>
      </c>
      <c r="AX1439" s="88" t="str">
        <f>HYPERLINK("https://www.google.iq/maps/search/+36.0902,44.6623/@36.0902,44.6623,14z?hl=en","Maplink2")</f>
        <v>Maplink2</v>
      </c>
      <c r="AY1439" s="88" t="str">
        <f>HYPERLINK("http://www.bing.com/maps/?lvl=14&amp;sty=h&amp;cp=36.0902~44.6623&amp;sp=point.36.0902_44.6623","Maplink3")</f>
        <v>Maplink3</v>
      </c>
      <c r="AZ1439" s="76"/>
    </row>
    <row r="1440" spans="1:52" x14ac:dyDescent="0.25">
      <c r="A1440" s="86">
        <v>23657</v>
      </c>
      <c r="B1440" s="87" t="s">
        <v>18</v>
      </c>
      <c r="C1440" s="87" t="s">
        <v>2813</v>
      </c>
      <c r="D1440" s="87" t="s">
        <v>2824</v>
      </c>
      <c r="E1440" s="87" t="s">
        <v>2825</v>
      </c>
      <c r="F1440" s="87">
        <v>36.090617399999999</v>
      </c>
      <c r="G1440" s="87">
        <v>44.613374499999999</v>
      </c>
      <c r="H1440" s="86">
        <v>42</v>
      </c>
      <c r="I1440" s="86">
        <v>252</v>
      </c>
      <c r="J1440" s="87">
        <v>5</v>
      </c>
      <c r="K1440" s="87"/>
      <c r="L1440" s="87">
        <v>22</v>
      </c>
      <c r="M1440" s="87"/>
      <c r="N1440" s="87"/>
      <c r="O1440" s="87"/>
      <c r="P1440" s="87"/>
      <c r="Q1440" s="87"/>
      <c r="R1440" s="87"/>
      <c r="S1440" s="87"/>
      <c r="T1440" s="87"/>
      <c r="U1440" s="87"/>
      <c r="V1440" s="87">
        <v>15</v>
      </c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>
        <v>42</v>
      </c>
      <c r="AI1440" s="87"/>
      <c r="AJ1440" s="87"/>
      <c r="AK1440" s="87"/>
      <c r="AL1440" s="87"/>
      <c r="AM1440" s="87"/>
      <c r="AN1440" s="87">
        <v>5</v>
      </c>
      <c r="AO1440" s="87">
        <v>15</v>
      </c>
      <c r="AP1440" s="87"/>
      <c r="AQ1440" s="87">
        <v>22</v>
      </c>
      <c r="AR1440" s="87"/>
      <c r="AS1440" s="87"/>
      <c r="AT1440" s="87"/>
      <c r="AU1440" s="87"/>
      <c r="AV1440" s="87"/>
      <c r="AW1440" s="88" t="str">
        <f>HYPERLINK("http://www.openstreetmap.org/?mlat=36.0906&amp;mlon=44.6134&amp;zoom=12#map=12/36.0906/44.6134","Maplink1")</f>
        <v>Maplink1</v>
      </c>
      <c r="AX1440" s="88" t="str">
        <f>HYPERLINK("https://www.google.iq/maps/search/+36.0906,44.6134/@36.0906,44.6134,14z?hl=en","Maplink2")</f>
        <v>Maplink2</v>
      </c>
      <c r="AY1440" s="88" t="str">
        <f>HYPERLINK("http://www.bing.com/maps/?lvl=14&amp;sty=h&amp;cp=36.0906~44.6134&amp;sp=point.36.0906_44.6134","Maplink3")</f>
        <v>Maplink3</v>
      </c>
      <c r="AZ1440" s="76"/>
    </row>
    <row r="1441" spans="1:52" x14ac:dyDescent="0.25">
      <c r="A1441" s="86">
        <v>23279</v>
      </c>
      <c r="B1441" s="87" t="s">
        <v>18</v>
      </c>
      <c r="C1441" s="87" t="s">
        <v>2813</v>
      </c>
      <c r="D1441" s="87" t="s">
        <v>2826</v>
      </c>
      <c r="E1441" s="87" t="s">
        <v>2827</v>
      </c>
      <c r="F1441" s="87">
        <v>36.073985</v>
      </c>
      <c r="G1441" s="87">
        <v>44.632617699999997</v>
      </c>
      <c r="H1441" s="86">
        <v>17</v>
      </c>
      <c r="I1441" s="86">
        <v>102</v>
      </c>
      <c r="J1441" s="87"/>
      <c r="K1441" s="87"/>
      <c r="L1441" s="87"/>
      <c r="M1441" s="87"/>
      <c r="N1441" s="87"/>
      <c r="O1441" s="87"/>
      <c r="P1441" s="87"/>
      <c r="Q1441" s="87"/>
      <c r="R1441" s="87"/>
      <c r="S1441" s="87"/>
      <c r="T1441" s="87"/>
      <c r="U1441" s="87"/>
      <c r="V1441" s="87">
        <v>17</v>
      </c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>
        <v>17</v>
      </c>
      <c r="AI1441" s="87"/>
      <c r="AJ1441" s="87"/>
      <c r="AK1441" s="87"/>
      <c r="AL1441" s="87"/>
      <c r="AM1441" s="87"/>
      <c r="AN1441" s="87"/>
      <c r="AO1441" s="87">
        <v>17</v>
      </c>
      <c r="AP1441" s="87"/>
      <c r="AQ1441" s="87"/>
      <c r="AR1441" s="87"/>
      <c r="AS1441" s="87"/>
      <c r="AT1441" s="87"/>
      <c r="AU1441" s="87"/>
      <c r="AV1441" s="87"/>
      <c r="AW1441" s="88" t="str">
        <f>HYPERLINK("http://www.openstreetmap.org/?mlat=36.074&amp;mlon=44.6326&amp;zoom=12#map=12/36.074/44.6326","Maplink1")</f>
        <v>Maplink1</v>
      </c>
      <c r="AX1441" s="88" t="str">
        <f>HYPERLINK("https://www.google.iq/maps/search/+36.074,44.6326/@36.074,44.6326,14z?hl=en","Maplink2")</f>
        <v>Maplink2</v>
      </c>
      <c r="AY1441" s="88" t="str">
        <f>HYPERLINK("http://www.bing.com/maps/?lvl=14&amp;sty=h&amp;cp=36.074~44.6326&amp;sp=point.36.074_44.6326","Maplink3")</f>
        <v>Maplink3</v>
      </c>
      <c r="AZ1441" s="76"/>
    </row>
    <row r="1442" spans="1:52" x14ac:dyDescent="0.25">
      <c r="A1442" s="86">
        <v>24599</v>
      </c>
      <c r="B1442" s="87" t="s">
        <v>18</v>
      </c>
      <c r="C1442" s="87" t="s">
        <v>2813</v>
      </c>
      <c r="D1442" s="87" t="s">
        <v>2828</v>
      </c>
      <c r="E1442" s="87" t="s">
        <v>2829</v>
      </c>
      <c r="F1442" s="87">
        <v>36.0764298</v>
      </c>
      <c r="G1442" s="87">
        <v>44.633567399999997</v>
      </c>
      <c r="H1442" s="86">
        <v>10</v>
      </c>
      <c r="I1442" s="86">
        <v>60</v>
      </c>
      <c r="J1442" s="87"/>
      <c r="K1442" s="87"/>
      <c r="L1442" s="87">
        <v>10</v>
      </c>
      <c r="M1442" s="87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>
        <v>10</v>
      </c>
      <c r="AI1442" s="87"/>
      <c r="AJ1442" s="87"/>
      <c r="AK1442" s="87"/>
      <c r="AL1442" s="87"/>
      <c r="AM1442" s="87"/>
      <c r="AN1442" s="87"/>
      <c r="AO1442" s="87"/>
      <c r="AP1442" s="87"/>
      <c r="AQ1442" s="87">
        <v>10</v>
      </c>
      <c r="AR1442" s="87"/>
      <c r="AS1442" s="87"/>
      <c r="AT1442" s="87"/>
      <c r="AU1442" s="87"/>
      <c r="AV1442" s="87"/>
      <c r="AW1442" s="88" t="str">
        <f>HYPERLINK("http://www.openstreetmap.org/?mlat=36.0764&amp;mlon=44.6336&amp;zoom=12#map=12/36.0764/44.6336","Maplink1")</f>
        <v>Maplink1</v>
      </c>
      <c r="AX1442" s="88" t="str">
        <f>HYPERLINK("https://www.google.iq/maps/search/+36.0764,44.6336/@36.0764,44.6336,14z?hl=en","Maplink2")</f>
        <v>Maplink2</v>
      </c>
      <c r="AY1442" s="88" t="str">
        <f>HYPERLINK("http://www.bing.com/maps/?lvl=14&amp;sty=h&amp;cp=36.0764~44.6336&amp;sp=point.36.0764_44.6336","Maplink3")</f>
        <v>Maplink3</v>
      </c>
      <c r="AZ1442" s="76"/>
    </row>
    <row r="1443" spans="1:52" x14ac:dyDescent="0.25">
      <c r="A1443" s="86">
        <v>27222</v>
      </c>
      <c r="B1443" s="87" t="s">
        <v>18</v>
      </c>
      <c r="C1443" s="87" t="s">
        <v>2813</v>
      </c>
      <c r="D1443" s="87" t="s">
        <v>2830</v>
      </c>
      <c r="E1443" s="87" t="s">
        <v>2831</v>
      </c>
      <c r="F1443" s="87">
        <v>36.057266300000002</v>
      </c>
      <c r="G1443" s="87">
        <v>44.637187400000002</v>
      </c>
      <c r="H1443" s="86">
        <v>14</v>
      </c>
      <c r="I1443" s="86">
        <v>84</v>
      </c>
      <c r="J1443" s="87"/>
      <c r="K1443" s="87"/>
      <c r="L1443" s="87">
        <v>14</v>
      </c>
      <c r="M1443" s="87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>
        <v>14</v>
      </c>
      <c r="AI1443" s="87"/>
      <c r="AJ1443" s="87"/>
      <c r="AK1443" s="87"/>
      <c r="AL1443" s="87"/>
      <c r="AM1443" s="87"/>
      <c r="AN1443" s="87"/>
      <c r="AO1443" s="87"/>
      <c r="AP1443" s="87"/>
      <c r="AQ1443" s="87">
        <v>14</v>
      </c>
      <c r="AR1443" s="87"/>
      <c r="AS1443" s="87"/>
      <c r="AT1443" s="87"/>
      <c r="AU1443" s="87"/>
      <c r="AV1443" s="87"/>
      <c r="AW1443" s="88" t="str">
        <f>HYPERLINK("http://www.openstreetmap.org/?mlat=36.0573&amp;mlon=44.6372&amp;zoom=12#map=12/36.0573/44.6372","Maplink1")</f>
        <v>Maplink1</v>
      </c>
      <c r="AX1443" s="88" t="str">
        <f>HYPERLINK("https://www.google.iq/maps/search/+36.0573,44.6372/@36.0573,44.6372,14z?hl=en","Maplink2")</f>
        <v>Maplink2</v>
      </c>
      <c r="AY1443" s="88" t="str">
        <f>HYPERLINK("http://www.bing.com/maps/?lvl=14&amp;sty=h&amp;cp=36.0573~44.6372&amp;sp=point.36.0573_44.6372","Maplink3")</f>
        <v>Maplink3</v>
      </c>
      <c r="AZ1443" s="76"/>
    </row>
    <row r="1444" spans="1:52" x14ac:dyDescent="0.25">
      <c r="A1444" s="86">
        <v>23280</v>
      </c>
      <c r="B1444" s="87" t="s">
        <v>18</v>
      </c>
      <c r="C1444" s="87" t="s">
        <v>2813</v>
      </c>
      <c r="D1444" s="87" t="s">
        <v>2832</v>
      </c>
      <c r="E1444" s="87" t="s">
        <v>2833</v>
      </c>
      <c r="F1444" s="87">
        <v>36.0863765</v>
      </c>
      <c r="G1444" s="87">
        <v>44.626987900000003</v>
      </c>
      <c r="H1444" s="86">
        <v>98</v>
      </c>
      <c r="I1444" s="86">
        <v>588</v>
      </c>
      <c r="J1444" s="87">
        <v>5</v>
      </c>
      <c r="K1444" s="87"/>
      <c r="L1444" s="87">
        <v>27</v>
      </c>
      <c r="M1444" s="87"/>
      <c r="N1444" s="87"/>
      <c r="O1444" s="87"/>
      <c r="P1444" s="87"/>
      <c r="Q1444" s="87"/>
      <c r="R1444" s="87"/>
      <c r="S1444" s="87"/>
      <c r="T1444" s="87"/>
      <c r="U1444" s="87"/>
      <c r="V1444" s="87">
        <v>66</v>
      </c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>
        <v>98</v>
      </c>
      <c r="AI1444" s="87"/>
      <c r="AJ1444" s="87"/>
      <c r="AK1444" s="87"/>
      <c r="AL1444" s="87"/>
      <c r="AM1444" s="87"/>
      <c r="AN1444" s="87">
        <v>5</v>
      </c>
      <c r="AO1444" s="87">
        <v>50</v>
      </c>
      <c r="AP1444" s="87"/>
      <c r="AQ1444" s="87">
        <v>27</v>
      </c>
      <c r="AR1444" s="87"/>
      <c r="AS1444" s="87"/>
      <c r="AT1444" s="87">
        <v>16</v>
      </c>
      <c r="AU1444" s="87"/>
      <c r="AV1444" s="87"/>
      <c r="AW1444" s="88" t="str">
        <f>HYPERLINK("http://www.openstreetmap.org/?mlat=36.0864&amp;mlon=44.627&amp;zoom=12#map=12/36.0864/44.627","Maplink1")</f>
        <v>Maplink1</v>
      </c>
      <c r="AX1444" s="88" t="str">
        <f>HYPERLINK("https://www.google.iq/maps/search/+36.0864,44.627/@36.0864,44.627,14z?hl=en","Maplink2")</f>
        <v>Maplink2</v>
      </c>
      <c r="AY1444" s="88" t="str">
        <f>HYPERLINK("http://www.bing.com/maps/?lvl=14&amp;sty=h&amp;cp=36.0864~44.627&amp;sp=point.36.0864_44.627","Maplink3")</f>
        <v>Maplink3</v>
      </c>
      <c r="AZ1444" s="76"/>
    </row>
    <row r="1445" spans="1:52" x14ac:dyDescent="0.25">
      <c r="A1445" s="86">
        <v>33885</v>
      </c>
      <c r="B1445" s="87" t="s">
        <v>18</v>
      </c>
      <c r="C1445" s="87" t="s">
        <v>2813</v>
      </c>
      <c r="D1445" s="87" t="s">
        <v>2050</v>
      </c>
      <c r="E1445" s="87" t="s">
        <v>2051</v>
      </c>
      <c r="F1445" s="87">
        <v>35.8920885</v>
      </c>
      <c r="G1445" s="87">
        <v>44.587871900000003</v>
      </c>
      <c r="H1445" s="86">
        <v>55</v>
      </c>
      <c r="I1445" s="86">
        <v>330</v>
      </c>
      <c r="J1445" s="87">
        <v>2</v>
      </c>
      <c r="K1445" s="87"/>
      <c r="L1445" s="87">
        <v>5</v>
      </c>
      <c r="M1445" s="87"/>
      <c r="N1445" s="87"/>
      <c r="O1445" s="87">
        <v>5</v>
      </c>
      <c r="P1445" s="87"/>
      <c r="Q1445" s="87"/>
      <c r="R1445" s="87">
        <v>10</v>
      </c>
      <c r="S1445" s="87"/>
      <c r="T1445" s="87"/>
      <c r="U1445" s="87"/>
      <c r="V1445" s="87">
        <v>28</v>
      </c>
      <c r="W1445" s="87"/>
      <c r="X1445" s="87">
        <v>5</v>
      </c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>
        <v>55</v>
      </c>
      <c r="AI1445" s="87"/>
      <c r="AJ1445" s="87"/>
      <c r="AK1445" s="87"/>
      <c r="AL1445" s="87"/>
      <c r="AM1445" s="87"/>
      <c r="AN1445" s="87">
        <v>5</v>
      </c>
      <c r="AO1445" s="87">
        <v>30</v>
      </c>
      <c r="AP1445" s="87"/>
      <c r="AQ1445" s="87">
        <v>5</v>
      </c>
      <c r="AR1445" s="87">
        <v>2</v>
      </c>
      <c r="AS1445" s="87"/>
      <c r="AT1445" s="87">
        <v>3</v>
      </c>
      <c r="AU1445" s="87">
        <v>10</v>
      </c>
      <c r="AV1445" s="87"/>
      <c r="AW1445" s="88" t="str">
        <f>HYPERLINK("http://www.openstreetmap.org/?mlat=35.8921&amp;mlon=44.5879&amp;zoom=12#map=12/35.8921/44.5879","Maplink1")</f>
        <v>Maplink1</v>
      </c>
      <c r="AX1445" s="88" t="str">
        <f>HYPERLINK("https://www.google.iq/maps/search/+35.8921,44.5879/@35.8921,44.5879,14z?hl=en","Maplink2")</f>
        <v>Maplink2</v>
      </c>
      <c r="AY1445" s="88" t="str">
        <f>HYPERLINK("http://www.bing.com/maps/?lvl=14&amp;sty=h&amp;cp=35.8921~44.5879&amp;sp=point.35.8921_44.5879","Maplink3")</f>
        <v>Maplink3</v>
      </c>
      <c r="AZ1445" s="76"/>
    </row>
    <row r="1446" spans="1:52" x14ac:dyDescent="0.25">
      <c r="A1446" s="86">
        <v>33886</v>
      </c>
      <c r="B1446" s="87" t="s">
        <v>18</v>
      </c>
      <c r="C1446" s="87" t="s">
        <v>2813</v>
      </c>
      <c r="D1446" s="87" t="s">
        <v>2866</v>
      </c>
      <c r="E1446" s="87" t="s">
        <v>2055</v>
      </c>
      <c r="F1446" s="87">
        <v>35.888502500000001</v>
      </c>
      <c r="G1446" s="87">
        <v>44.588431999999997</v>
      </c>
      <c r="H1446" s="86">
        <v>30</v>
      </c>
      <c r="I1446" s="86">
        <v>180</v>
      </c>
      <c r="J1446" s="87">
        <v>2</v>
      </c>
      <c r="K1446" s="87"/>
      <c r="L1446" s="87">
        <v>5</v>
      </c>
      <c r="M1446" s="87"/>
      <c r="N1446" s="87"/>
      <c r="O1446" s="87">
        <v>5</v>
      </c>
      <c r="P1446" s="87"/>
      <c r="Q1446" s="87"/>
      <c r="R1446" s="87">
        <v>10</v>
      </c>
      <c r="S1446" s="87"/>
      <c r="T1446" s="87"/>
      <c r="U1446" s="87"/>
      <c r="V1446" s="87">
        <v>3</v>
      </c>
      <c r="W1446" s="87"/>
      <c r="X1446" s="87">
        <v>5</v>
      </c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>
        <v>30</v>
      </c>
      <c r="AI1446" s="87"/>
      <c r="AJ1446" s="87"/>
      <c r="AK1446" s="87"/>
      <c r="AL1446" s="87"/>
      <c r="AM1446" s="87"/>
      <c r="AN1446" s="87">
        <v>5</v>
      </c>
      <c r="AO1446" s="87">
        <v>8</v>
      </c>
      <c r="AP1446" s="87"/>
      <c r="AQ1446" s="87">
        <v>5</v>
      </c>
      <c r="AR1446" s="87">
        <v>2</v>
      </c>
      <c r="AS1446" s="87"/>
      <c r="AT1446" s="87"/>
      <c r="AU1446" s="87">
        <v>10</v>
      </c>
      <c r="AV1446" s="87"/>
      <c r="AW1446" s="88" t="str">
        <f>HYPERLINK("http://www.openstreetmap.org/?mlat=35.8885&amp;mlon=44.5884&amp;zoom=12#map=12/35.8885/44.5884","Maplink1")</f>
        <v>Maplink1</v>
      </c>
      <c r="AX1446" s="88" t="str">
        <f>HYPERLINK("https://www.google.iq/maps/search/+35.8885,44.5884/@35.8885,44.5884,14z?hl=en","Maplink2")</f>
        <v>Maplink2</v>
      </c>
      <c r="AY1446" s="88" t="str">
        <f>HYPERLINK("http://www.bing.com/maps/?lvl=14&amp;sty=h&amp;cp=35.8885~44.5884&amp;sp=point.35.8885_44.5884","Maplink3")</f>
        <v>Maplink3</v>
      </c>
      <c r="AZ1446" s="76"/>
    </row>
    <row r="1447" spans="1:52" x14ac:dyDescent="0.25">
      <c r="A1447" s="86">
        <v>11887</v>
      </c>
      <c r="B1447" s="87" t="s">
        <v>18</v>
      </c>
      <c r="C1447" s="87" t="s">
        <v>2813</v>
      </c>
      <c r="D1447" s="87" t="s">
        <v>2834</v>
      </c>
      <c r="E1447" s="87" t="s">
        <v>2835</v>
      </c>
      <c r="F1447" s="87">
        <v>35.8872085</v>
      </c>
      <c r="G1447" s="87">
        <v>44.583775600000003</v>
      </c>
      <c r="H1447" s="86">
        <v>103</v>
      </c>
      <c r="I1447" s="86">
        <v>618</v>
      </c>
      <c r="J1447" s="87">
        <v>4</v>
      </c>
      <c r="K1447" s="87"/>
      <c r="L1447" s="87">
        <v>10</v>
      </c>
      <c r="M1447" s="87"/>
      <c r="N1447" s="87"/>
      <c r="O1447" s="87">
        <v>10</v>
      </c>
      <c r="P1447" s="87"/>
      <c r="Q1447" s="87"/>
      <c r="R1447" s="87">
        <v>20</v>
      </c>
      <c r="S1447" s="87"/>
      <c r="T1447" s="87"/>
      <c r="U1447" s="87"/>
      <c r="V1447" s="87">
        <v>49</v>
      </c>
      <c r="W1447" s="87"/>
      <c r="X1447" s="87">
        <v>10</v>
      </c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>
        <v>103</v>
      </c>
      <c r="AI1447" s="87"/>
      <c r="AJ1447" s="87"/>
      <c r="AK1447" s="87"/>
      <c r="AL1447" s="87"/>
      <c r="AM1447" s="87"/>
      <c r="AN1447" s="87">
        <v>10</v>
      </c>
      <c r="AO1447" s="87">
        <v>49</v>
      </c>
      <c r="AP1447" s="87">
        <v>5</v>
      </c>
      <c r="AQ1447" s="87">
        <v>10</v>
      </c>
      <c r="AR1447" s="87">
        <v>4</v>
      </c>
      <c r="AS1447" s="87"/>
      <c r="AT1447" s="87">
        <v>5</v>
      </c>
      <c r="AU1447" s="87">
        <v>20</v>
      </c>
      <c r="AV1447" s="87"/>
      <c r="AW1447" s="88" t="str">
        <f>HYPERLINK("http://www.openstreetmap.org/?mlat=35.8872&amp;mlon=44.5838&amp;zoom=12#map=12/35.8872/44.5838","Maplink1")</f>
        <v>Maplink1</v>
      </c>
      <c r="AX1447" s="88" t="str">
        <f>HYPERLINK("https://www.google.iq/maps/search/+35.8872,44.5838/@35.8872,44.5838,14z?hl=en","Maplink2")</f>
        <v>Maplink2</v>
      </c>
      <c r="AY1447" s="88" t="str">
        <f>HYPERLINK("http://www.bing.com/maps/?lvl=14&amp;sty=h&amp;cp=35.8872~44.5838&amp;sp=point.35.8872_44.5838","Maplink3")</f>
        <v>Maplink3</v>
      </c>
      <c r="AZ1447" s="76"/>
    </row>
    <row r="1448" spans="1:52" x14ac:dyDescent="0.25">
      <c r="A1448" s="86">
        <v>13569</v>
      </c>
      <c r="B1448" s="87" t="s">
        <v>18</v>
      </c>
      <c r="C1448" s="87" t="s">
        <v>2836</v>
      </c>
      <c r="D1448" s="87" t="s">
        <v>2837</v>
      </c>
      <c r="E1448" s="87" t="s">
        <v>2838</v>
      </c>
      <c r="F1448" s="87">
        <v>35.882778299999998</v>
      </c>
      <c r="G1448" s="87">
        <v>43.808804799999997</v>
      </c>
      <c r="H1448" s="86">
        <v>1800</v>
      </c>
      <c r="I1448" s="86">
        <v>10800</v>
      </c>
      <c r="J1448" s="87">
        <v>4</v>
      </c>
      <c r="K1448" s="87"/>
      <c r="L1448" s="87">
        <v>1</v>
      </c>
      <c r="M1448" s="87"/>
      <c r="N1448" s="87"/>
      <c r="O1448" s="87"/>
      <c r="P1448" s="87">
        <v>1450</v>
      </c>
      <c r="Q1448" s="87"/>
      <c r="R1448" s="87">
        <v>95</v>
      </c>
      <c r="S1448" s="87"/>
      <c r="T1448" s="87"/>
      <c r="U1448" s="87"/>
      <c r="V1448" s="87">
        <v>170</v>
      </c>
      <c r="W1448" s="87"/>
      <c r="X1448" s="87">
        <v>80</v>
      </c>
      <c r="Y1448" s="87"/>
      <c r="Z1448" s="87"/>
      <c r="AA1448" s="87"/>
      <c r="AB1448" s="87">
        <v>1800</v>
      </c>
      <c r="AC1448" s="87"/>
      <c r="AD1448" s="87"/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7">
        <v>150</v>
      </c>
      <c r="AP1448" s="87">
        <v>45</v>
      </c>
      <c r="AQ1448" s="87">
        <v>321</v>
      </c>
      <c r="AR1448" s="87">
        <v>4</v>
      </c>
      <c r="AS1448" s="87">
        <v>1110</v>
      </c>
      <c r="AT1448" s="87">
        <v>17</v>
      </c>
      <c r="AU1448" s="87">
        <v>153</v>
      </c>
      <c r="AV1448" s="87"/>
      <c r="AW1448" s="88" t="str">
        <f>HYPERLINK("http://www.openstreetmap.org/?mlat=35.8828&amp;mlon=43.8088&amp;zoom=12#map=12/35.8828/43.8088","Maplink1")</f>
        <v>Maplink1</v>
      </c>
      <c r="AX1448" s="88" t="str">
        <f>HYPERLINK("https://www.google.iq/maps/search/+35.8828,43.8088/@35.8828,43.8088,14z?hl=en","Maplink2")</f>
        <v>Maplink2</v>
      </c>
      <c r="AY1448" s="88" t="str">
        <f>HYPERLINK("http://www.bing.com/maps/?lvl=14&amp;sty=h&amp;cp=35.8828~43.8088&amp;sp=point.35.8828_43.8088","Maplink3")</f>
        <v>Maplink3</v>
      </c>
      <c r="AZ1448" s="76"/>
    </row>
    <row r="1449" spans="1:52" x14ac:dyDescent="0.25">
      <c r="A1449" s="86">
        <v>27225</v>
      </c>
      <c r="B1449" s="87" t="s">
        <v>18</v>
      </c>
      <c r="C1449" s="87" t="s">
        <v>2839</v>
      </c>
      <c r="D1449" s="87" t="s">
        <v>2840</v>
      </c>
      <c r="E1449" s="87" t="s">
        <v>2841</v>
      </c>
      <c r="F1449" s="87">
        <v>36.8353167</v>
      </c>
      <c r="G1449" s="87">
        <v>44.313195299999997</v>
      </c>
      <c r="H1449" s="86">
        <v>33</v>
      </c>
      <c r="I1449" s="86">
        <v>198</v>
      </c>
      <c r="J1449" s="87"/>
      <c r="K1449" s="87"/>
      <c r="L1449" s="87"/>
      <c r="M1449" s="87"/>
      <c r="N1449" s="87"/>
      <c r="O1449" s="87"/>
      <c r="P1449" s="87"/>
      <c r="Q1449" s="87"/>
      <c r="R1449" s="87"/>
      <c r="S1449" s="87"/>
      <c r="T1449" s="87"/>
      <c r="U1449" s="87"/>
      <c r="V1449" s="87">
        <v>33</v>
      </c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>
        <v>33</v>
      </c>
      <c r="AI1449" s="87"/>
      <c r="AJ1449" s="87"/>
      <c r="AK1449" s="87"/>
      <c r="AL1449" s="87"/>
      <c r="AM1449" s="87"/>
      <c r="AN1449" s="87"/>
      <c r="AO1449" s="87"/>
      <c r="AP1449" s="87">
        <v>33</v>
      </c>
      <c r="AQ1449" s="87"/>
      <c r="AR1449" s="87"/>
      <c r="AS1449" s="87"/>
      <c r="AT1449" s="87"/>
      <c r="AU1449" s="87"/>
      <c r="AV1449" s="87"/>
      <c r="AW1449" s="88" t="str">
        <f>HYPERLINK("http://www.openstreetmap.org/?mlat=36.8353&amp;mlon=44.3132&amp;zoom=12#map=12/36.8353/44.3132","Maplink1")</f>
        <v>Maplink1</v>
      </c>
      <c r="AX1449" s="88" t="str">
        <f>HYPERLINK("https://www.google.iq/maps/search/+36.8353,44.3132/@36.8353,44.3132,14z?hl=en","Maplink2")</f>
        <v>Maplink2</v>
      </c>
      <c r="AY1449" s="88" t="str">
        <f>HYPERLINK("http://www.bing.com/maps/?lvl=14&amp;sty=h&amp;cp=36.8353~44.3132&amp;sp=point.36.8353_44.3132","Maplink3")</f>
        <v>Maplink3</v>
      </c>
      <c r="AZ1449" s="76"/>
    </row>
    <row r="1450" spans="1:52" x14ac:dyDescent="0.25">
      <c r="A1450" s="86">
        <v>23907</v>
      </c>
      <c r="B1450" s="87" t="s">
        <v>18</v>
      </c>
      <c r="C1450" s="87" t="s">
        <v>2842</v>
      </c>
      <c r="D1450" s="87" t="s">
        <v>2843</v>
      </c>
      <c r="E1450" s="87" t="s">
        <v>2844</v>
      </c>
      <c r="F1450" s="87">
        <v>36.403458999999998</v>
      </c>
      <c r="G1450" s="87">
        <v>44.342235500000001</v>
      </c>
      <c r="H1450" s="86">
        <v>60</v>
      </c>
      <c r="I1450" s="86">
        <v>360</v>
      </c>
      <c r="J1450" s="87">
        <v>45</v>
      </c>
      <c r="K1450" s="87"/>
      <c r="L1450" s="87">
        <v>4</v>
      </c>
      <c r="M1450" s="87"/>
      <c r="N1450" s="87"/>
      <c r="O1450" s="87">
        <v>5</v>
      </c>
      <c r="P1450" s="87"/>
      <c r="Q1450" s="87"/>
      <c r="R1450" s="87"/>
      <c r="S1450" s="87"/>
      <c r="T1450" s="87"/>
      <c r="U1450" s="87"/>
      <c r="V1450" s="87">
        <v>3</v>
      </c>
      <c r="W1450" s="87"/>
      <c r="X1450" s="87">
        <v>3</v>
      </c>
      <c r="Y1450" s="87"/>
      <c r="Z1450" s="87"/>
      <c r="AA1450" s="87"/>
      <c r="AB1450" s="87"/>
      <c r="AC1450" s="87"/>
      <c r="AD1450" s="87">
        <v>20</v>
      </c>
      <c r="AE1450" s="87"/>
      <c r="AF1450" s="87"/>
      <c r="AG1450" s="87"/>
      <c r="AH1450" s="87">
        <v>40</v>
      </c>
      <c r="AI1450" s="87"/>
      <c r="AJ1450" s="87"/>
      <c r="AK1450" s="87"/>
      <c r="AL1450" s="87"/>
      <c r="AM1450" s="87"/>
      <c r="AN1450" s="87">
        <v>19</v>
      </c>
      <c r="AO1450" s="87">
        <v>4</v>
      </c>
      <c r="AP1450" s="87">
        <v>2</v>
      </c>
      <c r="AQ1450" s="87">
        <v>4</v>
      </c>
      <c r="AR1450" s="87">
        <v>31</v>
      </c>
      <c r="AS1450" s="87"/>
      <c r="AT1450" s="87"/>
      <c r="AU1450" s="87"/>
      <c r="AV1450" s="87"/>
      <c r="AW1450" s="88" t="str">
        <f>HYPERLINK("http://www.openstreetmap.org/?mlat=36.4035&amp;mlon=44.3422&amp;zoom=12#map=12/36.4035/44.3422","Maplink1")</f>
        <v>Maplink1</v>
      </c>
      <c r="AX1450" s="88" t="str">
        <f>HYPERLINK("https://www.google.iq/maps/search/+36.4035,44.3422/@36.4035,44.3422,14z?hl=en","Maplink2")</f>
        <v>Maplink2</v>
      </c>
      <c r="AY1450" s="88" t="str">
        <f>HYPERLINK("http://www.bing.com/maps/?lvl=14&amp;sty=h&amp;cp=36.4035~44.3422&amp;sp=point.36.4035_44.3422","Maplink3")</f>
        <v>Maplink3</v>
      </c>
      <c r="AZ1450" s="76"/>
    </row>
    <row r="1451" spans="1:52" x14ac:dyDescent="0.25">
      <c r="A1451" s="86">
        <v>23713</v>
      </c>
      <c r="B1451" s="87" t="s">
        <v>18</v>
      </c>
      <c r="C1451" s="87" t="s">
        <v>2842</v>
      </c>
      <c r="D1451" s="87" t="s">
        <v>2845</v>
      </c>
      <c r="E1451" s="87" t="s">
        <v>2846</v>
      </c>
      <c r="F1451" s="87">
        <v>36.394648799999999</v>
      </c>
      <c r="G1451" s="87">
        <v>44.3424598</v>
      </c>
      <c r="H1451" s="86">
        <v>90</v>
      </c>
      <c r="I1451" s="86">
        <v>540</v>
      </c>
      <c r="J1451" s="87">
        <v>40</v>
      </c>
      <c r="K1451" s="87"/>
      <c r="L1451" s="87">
        <v>7</v>
      </c>
      <c r="M1451" s="87"/>
      <c r="N1451" s="87"/>
      <c r="O1451" s="87">
        <v>7</v>
      </c>
      <c r="P1451" s="87"/>
      <c r="Q1451" s="87"/>
      <c r="R1451" s="87"/>
      <c r="S1451" s="87"/>
      <c r="T1451" s="87"/>
      <c r="U1451" s="87"/>
      <c r="V1451" s="87">
        <v>13</v>
      </c>
      <c r="W1451" s="87"/>
      <c r="X1451" s="87">
        <v>23</v>
      </c>
      <c r="Y1451" s="87"/>
      <c r="Z1451" s="87"/>
      <c r="AA1451" s="87"/>
      <c r="AB1451" s="87"/>
      <c r="AC1451" s="87"/>
      <c r="AD1451" s="87"/>
      <c r="AE1451" s="87"/>
      <c r="AF1451" s="87"/>
      <c r="AG1451" s="87"/>
      <c r="AH1451" s="87">
        <v>90</v>
      </c>
      <c r="AI1451" s="87"/>
      <c r="AJ1451" s="87"/>
      <c r="AK1451" s="87"/>
      <c r="AL1451" s="87"/>
      <c r="AM1451" s="87"/>
      <c r="AN1451" s="87">
        <v>26</v>
      </c>
      <c r="AO1451" s="87">
        <v>17</v>
      </c>
      <c r="AP1451" s="87">
        <v>7</v>
      </c>
      <c r="AQ1451" s="87">
        <v>7</v>
      </c>
      <c r="AR1451" s="87">
        <v>16</v>
      </c>
      <c r="AS1451" s="87">
        <v>5</v>
      </c>
      <c r="AT1451" s="87">
        <v>12</v>
      </c>
      <c r="AU1451" s="87"/>
      <c r="AV1451" s="87"/>
      <c r="AW1451" s="88" t="str">
        <f>HYPERLINK("http://www.openstreetmap.org/?mlat=36.3946&amp;mlon=44.3425&amp;zoom=12#map=12/36.3946/44.3425","Maplink1")</f>
        <v>Maplink1</v>
      </c>
      <c r="AX1451" s="88" t="str">
        <f>HYPERLINK("https://www.google.iq/maps/search/+36.3946,44.3425/@36.3946,44.3425,14z?hl=en","Maplink2")</f>
        <v>Maplink2</v>
      </c>
      <c r="AY1451" s="88" t="str">
        <f>HYPERLINK("http://www.bing.com/maps/?lvl=14&amp;sty=h&amp;cp=36.3946~44.3425&amp;sp=point.36.3946_44.3425","Maplink3")</f>
        <v>Maplink3</v>
      </c>
      <c r="AZ1451" s="76"/>
    </row>
    <row r="1452" spans="1:52" x14ac:dyDescent="0.25">
      <c r="A1452" s="86">
        <v>27141</v>
      </c>
      <c r="B1452" s="87" t="s">
        <v>18</v>
      </c>
      <c r="C1452" s="87" t="s">
        <v>2842</v>
      </c>
      <c r="D1452" s="87" t="s">
        <v>2847</v>
      </c>
      <c r="E1452" s="87" t="s">
        <v>2848</v>
      </c>
      <c r="F1452" s="87">
        <v>36.497906800000003</v>
      </c>
      <c r="G1452" s="87">
        <v>44.358839000000003</v>
      </c>
      <c r="H1452" s="86">
        <v>5</v>
      </c>
      <c r="I1452" s="86">
        <v>30</v>
      </c>
      <c r="J1452" s="87">
        <v>5</v>
      </c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>
        <v>5</v>
      </c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>
        <v>5</v>
      </c>
      <c r="AS1452" s="87"/>
      <c r="AT1452" s="87"/>
      <c r="AU1452" s="87"/>
      <c r="AV1452" s="87"/>
      <c r="AW1452" s="88" t="str">
        <f>HYPERLINK("http://www.openstreetmap.org/?mlat=36.4979&amp;mlon=44.3588&amp;zoom=12#map=12/36.4979/44.3588","Maplink1")</f>
        <v>Maplink1</v>
      </c>
      <c r="AX1452" s="88" t="str">
        <f>HYPERLINK("https://www.google.iq/maps/search/+36.4979,44.3588/@36.4979,44.3588,14z?hl=en","Maplink2")</f>
        <v>Maplink2</v>
      </c>
      <c r="AY1452" s="88" t="str">
        <f>HYPERLINK("http://www.bing.com/maps/?lvl=14&amp;sty=h&amp;cp=36.4979~44.3588&amp;sp=point.36.4979_44.3588","Maplink3")</f>
        <v>Maplink3</v>
      </c>
      <c r="AZ1452" s="76"/>
    </row>
    <row r="1453" spans="1:52" x14ac:dyDescent="0.25">
      <c r="A1453" s="86">
        <v>12172</v>
      </c>
      <c r="B1453" s="87" t="s">
        <v>18</v>
      </c>
      <c r="C1453" s="87" t="s">
        <v>2842</v>
      </c>
      <c r="D1453" s="87" t="s">
        <v>2849</v>
      </c>
      <c r="E1453" s="87" t="s">
        <v>2850</v>
      </c>
      <c r="F1453" s="87">
        <v>36.550205200000001</v>
      </c>
      <c r="G1453" s="87">
        <v>44.345368800000003</v>
      </c>
      <c r="H1453" s="86">
        <v>133</v>
      </c>
      <c r="I1453" s="86">
        <v>798</v>
      </c>
      <c r="J1453" s="87">
        <v>88</v>
      </c>
      <c r="K1453" s="87"/>
      <c r="L1453" s="87"/>
      <c r="M1453" s="87"/>
      <c r="N1453" s="87"/>
      <c r="O1453" s="87"/>
      <c r="P1453" s="87"/>
      <c r="Q1453" s="87"/>
      <c r="R1453" s="87"/>
      <c r="S1453" s="87"/>
      <c r="T1453" s="87"/>
      <c r="U1453" s="87"/>
      <c r="V1453" s="87">
        <v>35</v>
      </c>
      <c r="W1453" s="87"/>
      <c r="X1453" s="87">
        <v>10</v>
      </c>
      <c r="Y1453" s="87"/>
      <c r="Z1453" s="87"/>
      <c r="AA1453" s="87"/>
      <c r="AB1453" s="87"/>
      <c r="AC1453" s="87"/>
      <c r="AD1453" s="87"/>
      <c r="AE1453" s="87"/>
      <c r="AF1453" s="87"/>
      <c r="AG1453" s="87"/>
      <c r="AH1453" s="87">
        <v>133</v>
      </c>
      <c r="AI1453" s="87"/>
      <c r="AJ1453" s="87"/>
      <c r="AK1453" s="87"/>
      <c r="AL1453" s="87"/>
      <c r="AM1453" s="87"/>
      <c r="AN1453" s="87">
        <v>25</v>
      </c>
      <c r="AO1453" s="87">
        <v>33</v>
      </c>
      <c r="AP1453" s="87">
        <v>12</v>
      </c>
      <c r="AQ1453" s="87"/>
      <c r="AR1453" s="87">
        <v>63</v>
      </c>
      <c r="AS1453" s="87"/>
      <c r="AT1453" s="87"/>
      <c r="AU1453" s="87"/>
      <c r="AV1453" s="87"/>
      <c r="AW1453" s="88" t="str">
        <f>HYPERLINK("http://www.openstreetmap.org/?mlat=36.5502&amp;mlon=44.3454&amp;zoom=12#map=12/36.5502/44.3454","Maplink1")</f>
        <v>Maplink1</v>
      </c>
      <c r="AX1453" s="88" t="str">
        <f>HYPERLINK("https://www.google.iq/maps/search/+36.5502,44.3454/@36.5502,44.3454,14z?hl=en","Maplink2")</f>
        <v>Maplink2</v>
      </c>
      <c r="AY1453" s="88" t="str">
        <f>HYPERLINK("http://www.bing.com/maps/?lvl=14&amp;sty=h&amp;cp=36.5502~44.3454&amp;sp=point.36.5502_44.3454","Maplink3")</f>
        <v>Maplink3</v>
      </c>
      <c r="AZ1453" s="76"/>
    </row>
    <row r="1454" spans="1:52" x14ac:dyDescent="0.25">
      <c r="A1454" s="86">
        <v>13372</v>
      </c>
      <c r="B1454" s="87" t="s">
        <v>18</v>
      </c>
      <c r="C1454" s="87" t="s">
        <v>2842</v>
      </c>
      <c r="D1454" s="87" t="s">
        <v>2851</v>
      </c>
      <c r="E1454" s="87" t="s">
        <v>2852</v>
      </c>
      <c r="F1454" s="87">
        <v>36.5603397</v>
      </c>
      <c r="G1454" s="87">
        <v>44.334274731000001</v>
      </c>
      <c r="H1454" s="86">
        <v>40</v>
      </c>
      <c r="I1454" s="86">
        <v>240</v>
      </c>
      <c r="J1454" s="87">
        <v>25</v>
      </c>
      <c r="K1454" s="87"/>
      <c r="L1454" s="87"/>
      <c r="M1454" s="87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>
        <v>15</v>
      </c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>
        <v>40</v>
      </c>
      <c r="AI1454" s="87"/>
      <c r="AJ1454" s="87"/>
      <c r="AK1454" s="87"/>
      <c r="AL1454" s="87"/>
      <c r="AM1454" s="87"/>
      <c r="AN1454" s="87">
        <v>7</v>
      </c>
      <c r="AO1454" s="87">
        <v>15</v>
      </c>
      <c r="AP1454" s="87"/>
      <c r="AQ1454" s="87"/>
      <c r="AR1454" s="87">
        <v>18</v>
      </c>
      <c r="AS1454" s="87"/>
      <c r="AT1454" s="87"/>
      <c r="AU1454" s="87"/>
      <c r="AV1454" s="87"/>
      <c r="AW1454" s="88" t="str">
        <f>HYPERLINK("http://www.openstreetmap.org/?mlat=36.5603&amp;mlon=44.3343&amp;zoom=12#map=12/36.5603/44.3343","Maplink1")</f>
        <v>Maplink1</v>
      </c>
      <c r="AX1454" s="88" t="str">
        <f>HYPERLINK("https://www.google.iq/maps/search/+36.5603,44.3343/@36.5603,44.3343,14z?hl=en","Maplink2")</f>
        <v>Maplink2</v>
      </c>
      <c r="AY1454" s="88" t="str">
        <f>HYPERLINK("http://www.bing.com/maps/?lvl=14&amp;sty=h&amp;cp=36.5603~44.3343&amp;sp=point.36.5603_44.3343","Maplink3")</f>
        <v>Maplink3</v>
      </c>
      <c r="AZ1454" s="76"/>
    </row>
    <row r="1455" spans="1:52" x14ac:dyDescent="0.25">
      <c r="A1455" s="86">
        <v>12079</v>
      </c>
      <c r="B1455" s="87" t="s">
        <v>18</v>
      </c>
      <c r="C1455" s="87" t="s">
        <v>2842</v>
      </c>
      <c r="D1455" s="87" t="s">
        <v>2853</v>
      </c>
      <c r="E1455" s="87" t="s">
        <v>2854</v>
      </c>
      <c r="F1455" s="87">
        <v>36.277215099999999</v>
      </c>
      <c r="G1455" s="87">
        <v>44.493145685899997</v>
      </c>
      <c r="H1455" s="86">
        <v>81</v>
      </c>
      <c r="I1455" s="86">
        <v>486</v>
      </c>
      <c r="J1455" s="87">
        <v>68</v>
      </c>
      <c r="K1455" s="87"/>
      <c r="L1455" s="87"/>
      <c r="M1455" s="87"/>
      <c r="N1455" s="87"/>
      <c r="O1455" s="87"/>
      <c r="P1455" s="87"/>
      <c r="Q1455" s="87"/>
      <c r="R1455" s="87"/>
      <c r="S1455" s="87"/>
      <c r="T1455" s="87"/>
      <c r="U1455" s="87"/>
      <c r="V1455" s="87">
        <v>13</v>
      </c>
      <c r="W1455" s="87"/>
      <c r="X1455" s="87"/>
      <c r="Y1455" s="87"/>
      <c r="Z1455" s="87"/>
      <c r="AA1455" s="87"/>
      <c r="AB1455" s="87"/>
      <c r="AC1455" s="87"/>
      <c r="AD1455" s="87"/>
      <c r="AE1455" s="87"/>
      <c r="AF1455" s="87"/>
      <c r="AG1455" s="87"/>
      <c r="AH1455" s="87">
        <v>81</v>
      </c>
      <c r="AI1455" s="87"/>
      <c r="AJ1455" s="87"/>
      <c r="AK1455" s="87"/>
      <c r="AL1455" s="87"/>
      <c r="AM1455" s="87"/>
      <c r="AN1455" s="87">
        <v>53</v>
      </c>
      <c r="AO1455" s="87"/>
      <c r="AP1455" s="87"/>
      <c r="AQ1455" s="87"/>
      <c r="AR1455" s="87">
        <v>15</v>
      </c>
      <c r="AS1455" s="87"/>
      <c r="AT1455" s="87">
        <v>13</v>
      </c>
      <c r="AU1455" s="87"/>
      <c r="AV1455" s="87"/>
      <c r="AW1455" s="88" t="str">
        <f>HYPERLINK("http://www.openstreetmap.org/?mlat=36.2772&amp;mlon=44.4931&amp;zoom=12#map=12/36.2772/44.4931","Maplink1")</f>
        <v>Maplink1</v>
      </c>
      <c r="AX1455" s="88" t="str">
        <f>HYPERLINK("https://www.google.iq/maps/search/+36.2772,44.4931/@36.2772,44.4931,14z?hl=en","Maplink2")</f>
        <v>Maplink2</v>
      </c>
      <c r="AY1455" s="88" t="str">
        <f>HYPERLINK("http://www.bing.com/maps/?lvl=14&amp;sty=h&amp;cp=36.2772~44.4931&amp;sp=point.36.2772_44.4931","Maplink3")</f>
        <v>Maplink3</v>
      </c>
      <c r="AZ1455" s="76"/>
    </row>
    <row r="1456" spans="1:52" x14ac:dyDescent="0.25">
      <c r="A1456" s="86">
        <v>27143</v>
      </c>
      <c r="B1456" s="87" t="s">
        <v>18</v>
      </c>
      <c r="C1456" s="87" t="s">
        <v>2842</v>
      </c>
      <c r="D1456" s="87" t="s">
        <v>2699</v>
      </c>
      <c r="E1456" s="87" t="s">
        <v>2855</v>
      </c>
      <c r="F1456" s="87">
        <v>36.505212299999997</v>
      </c>
      <c r="G1456" s="87">
        <v>44.346816500000003</v>
      </c>
      <c r="H1456" s="86">
        <v>7</v>
      </c>
      <c r="I1456" s="86">
        <v>42</v>
      </c>
      <c r="J1456" s="87">
        <v>5</v>
      </c>
      <c r="K1456" s="87"/>
      <c r="L1456" s="87"/>
      <c r="M1456" s="87"/>
      <c r="N1456" s="87"/>
      <c r="O1456" s="87"/>
      <c r="P1456" s="87"/>
      <c r="Q1456" s="87"/>
      <c r="R1456" s="87"/>
      <c r="S1456" s="87"/>
      <c r="T1456" s="87"/>
      <c r="U1456" s="87"/>
      <c r="V1456" s="87">
        <v>2</v>
      </c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>
        <v>7</v>
      </c>
      <c r="AI1456" s="87"/>
      <c r="AJ1456" s="87"/>
      <c r="AK1456" s="87"/>
      <c r="AL1456" s="87"/>
      <c r="AM1456" s="87"/>
      <c r="AN1456" s="87"/>
      <c r="AO1456" s="87"/>
      <c r="AP1456" s="87">
        <v>2</v>
      </c>
      <c r="AQ1456" s="87"/>
      <c r="AR1456" s="87">
        <v>5</v>
      </c>
      <c r="AS1456" s="87"/>
      <c r="AT1456" s="87"/>
      <c r="AU1456" s="87"/>
      <c r="AV1456" s="87"/>
      <c r="AW1456" s="88" t="str">
        <f>HYPERLINK("http://www.openstreetmap.org/?mlat=36.5052&amp;mlon=44.3468&amp;zoom=12#map=12/36.5052/44.3468","Maplink1")</f>
        <v>Maplink1</v>
      </c>
      <c r="AX1456" s="88" t="str">
        <f>HYPERLINK("https://www.google.iq/maps/search/+36.5052,44.3468/@36.5052,44.3468,14z?hl=en","Maplink2")</f>
        <v>Maplink2</v>
      </c>
      <c r="AY1456" s="88" t="str">
        <f>HYPERLINK("http://www.bing.com/maps/?lvl=14&amp;sty=h&amp;cp=36.5052~44.3468&amp;sp=point.36.5052_44.3468","Maplink3")</f>
        <v>Maplink3</v>
      </c>
      <c r="AZ1456" s="76"/>
    </row>
    <row r="1457" spans="1:52" x14ac:dyDescent="0.25">
      <c r="A1457" s="86">
        <v>24910</v>
      </c>
      <c r="B1457" s="87" t="s">
        <v>18</v>
      </c>
      <c r="C1457" s="87" t="s">
        <v>2842</v>
      </c>
      <c r="D1457" s="87" t="s">
        <v>2048</v>
      </c>
      <c r="E1457" s="87" t="s">
        <v>2049</v>
      </c>
      <c r="F1457" s="87">
        <v>36.508251100000003</v>
      </c>
      <c r="G1457" s="87">
        <v>44.344761900000002</v>
      </c>
      <c r="H1457" s="86">
        <v>5</v>
      </c>
      <c r="I1457" s="86">
        <v>30</v>
      </c>
      <c r="J1457" s="87">
        <v>2</v>
      </c>
      <c r="K1457" s="87"/>
      <c r="L1457" s="87"/>
      <c r="M1457" s="87"/>
      <c r="N1457" s="87"/>
      <c r="O1457" s="87"/>
      <c r="P1457" s="87"/>
      <c r="Q1457" s="87"/>
      <c r="R1457" s="87"/>
      <c r="S1457" s="87"/>
      <c r="T1457" s="87"/>
      <c r="U1457" s="87"/>
      <c r="V1457" s="87">
        <v>3</v>
      </c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>
        <v>5</v>
      </c>
      <c r="AI1457" s="87"/>
      <c r="AJ1457" s="87"/>
      <c r="AK1457" s="87"/>
      <c r="AL1457" s="87"/>
      <c r="AM1457" s="87"/>
      <c r="AN1457" s="87">
        <v>2</v>
      </c>
      <c r="AO1457" s="87"/>
      <c r="AP1457" s="87">
        <v>3</v>
      </c>
      <c r="AQ1457" s="87"/>
      <c r="AR1457" s="87"/>
      <c r="AS1457" s="87"/>
      <c r="AT1457" s="87"/>
      <c r="AU1457" s="87"/>
      <c r="AV1457" s="87"/>
      <c r="AW1457" s="88" t="str">
        <f>HYPERLINK("http://www.openstreetmap.org/?mlat=36.5083&amp;mlon=44.3448&amp;zoom=12#map=12/36.5083/44.3448","Maplink1")</f>
        <v>Maplink1</v>
      </c>
      <c r="AX1457" s="88" t="str">
        <f>HYPERLINK("https://www.google.iq/maps/search/+36.5083,44.3448/@36.5083,44.3448,14z?hl=en","Maplink2")</f>
        <v>Maplink2</v>
      </c>
      <c r="AY1457" s="88" t="str">
        <f>HYPERLINK("http://www.bing.com/maps/?lvl=14&amp;sty=h&amp;cp=36.5083~44.3448&amp;sp=point.36.5083_44.3448","Maplink3")</f>
        <v>Maplink3</v>
      </c>
      <c r="AZ1457" s="76"/>
    </row>
    <row r="1458" spans="1:52" x14ac:dyDescent="0.25">
      <c r="A1458" s="86">
        <v>23698</v>
      </c>
      <c r="B1458" s="87" t="s">
        <v>18</v>
      </c>
      <c r="C1458" s="87" t="s">
        <v>2842</v>
      </c>
      <c r="D1458" s="87" t="s">
        <v>2856</v>
      </c>
      <c r="E1458" s="87" t="s">
        <v>2857</v>
      </c>
      <c r="F1458" s="87">
        <v>36.401516399999998</v>
      </c>
      <c r="G1458" s="87">
        <v>44.345897399999998</v>
      </c>
      <c r="H1458" s="86">
        <v>72</v>
      </c>
      <c r="I1458" s="86">
        <v>432</v>
      </c>
      <c r="J1458" s="87">
        <v>35</v>
      </c>
      <c r="K1458" s="87"/>
      <c r="L1458" s="87"/>
      <c r="M1458" s="87"/>
      <c r="N1458" s="87"/>
      <c r="O1458" s="87">
        <v>2</v>
      </c>
      <c r="P1458" s="87"/>
      <c r="Q1458" s="87"/>
      <c r="R1458" s="87"/>
      <c r="S1458" s="87"/>
      <c r="T1458" s="87"/>
      <c r="U1458" s="87"/>
      <c r="V1458" s="87">
        <v>25</v>
      </c>
      <c r="W1458" s="87"/>
      <c r="X1458" s="87">
        <v>10</v>
      </c>
      <c r="Y1458" s="87"/>
      <c r="Z1458" s="87"/>
      <c r="AA1458" s="87"/>
      <c r="AB1458" s="87"/>
      <c r="AC1458" s="87"/>
      <c r="AD1458" s="87"/>
      <c r="AE1458" s="87"/>
      <c r="AF1458" s="87"/>
      <c r="AG1458" s="87"/>
      <c r="AH1458" s="87">
        <v>72</v>
      </c>
      <c r="AI1458" s="87"/>
      <c r="AJ1458" s="87"/>
      <c r="AK1458" s="87"/>
      <c r="AL1458" s="87"/>
      <c r="AM1458" s="87"/>
      <c r="AN1458" s="87">
        <v>12</v>
      </c>
      <c r="AO1458" s="87">
        <v>23</v>
      </c>
      <c r="AP1458" s="87"/>
      <c r="AQ1458" s="87"/>
      <c r="AR1458" s="87">
        <v>20</v>
      </c>
      <c r="AS1458" s="87">
        <v>5</v>
      </c>
      <c r="AT1458" s="87">
        <v>12</v>
      </c>
      <c r="AU1458" s="87"/>
      <c r="AV1458" s="87"/>
      <c r="AW1458" s="88" t="str">
        <f>HYPERLINK("http://www.openstreetmap.org/?mlat=36.4015&amp;mlon=44.3459&amp;zoom=12#map=12/36.4015/44.3459","Maplink1")</f>
        <v>Maplink1</v>
      </c>
      <c r="AX1458" s="88" t="str">
        <f>HYPERLINK("https://www.google.iq/maps/search/+36.4015,44.3459/@36.4015,44.3459,14z?hl=en","Maplink2")</f>
        <v>Maplink2</v>
      </c>
      <c r="AY1458" s="88" t="str">
        <f>HYPERLINK("http://www.bing.com/maps/?lvl=14&amp;sty=h&amp;cp=36.4015~44.3459&amp;sp=point.36.4015_44.3459","Maplink3")</f>
        <v>Maplink3</v>
      </c>
      <c r="AZ1458" s="76"/>
    </row>
    <row r="1459" spans="1:52" x14ac:dyDescent="0.25">
      <c r="A1459" s="86">
        <v>23741</v>
      </c>
      <c r="B1459" s="87" t="s">
        <v>18</v>
      </c>
      <c r="C1459" s="87" t="s">
        <v>2842</v>
      </c>
      <c r="D1459" s="87" t="s">
        <v>2858</v>
      </c>
      <c r="E1459" s="87" t="s">
        <v>2859</v>
      </c>
      <c r="F1459" s="87">
        <v>36.403567700000004</v>
      </c>
      <c r="G1459" s="87">
        <v>44.312621800000002</v>
      </c>
      <c r="H1459" s="86">
        <v>71</v>
      </c>
      <c r="I1459" s="86">
        <v>426</v>
      </c>
      <c r="J1459" s="87">
        <v>50</v>
      </c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>
        <v>13</v>
      </c>
      <c r="W1459" s="87"/>
      <c r="X1459" s="87">
        <v>8</v>
      </c>
      <c r="Y1459" s="87"/>
      <c r="Z1459" s="87"/>
      <c r="AA1459" s="87"/>
      <c r="AB1459" s="87"/>
      <c r="AC1459" s="87"/>
      <c r="AD1459" s="87">
        <v>4</v>
      </c>
      <c r="AE1459" s="87"/>
      <c r="AF1459" s="87"/>
      <c r="AG1459" s="87"/>
      <c r="AH1459" s="87">
        <v>67</v>
      </c>
      <c r="AI1459" s="87"/>
      <c r="AJ1459" s="87"/>
      <c r="AK1459" s="87"/>
      <c r="AL1459" s="87"/>
      <c r="AM1459" s="87"/>
      <c r="AN1459" s="87">
        <v>34</v>
      </c>
      <c r="AO1459" s="87">
        <v>8</v>
      </c>
      <c r="AP1459" s="87">
        <v>13</v>
      </c>
      <c r="AQ1459" s="87"/>
      <c r="AR1459" s="87">
        <v>6</v>
      </c>
      <c r="AS1459" s="87">
        <v>5</v>
      </c>
      <c r="AT1459" s="87"/>
      <c r="AU1459" s="87">
        <v>5</v>
      </c>
      <c r="AV1459" s="87"/>
      <c r="AW1459" s="88" t="str">
        <f>HYPERLINK("http://www.openstreetmap.org/?mlat=36.4036&amp;mlon=44.3126&amp;zoom=12#map=12/36.4036/44.3126","Maplink1")</f>
        <v>Maplink1</v>
      </c>
      <c r="AX1459" s="88" t="str">
        <f>HYPERLINK("https://www.google.iq/maps/search/+36.4036,44.3126/@36.4036,44.3126,14z?hl=en","Maplink2")</f>
        <v>Maplink2</v>
      </c>
      <c r="AY1459" s="88" t="str">
        <f>HYPERLINK("http://www.bing.com/maps/?lvl=14&amp;sty=h&amp;cp=36.4036~44.3126&amp;sp=point.36.4036_44.3126","Maplink3")</f>
        <v>Maplink3</v>
      </c>
      <c r="AZ1459" s="76"/>
    </row>
    <row r="1460" spans="1:52" x14ac:dyDescent="0.25">
      <c r="A1460" s="86">
        <v>12948</v>
      </c>
      <c r="B1460" s="87" t="s">
        <v>18</v>
      </c>
      <c r="C1460" s="87" t="s">
        <v>2842</v>
      </c>
      <c r="D1460" s="87" t="s">
        <v>2860</v>
      </c>
      <c r="E1460" s="87" t="s">
        <v>2861</v>
      </c>
      <c r="F1460" s="87">
        <v>36.4129364</v>
      </c>
      <c r="G1460" s="87">
        <v>44.302943298499997</v>
      </c>
      <c r="H1460" s="86">
        <v>72</v>
      </c>
      <c r="I1460" s="86">
        <v>432</v>
      </c>
      <c r="J1460" s="87">
        <v>40</v>
      </c>
      <c r="K1460" s="87"/>
      <c r="L1460" s="87"/>
      <c r="M1460" s="87"/>
      <c r="N1460" s="87"/>
      <c r="O1460" s="87">
        <v>5</v>
      </c>
      <c r="P1460" s="87"/>
      <c r="Q1460" s="87"/>
      <c r="R1460" s="87"/>
      <c r="S1460" s="87"/>
      <c r="T1460" s="87"/>
      <c r="U1460" s="87"/>
      <c r="V1460" s="87">
        <v>17</v>
      </c>
      <c r="W1460" s="87"/>
      <c r="X1460" s="87">
        <v>10</v>
      </c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>
        <v>72</v>
      </c>
      <c r="AI1460" s="87"/>
      <c r="AJ1460" s="87"/>
      <c r="AK1460" s="87"/>
      <c r="AL1460" s="87"/>
      <c r="AM1460" s="87"/>
      <c r="AN1460" s="87">
        <v>20</v>
      </c>
      <c r="AO1460" s="87">
        <v>10</v>
      </c>
      <c r="AP1460" s="87"/>
      <c r="AQ1460" s="87">
        <v>12</v>
      </c>
      <c r="AR1460" s="87">
        <v>5</v>
      </c>
      <c r="AS1460" s="87">
        <v>5</v>
      </c>
      <c r="AT1460" s="87">
        <v>15</v>
      </c>
      <c r="AU1460" s="87">
        <v>5</v>
      </c>
      <c r="AV1460" s="87"/>
      <c r="AW1460" s="88" t="str">
        <f>HYPERLINK("http://www.openstreetmap.org/?mlat=36.4129&amp;mlon=44.3029&amp;zoom=12#map=12/36.4129/44.3029","Maplink1")</f>
        <v>Maplink1</v>
      </c>
      <c r="AX1460" s="88" t="str">
        <f>HYPERLINK("https://www.google.iq/maps/search/+36.4129,44.3029/@36.4129,44.3029,14z?hl=en","Maplink2")</f>
        <v>Maplink2</v>
      </c>
      <c r="AY1460" s="88" t="str">
        <f>HYPERLINK("http://www.bing.com/maps/?lvl=14&amp;sty=h&amp;cp=36.4129~44.3029&amp;sp=point.36.4129_44.3029","Maplink3")</f>
        <v>Maplink3</v>
      </c>
      <c r="AZ1460" s="76"/>
    </row>
    <row r="1461" spans="1:52" x14ac:dyDescent="0.25">
      <c r="A1461" s="86">
        <v>23783</v>
      </c>
      <c r="B1461" s="87" t="s">
        <v>18</v>
      </c>
      <c r="C1461" s="87" t="s">
        <v>2842</v>
      </c>
      <c r="D1461" s="87" t="s">
        <v>2862</v>
      </c>
      <c r="E1461" s="87" t="s">
        <v>2863</v>
      </c>
      <c r="F1461" s="87">
        <v>36.410354099999999</v>
      </c>
      <c r="G1461" s="87">
        <v>44.316572600000001</v>
      </c>
      <c r="H1461" s="86">
        <v>39</v>
      </c>
      <c r="I1461" s="86">
        <v>234</v>
      </c>
      <c r="J1461" s="87">
        <v>14</v>
      </c>
      <c r="K1461" s="87"/>
      <c r="L1461" s="87">
        <v>8</v>
      </c>
      <c r="M1461" s="87"/>
      <c r="N1461" s="87"/>
      <c r="O1461" s="87"/>
      <c r="P1461" s="87"/>
      <c r="Q1461" s="87"/>
      <c r="R1461" s="87"/>
      <c r="S1461" s="87"/>
      <c r="T1461" s="87"/>
      <c r="U1461" s="87"/>
      <c r="V1461" s="87">
        <v>11</v>
      </c>
      <c r="W1461" s="87"/>
      <c r="X1461" s="87">
        <v>6</v>
      </c>
      <c r="Y1461" s="87"/>
      <c r="Z1461" s="87"/>
      <c r="AA1461" s="87"/>
      <c r="AB1461" s="87"/>
      <c r="AC1461" s="87"/>
      <c r="AD1461" s="87"/>
      <c r="AE1461" s="87"/>
      <c r="AF1461" s="87"/>
      <c r="AG1461" s="87"/>
      <c r="AH1461" s="87">
        <v>39</v>
      </c>
      <c r="AI1461" s="87"/>
      <c r="AJ1461" s="87"/>
      <c r="AK1461" s="87"/>
      <c r="AL1461" s="87"/>
      <c r="AM1461" s="87"/>
      <c r="AN1461" s="87">
        <v>4</v>
      </c>
      <c r="AO1461" s="87">
        <v>10</v>
      </c>
      <c r="AP1461" s="87"/>
      <c r="AQ1461" s="87">
        <v>8</v>
      </c>
      <c r="AR1461" s="87">
        <v>10</v>
      </c>
      <c r="AS1461" s="87"/>
      <c r="AT1461" s="87">
        <v>7</v>
      </c>
      <c r="AU1461" s="87"/>
      <c r="AV1461" s="87"/>
      <c r="AW1461" s="88" t="str">
        <f>HYPERLINK("http://www.openstreetmap.org/?mlat=36.4104&amp;mlon=44.3166&amp;zoom=12#map=12/36.4104/44.3166","Maplink1")</f>
        <v>Maplink1</v>
      </c>
      <c r="AX1461" s="88" t="str">
        <f>HYPERLINK("https://www.google.iq/maps/search/+36.4104,44.3166/@36.4104,44.3166,14z?hl=en","Maplink2")</f>
        <v>Maplink2</v>
      </c>
      <c r="AY1461" s="88" t="str">
        <f>HYPERLINK("http://www.bing.com/maps/?lvl=14&amp;sty=h&amp;cp=36.4104~44.3166&amp;sp=point.36.4104_44.3166","Maplink3")</f>
        <v>Maplink3</v>
      </c>
      <c r="AZ1461" s="76"/>
    </row>
    <row r="1462" spans="1:52" x14ac:dyDescent="0.25">
      <c r="A1462" s="86">
        <v>23784</v>
      </c>
      <c r="B1462" s="87" t="s">
        <v>18</v>
      </c>
      <c r="C1462" s="87" t="s">
        <v>2842</v>
      </c>
      <c r="D1462" s="87" t="s">
        <v>2864</v>
      </c>
      <c r="E1462" s="87" t="s">
        <v>2865</v>
      </c>
      <c r="F1462" s="87">
        <v>36.412110800000001</v>
      </c>
      <c r="G1462" s="87">
        <v>44.3102413473</v>
      </c>
      <c r="H1462" s="86">
        <v>45</v>
      </c>
      <c r="I1462" s="86">
        <v>270</v>
      </c>
      <c r="J1462" s="87">
        <v>27</v>
      </c>
      <c r="K1462" s="87"/>
      <c r="L1462" s="87">
        <v>3</v>
      </c>
      <c r="M1462" s="87"/>
      <c r="N1462" s="87"/>
      <c r="O1462" s="87"/>
      <c r="P1462" s="87"/>
      <c r="Q1462" s="87"/>
      <c r="R1462" s="87"/>
      <c r="S1462" s="87"/>
      <c r="T1462" s="87"/>
      <c r="U1462" s="87"/>
      <c r="V1462" s="87">
        <v>5</v>
      </c>
      <c r="W1462" s="87"/>
      <c r="X1462" s="87">
        <v>10</v>
      </c>
      <c r="Y1462" s="87"/>
      <c r="Z1462" s="87"/>
      <c r="AA1462" s="87"/>
      <c r="AB1462" s="87"/>
      <c r="AC1462" s="87"/>
      <c r="AD1462" s="87"/>
      <c r="AE1462" s="87"/>
      <c r="AF1462" s="87"/>
      <c r="AG1462" s="87"/>
      <c r="AH1462" s="87">
        <v>45</v>
      </c>
      <c r="AI1462" s="87"/>
      <c r="AJ1462" s="87"/>
      <c r="AK1462" s="87"/>
      <c r="AL1462" s="87"/>
      <c r="AM1462" s="87"/>
      <c r="AN1462" s="87">
        <v>10</v>
      </c>
      <c r="AO1462" s="87">
        <v>5</v>
      </c>
      <c r="AP1462" s="87">
        <v>9</v>
      </c>
      <c r="AQ1462" s="87">
        <v>3</v>
      </c>
      <c r="AR1462" s="87">
        <v>17</v>
      </c>
      <c r="AS1462" s="87">
        <v>1</v>
      </c>
      <c r="AT1462" s="87"/>
      <c r="AU1462" s="87"/>
      <c r="AV1462" s="87"/>
      <c r="AW1462" s="88" t="str">
        <f>HYPERLINK("http://www.openstreetmap.org/?mlat=36.4121&amp;mlon=44.3102&amp;zoom=12#map=12/36.4121/44.3102","Maplink1")</f>
        <v>Maplink1</v>
      </c>
      <c r="AX1462" s="88" t="str">
        <f>HYPERLINK("https://www.google.iq/maps/search/+36.4121,44.3102/@36.4121,44.3102,14z?hl=en","Maplink2")</f>
        <v>Maplink2</v>
      </c>
      <c r="AY1462" s="88" t="str">
        <f>HYPERLINK("http://www.bing.com/maps/?lvl=14&amp;sty=h&amp;cp=36.4121~44.3102&amp;sp=point.36.4121_44.3102","Maplink3")</f>
        <v>Maplink3</v>
      </c>
      <c r="AZ1462" s="76"/>
    </row>
    <row r="1463" spans="1:52" x14ac:dyDescent="0.25">
      <c r="A1463" s="86">
        <v>23742</v>
      </c>
      <c r="B1463" s="87" t="s">
        <v>18</v>
      </c>
      <c r="C1463" s="87" t="s">
        <v>2842</v>
      </c>
      <c r="D1463" s="87" t="s">
        <v>2866</v>
      </c>
      <c r="E1463" s="87" t="s">
        <v>2055</v>
      </c>
      <c r="F1463" s="87">
        <v>36.407565900000002</v>
      </c>
      <c r="G1463" s="87">
        <v>44.318609500000001</v>
      </c>
      <c r="H1463" s="86">
        <v>127</v>
      </c>
      <c r="I1463" s="86">
        <v>762</v>
      </c>
      <c r="J1463" s="87">
        <v>115</v>
      </c>
      <c r="K1463" s="87"/>
      <c r="L1463" s="87"/>
      <c r="M1463" s="87"/>
      <c r="N1463" s="87"/>
      <c r="O1463" s="87">
        <v>3</v>
      </c>
      <c r="P1463" s="87"/>
      <c r="Q1463" s="87"/>
      <c r="R1463" s="87"/>
      <c r="S1463" s="87"/>
      <c r="T1463" s="87"/>
      <c r="U1463" s="87"/>
      <c r="V1463" s="87">
        <v>5</v>
      </c>
      <c r="W1463" s="87"/>
      <c r="X1463" s="87">
        <v>4</v>
      </c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>
        <v>127</v>
      </c>
      <c r="AI1463" s="87"/>
      <c r="AJ1463" s="87"/>
      <c r="AK1463" s="87"/>
      <c r="AL1463" s="87"/>
      <c r="AM1463" s="87"/>
      <c r="AN1463" s="87">
        <v>67</v>
      </c>
      <c r="AO1463" s="87">
        <v>21</v>
      </c>
      <c r="AP1463" s="87">
        <v>6</v>
      </c>
      <c r="AQ1463" s="87"/>
      <c r="AR1463" s="87">
        <v>11</v>
      </c>
      <c r="AS1463" s="87">
        <v>17</v>
      </c>
      <c r="AT1463" s="87"/>
      <c r="AU1463" s="87">
        <v>5</v>
      </c>
      <c r="AV1463" s="87"/>
      <c r="AW1463" s="88" t="str">
        <f>HYPERLINK("http://www.openstreetmap.org/?mlat=36.4076&amp;mlon=44.3186&amp;zoom=12#map=12/36.4076/44.3186","Maplink1")</f>
        <v>Maplink1</v>
      </c>
      <c r="AX1463" s="88" t="str">
        <f>HYPERLINK("https://www.google.iq/maps/search/+36.4076,44.3186/@36.4076,44.3186,14z?hl=en","Maplink2")</f>
        <v>Maplink2</v>
      </c>
      <c r="AY1463" s="88" t="str">
        <f>HYPERLINK("http://www.bing.com/maps/?lvl=14&amp;sty=h&amp;cp=36.4076~44.3186&amp;sp=point.36.4076_44.3186","Maplink3")</f>
        <v>Maplink3</v>
      </c>
      <c r="AZ1463" s="76"/>
    </row>
    <row r="1464" spans="1:52" x14ac:dyDescent="0.25">
      <c r="A1464" s="86">
        <v>27144</v>
      </c>
      <c r="B1464" s="87" t="s">
        <v>18</v>
      </c>
      <c r="C1464" s="87" t="s">
        <v>2842</v>
      </c>
      <c r="D1464" s="87" t="s">
        <v>2784</v>
      </c>
      <c r="E1464" s="87" t="s">
        <v>2156</v>
      </c>
      <c r="F1464" s="87">
        <v>36.507026600000003</v>
      </c>
      <c r="G1464" s="87">
        <v>44.346004249499998</v>
      </c>
      <c r="H1464" s="86">
        <v>9</v>
      </c>
      <c r="I1464" s="86">
        <v>54</v>
      </c>
      <c r="J1464" s="87">
        <v>9</v>
      </c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>
        <v>9</v>
      </c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>
        <v>9</v>
      </c>
      <c r="AS1464" s="87"/>
      <c r="AT1464" s="87"/>
      <c r="AU1464" s="87"/>
      <c r="AV1464" s="87"/>
      <c r="AW1464" s="88" t="str">
        <f>HYPERLINK("http://www.openstreetmap.org/?mlat=36.507&amp;mlon=44.346&amp;zoom=12#map=12/36.507/44.346","Maplink1")</f>
        <v>Maplink1</v>
      </c>
      <c r="AX1464" s="88" t="str">
        <f>HYPERLINK("https://www.google.iq/maps/search/+36.507,44.346/@36.507,44.346,14z?hl=en","Maplink2")</f>
        <v>Maplink2</v>
      </c>
      <c r="AY1464" s="88" t="str">
        <f>HYPERLINK("http://www.bing.com/maps/?lvl=14&amp;sty=h&amp;cp=36.507~44.346&amp;sp=point.36.507_44.346","Maplink3")</f>
        <v>Maplink3</v>
      </c>
      <c r="AZ1464" s="76"/>
    </row>
    <row r="1465" spans="1:52" x14ac:dyDescent="0.25">
      <c r="A1465" s="86">
        <v>12957</v>
      </c>
      <c r="B1465" s="87" t="s">
        <v>18</v>
      </c>
      <c r="C1465" s="87" t="s">
        <v>2842</v>
      </c>
      <c r="D1465" s="87" t="s">
        <v>2867</v>
      </c>
      <c r="E1465" s="87" t="s">
        <v>2868</v>
      </c>
      <c r="F1465" s="87">
        <v>36.3829007</v>
      </c>
      <c r="G1465" s="87">
        <v>44.3770004</v>
      </c>
      <c r="H1465" s="86">
        <v>24</v>
      </c>
      <c r="I1465" s="86">
        <v>144</v>
      </c>
      <c r="J1465" s="87">
        <v>19</v>
      </c>
      <c r="K1465" s="87"/>
      <c r="L1465" s="87"/>
      <c r="M1465" s="87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>
        <v>5</v>
      </c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>
        <v>24</v>
      </c>
      <c r="AI1465" s="87"/>
      <c r="AJ1465" s="87"/>
      <c r="AK1465" s="87"/>
      <c r="AL1465" s="87"/>
      <c r="AM1465" s="87"/>
      <c r="AN1465" s="87">
        <v>14</v>
      </c>
      <c r="AO1465" s="87">
        <v>5</v>
      </c>
      <c r="AP1465" s="87"/>
      <c r="AQ1465" s="87"/>
      <c r="AR1465" s="87">
        <v>5</v>
      </c>
      <c r="AS1465" s="87"/>
      <c r="AT1465" s="87"/>
      <c r="AU1465" s="87"/>
      <c r="AV1465" s="87"/>
      <c r="AW1465" s="88" t="str">
        <f>HYPERLINK("http://www.openstreetmap.org/?mlat=36.3829&amp;mlon=44.377&amp;zoom=12#map=12/36.3829/44.377","Maplink1")</f>
        <v>Maplink1</v>
      </c>
      <c r="AX1465" s="88" t="str">
        <f>HYPERLINK("https://www.google.iq/maps/search/+36.3829,44.377/@36.3829,44.377,14z?hl=en","Maplink2")</f>
        <v>Maplink2</v>
      </c>
      <c r="AY1465" s="88" t="str">
        <f>HYPERLINK("http://www.bing.com/maps/?lvl=14&amp;sty=h&amp;cp=36.3829~44.377&amp;sp=point.36.3829_44.377","Maplink3")</f>
        <v>Maplink3</v>
      </c>
      <c r="AZ1465" s="76"/>
    </row>
    <row r="1466" spans="1:52" x14ac:dyDescent="0.25">
      <c r="A1466" s="86">
        <v>31780</v>
      </c>
      <c r="B1466" s="87" t="s">
        <v>18</v>
      </c>
      <c r="C1466" s="87" t="s">
        <v>2869</v>
      </c>
      <c r="D1466" s="87" t="s">
        <v>2870</v>
      </c>
      <c r="E1466" s="87" t="s">
        <v>2871</v>
      </c>
      <c r="F1466" s="87">
        <v>36.668103199999997</v>
      </c>
      <c r="G1466" s="87">
        <v>44.527397700000002</v>
      </c>
      <c r="H1466" s="86">
        <v>20</v>
      </c>
      <c r="I1466" s="86">
        <v>120</v>
      </c>
      <c r="J1466" s="87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>
        <v>20</v>
      </c>
      <c r="W1466" s="87"/>
      <c r="X1466" s="87"/>
      <c r="Y1466" s="87"/>
      <c r="Z1466" s="87"/>
      <c r="AA1466" s="87"/>
      <c r="AB1466" s="87"/>
      <c r="AC1466" s="87"/>
      <c r="AD1466" s="87"/>
      <c r="AE1466" s="87">
        <v>20</v>
      </c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>
        <v>20</v>
      </c>
      <c r="AQ1466" s="87"/>
      <c r="AR1466" s="87"/>
      <c r="AS1466" s="87"/>
      <c r="AT1466" s="87"/>
      <c r="AU1466" s="87"/>
      <c r="AV1466" s="87"/>
      <c r="AW1466" s="88" t="str">
        <f>HYPERLINK("http://www.openstreetmap.org/?mlat=36.6681&amp;mlon=44.5274&amp;zoom=12#map=12/36.6681/44.5274","Maplink1")</f>
        <v>Maplink1</v>
      </c>
      <c r="AX1466" s="88" t="str">
        <f>HYPERLINK("https://www.google.iq/maps/search/+36.6681,44.5274/@36.6681,44.5274,14z?hl=en","Maplink2")</f>
        <v>Maplink2</v>
      </c>
      <c r="AY1466" s="88" t="str">
        <f>HYPERLINK("http://www.bing.com/maps/?lvl=14&amp;sty=h&amp;cp=36.6681~44.5274&amp;sp=point.36.6681_44.5274","Maplink3")</f>
        <v>Maplink3</v>
      </c>
      <c r="AZ1466" s="76"/>
    </row>
    <row r="1467" spans="1:52" x14ac:dyDescent="0.25">
      <c r="A1467" s="86">
        <v>27218</v>
      </c>
      <c r="B1467" s="87" t="s">
        <v>18</v>
      </c>
      <c r="C1467" s="87" t="s">
        <v>2869</v>
      </c>
      <c r="D1467" s="87" t="s">
        <v>2872</v>
      </c>
      <c r="E1467" s="87" t="s">
        <v>2873</v>
      </c>
      <c r="F1467" s="87">
        <v>36.668116099999999</v>
      </c>
      <c r="G1467" s="87">
        <v>44.537010600000002</v>
      </c>
      <c r="H1467" s="86">
        <v>16</v>
      </c>
      <c r="I1467" s="86">
        <v>96</v>
      </c>
      <c r="J1467" s="87">
        <v>6</v>
      </c>
      <c r="K1467" s="87"/>
      <c r="L1467" s="87"/>
      <c r="M1467" s="87"/>
      <c r="N1467" s="87"/>
      <c r="O1467" s="87"/>
      <c r="P1467" s="87"/>
      <c r="Q1467" s="87"/>
      <c r="R1467" s="87"/>
      <c r="S1467" s="87"/>
      <c r="T1467" s="87"/>
      <c r="U1467" s="87"/>
      <c r="V1467" s="87">
        <v>10</v>
      </c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>
        <v>16</v>
      </c>
      <c r="AI1467" s="87"/>
      <c r="AJ1467" s="87"/>
      <c r="AK1467" s="87"/>
      <c r="AL1467" s="87"/>
      <c r="AM1467" s="87"/>
      <c r="AN1467" s="87">
        <v>7</v>
      </c>
      <c r="AO1467" s="87">
        <v>7</v>
      </c>
      <c r="AP1467" s="87"/>
      <c r="AQ1467" s="87"/>
      <c r="AR1467" s="87">
        <v>2</v>
      </c>
      <c r="AS1467" s="87"/>
      <c r="AT1467" s="87"/>
      <c r="AU1467" s="87"/>
      <c r="AV1467" s="87"/>
      <c r="AW1467" s="88" t="str">
        <f>HYPERLINK("http://www.openstreetmap.org/?mlat=36.6681&amp;mlon=44.537&amp;zoom=12#map=12/36.6681/44.537","Maplink1")</f>
        <v>Maplink1</v>
      </c>
      <c r="AX1467" s="88" t="str">
        <f>HYPERLINK("https://www.google.iq/maps/search/+36.6681,44.537/@36.6681,44.537,14z?hl=en","Maplink2")</f>
        <v>Maplink2</v>
      </c>
      <c r="AY1467" s="88" t="str">
        <f>HYPERLINK("http://www.bing.com/maps/?lvl=14&amp;sty=h&amp;cp=36.6681~44.537&amp;sp=point.36.6681_44.537","Maplink3")</f>
        <v>Maplink3</v>
      </c>
      <c r="AZ1467" s="76"/>
    </row>
    <row r="1468" spans="1:52" x14ac:dyDescent="0.25">
      <c r="A1468" s="86">
        <v>27200</v>
      </c>
      <c r="B1468" s="87" t="s">
        <v>18</v>
      </c>
      <c r="C1468" s="87" t="s">
        <v>2869</v>
      </c>
      <c r="D1468" s="87" t="s">
        <v>2874</v>
      </c>
      <c r="E1468" s="87" t="s">
        <v>2875</v>
      </c>
      <c r="F1468" s="87">
        <v>36.622165199999998</v>
      </c>
      <c r="G1468" s="87">
        <v>44.544727199999997</v>
      </c>
      <c r="H1468" s="86">
        <v>12</v>
      </c>
      <c r="I1468" s="86">
        <v>72</v>
      </c>
      <c r="J1468" s="87"/>
      <c r="K1468" s="87"/>
      <c r="L1468" s="87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>
        <v>12</v>
      </c>
      <c r="W1468" s="87"/>
      <c r="X1468" s="87"/>
      <c r="Y1468" s="87"/>
      <c r="Z1468" s="87"/>
      <c r="AA1468" s="87"/>
      <c r="AB1468" s="87"/>
      <c r="AC1468" s="87"/>
      <c r="AD1468" s="87"/>
      <c r="AE1468" s="87">
        <v>12</v>
      </c>
      <c r="AF1468" s="87"/>
      <c r="AG1468" s="87"/>
      <c r="AH1468" s="87"/>
      <c r="AI1468" s="87"/>
      <c r="AJ1468" s="87"/>
      <c r="AK1468" s="87"/>
      <c r="AL1468" s="87"/>
      <c r="AM1468" s="87"/>
      <c r="AN1468" s="87"/>
      <c r="AO1468" s="87"/>
      <c r="AP1468" s="87">
        <v>9</v>
      </c>
      <c r="AQ1468" s="87"/>
      <c r="AR1468" s="87"/>
      <c r="AS1468" s="87"/>
      <c r="AT1468" s="87">
        <v>3</v>
      </c>
      <c r="AU1468" s="87"/>
      <c r="AV1468" s="87"/>
      <c r="AW1468" s="88" t="str">
        <f>HYPERLINK("http://www.openstreetmap.org/?mlat=36.6222&amp;mlon=44.5447&amp;zoom=12#map=12/36.6222/44.5447","Maplink1")</f>
        <v>Maplink1</v>
      </c>
      <c r="AX1468" s="88" t="str">
        <f>HYPERLINK("https://www.google.iq/maps/search/+36.6222,44.5447/@36.6222,44.5447,14z?hl=en","Maplink2")</f>
        <v>Maplink2</v>
      </c>
      <c r="AY1468" s="88" t="str">
        <f>HYPERLINK("http://www.bing.com/maps/?lvl=14&amp;sty=h&amp;cp=36.6222~44.5447&amp;sp=point.36.6222_44.5447","Maplink3")</f>
        <v>Maplink3</v>
      </c>
      <c r="AZ1468" s="76"/>
    </row>
    <row r="1469" spans="1:52" x14ac:dyDescent="0.25">
      <c r="A1469" s="86">
        <v>27198</v>
      </c>
      <c r="B1469" s="87" t="s">
        <v>18</v>
      </c>
      <c r="C1469" s="87" t="s">
        <v>2869</v>
      </c>
      <c r="D1469" s="87" t="s">
        <v>2876</v>
      </c>
      <c r="E1469" s="87" t="s">
        <v>2877</v>
      </c>
      <c r="F1469" s="87">
        <v>36.591939500000002</v>
      </c>
      <c r="G1469" s="87">
        <v>44.386007599999999</v>
      </c>
      <c r="H1469" s="86">
        <v>11</v>
      </c>
      <c r="I1469" s="86">
        <v>66</v>
      </c>
      <c r="J1469" s="87">
        <v>2</v>
      </c>
      <c r="K1469" s="87"/>
      <c r="L1469" s="87">
        <v>1</v>
      </c>
      <c r="M1469" s="87"/>
      <c r="N1469" s="87"/>
      <c r="O1469" s="87"/>
      <c r="P1469" s="87"/>
      <c r="Q1469" s="87"/>
      <c r="R1469" s="87"/>
      <c r="S1469" s="87"/>
      <c r="T1469" s="87"/>
      <c r="U1469" s="87"/>
      <c r="V1469" s="87">
        <v>8</v>
      </c>
      <c r="W1469" s="87"/>
      <c r="X1469" s="87"/>
      <c r="Y1469" s="87"/>
      <c r="Z1469" s="87"/>
      <c r="AA1469" s="87"/>
      <c r="AB1469" s="87"/>
      <c r="AC1469" s="87"/>
      <c r="AD1469" s="87"/>
      <c r="AE1469" s="87"/>
      <c r="AF1469" s="87"/>
      <c r="AG1469" s="87"/>
      <c r="AH1469" s="87">
        <v>11</v>
      </c>
      <c r="AI1469" s="87"/>
      <c r="AJ1469" s="87"/>
      <c r="AK1469" s="87"/>
      <c r="AL1469" s="87"/>
      <c r="AM1469" s="87"/>
      <c r="AN1469" s="87">
        <v>2</v>
      </c>
      <c r="AO1469" s="87">
        <v>3</v>
      </c>
      <c r="AP1469" s="87"/>
      <c r="AQ1469" s="87">
        <v>1</v>
      </c>
      <c r="AR1469" s="87"/>
      <c r="AS1469" s="87"/>
      <c r="AT1469" s="87">
        <v>5</v>
      </c>
      <c r="AU1469" s="87"/>
      <c r="AV1469" s="87"/>
      <c r="AW1469" s="88" t="str">
        <f>HYPERLINK("http://www.openstreetmap.org/?mlat=36.5919&amp;mlon=44.386&amp;zoom=12#map=12/36.5919/44.386","Maplink1")</f>
        <v>Maplink1</v>
      </c>
      <c r="AX1469" s="88" t="str">
        <f>HYPERLINK("https://www.google.iq/maps/search/+36.5919,44.386/@36.5919,44.386,14z?hl=en","Maplink2")</f>
        <v>Maplink2</v>
      </c>
      <c r="AY1469" s="88" t="str">
        <f>HYPERLINK("http://www.bing.com/maps/?lvl=14&amp;sty=h&amp;cp=36.5919~44.386&amp;sp=point.36.5919_44.386","Maplink3")</f>
        <v>Maplink3</v>
      </c>
      <c r="AZ1469" s="76"/>
    </row>
    <row r="1470" spans="1:52" x14ac:dyDescent="0.25">
      <c r="A1470" s="86">
        <v>27199</v>
      </c>
      <c r="B1470" s="87" t="s">
        <v>18</v>
      </c>
      <c r="C1470" s="87" t="s">
        <v>2869</v>
      </c>
      <c r="D1470" s="87" t="s">
        <v>2878</v>
      </c>
      <c r="E1470" s="87" t="s">
        <v>2879</v>
      </c>
      <c r="F1470" s="87">
        <v>36.609369100000002</v>
      </c>
      <c r="G1470" s="87">
        <v>44.402715299999997</v>
      </c>
      <c r="H1470" s="86">
        <v>10</v>
      </c>
      <c r="I1470" s="86">
        <v>60</v>
      </c>
      <c r="J1470" s="87">
        <v>2</v>
      </c>
      <c r="K1470" s="87"/>
      <c r="L1470" s="87"/>
      <c r="M1470" s="87"/>
      <c r="N1470" s="87"/>
      <c r="O1470" s="87"/>
      <c r="P1470" s="87"/>
      <c r="Q1470" s="87"/>
      <c r="R1470" s="87"/>
      <c r="S1470" s="87"/>
      <c r="T1470" s="87"/>
      <c r="U1470" s="87"/>
      <c r="V1470" s="87">
        <v>8</v>
      </c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>
        <v>10</v>
      </c>
      <c r="AI1470" s="87"/>
      <c r="AJ1470" s="87"/>
      <c r="AK1470" s="87"/>
      <c r="AL1470" s="87"/>
      <c r="AM1470" s="87"/>
      <c r="AN1470" s="87"/>
      <c r="AO1470" s="87">
        <v>6</v>
      </c>
      <c r="AP1470" s="87"/>
      <c r="AQ1470" s="87"/>
      <c r="AR1470" s="87">
        <v>2</v>
      </c>
      <c r="AS1470" s="87"/>
      <c r="AT1470" s="87">
        <v>2</v>
      </c>
      <c r="AU1470" s="87"/>
      <c r="AV1470" s="87"/>
      <c r="AW1470" s="88" t="str">
        <f>HYPERLINK("http://www.openstreetmap.org/?mlat=36.6094&amp;mlon=44.4027&amp;zoom=12#map=12/36.6094/44.4027","Maplink1")</f>
        <v>Maplink1</v>
      </c>
      <c r="AX1470" s="88" t="str">
        <f>HYPERLINK("https://www.google.iq/maps/search/+36.6094,44.4027/@36.6094,44.4027,14z?hl=en","Maplink2")</f>
        <v>Maplink2</v>
      </c>
      <c r="AY1470" s="88" t="str">
        <f>HYPERLINK("http://www.bing.com/maps/?lvl=14&amp;sty=h&amp;cp=36.6094~44.4027&amp;sp=point.36.6094_44.4027","Maplink3")</f>
        <v>Maplink3</v>
      </c>
      <c r="AZ1470" s="76"/>
    </row>
    <row r="1471" spans="1:52" x14ac:dyDescent="0.25">
      <c r="A1471" s="86">
        <v>12277</v>
      </c>
      <c r="B1471" s="87" t="s">
        <v>18</v>
      </c>
      <c r="C1471" s="87" t="s">
        <v>2869</v>
      </c>
      <c r="D1471" s="87" t="s">
        <v>2880</v>
      </c>
      <c r="E1471" s="87" t="s">
        <v>2881</v>
      </c>
      <c r="F1471" s="87">
        <v>36.609845399999998</v>
      </c>
      <c r="G1471" s="87">
        <v>44.405622700000002</v>
      </c>
      <c r="H1471" s="86">
        <v>25</v>
      </c>
      <c r="I1471" s="86">
        <v>150</v>
      </c>
      <c r="J1471" s="87">
        <v>8</v>
      </c>
      <c r="K1471" s="87"/>
      <c r="L1471" s="87">
        <v>9</v>
      </c>
      <c r="M1471" s="87"/>
      <c r="N1471" s="87"/>
      <c r="O1471" s="87"/>
      <c r="P1471" s="87"/>
      <c r="Q1471" s="87"/>
      <c r="R1471" s="87"/>
      <c r="S1471" s="87"/>
      <c r="T1471" s="87"/>
      <c r="U1471" s="87"/>
      <c r="V1471" s="87">
        <v>8</v>
      </c>
      <c r="W1471" s="87"/>
      <c r="X1471" s="87"/>
      <c r="Y1471" s="87"/>
      <c r="Z1471" s="87"/>
      <c r="AA1471" s="87"/>
      <c r="AB1471" s="87"/>
      <c r="AC1471" s="87"/>
      <c r="AD1471" s="87"/>
      <c r="AE1471" s="87"/>
      <c r="AF1471" s="87"/>
      <c r="AG1471" s="87"/>
      <c r="AH1471" s="87">
        <v>25</v>
      </c>
      <c r="AI1471" s="87"/>
      <c r="AJ1471" s="87"/>
      <c r="AK1471" s="87"/>
      <c r="AL1471" s="87"/>
      <c r="AM1471" s="87"/>
      <c r="AN1471" s="87"/>
      <c r="AO1471" s="87">
        <v>8</v>
      </c>
      <c r="AP1471" s="87"/>
      <c r="AQ1471" s="87">
        <v>9</v>
      </c>
      <c r="AR1471" s="87">
        <v>8</v>
      </c>
      <c r="AS1471" s="87"/>
      <c r="AT1471" s="87"/>
      <c r="AU1471" s="87"/>
      <c r="AV1471" s="87"/>
      <c r="AW1471" s="88" t="str">
        <f>HYPERLINK("http://www.openstreetmap.org/?mlat=36.6098&amp;mlon=44.4056&amp;zoom=12#map=12/36.6098/44.4056","Maplink1")</f>
        <v>Maplink1</v>
      </c>
      <c r="AX1471" s="88" t="str">
        <f>HYPERLINK("https://www.google.iq/maps/search/+36.6098,44.4056/@36.6098,44.4056,14z?hl=en","Maplink2")</f>
        <v>Maplink2</v>
      </c>
      <c r="AY1471" s="88" t="str">
        <f>HYPERLINK("http://www.bing.com/maps/?lvl=14&amp;sty=h&amp;cp=36.6098~44.4056&amp;sp=point.36.6098_44.4056","Maplink3")</f>
        <v>Maplink3</v>
      </c>
      <c r="AZ1471" s="76"/>
    </row>
    <row r="1472" spans="1:52" x14ac:dyDescent="0.25">
      <c r="A1472" s="86">
        <v>12597</v>
      </c>
      <c r="B1472" s="87" t="s">
        <v>18</v>
      </c>
      <c r="C1472" s="87" t="s">
        <v>2869</v>
      </c>
      <c r="D1472" s="87" t="s">
        <v>2882</v>
      </c>
      <c r="E1472" s="87" t="s">
        <v>2883</v>
      </c>
      <c r="F1472" s="87">
        <v>36.614051340000003</v>
      </c>
      <c r="G1472" s="87">
        <v>44.526990900000001</v>
      </c>
      <c r="H1472" s="86">
        <v>40</v>
      </c>
      <c r="I1472" s="86">
        <v>240</v>
      </c>
      <c r="J1472" s="87">
        <v>10</v>
      </c>
      <c r="K1472" s="87"/>
      <c r="L1472" s="87"/>
      <c r="M1472" s="87"/>
      <c r="N1472" s="87"/>
      <c r="O1472" s="87"/>
      <c r="P1472" s="87"/>
      <c r="Q1472" s="87"/>
      <c r="R1472" s="87">
        <v>5</v>
      </c>
      <c r="S1472" s="87"/>
      <c r="T1472" s="87"/>
      <c r="U1472" s="87"/>
      <c r="V1472" s="87">
        <v>25</v>
      </c>
      <c r="W1472" s="87"/>
      <c r="X1472" s="87"/>
      <c r="Y1472" s="87"/>
      <c r="Z1472" s="87"/>
      <c r="AA1472" s="87"/>
      <c r="AB1472" s="87"/>
      <c r="AC1472" s="87">
        <v>10</v>
      </c>
      <c r="AD1472" s="87"/>
      <c r="AE1472" s="87"/>
      <c r="AF1472" s="87"/>
      <c r="AG1472" s="87"/>
      <c r="AH1472" s="87">
        <v>30</v>
      </c>
      <c r="AI1472" s="87"/>
      <c r="AJ1472" s="87"/>
      <c r="AK1472" s="87"/>
      <c r="AL1472" s="87"/>
      <c r="AM1472" s="87"/>
      <c r="AN1472" s="87">
        <v>6</v>
      </c>
      <c r="AO1472" s="87">
        <v>19</v>
      </c>
      <c r="AP1472" s="87"/>
      <c r="AQ1472" s="87"/>
      <c r="AR1472" s="87">
        <v>4</v>
      </c>
      <c r="AS1472" s="87"/>
      <c r="AT1472" s="87">
        <v>7</v>
      </c>
      <c r="AU1472" s="87">
        <v>4</v>
      </c>
      <c r="AV1472" s="87"/>
      <c r="AW1472" s="88" t="str">
        <f>HYPERLINK("http://www.openstreetmap.org/?mlat=36.6141&amp;mlon=44.527&amp;zoom=12#map=12/36.6141/44.527","Maplink1")</f>
        <v>Maplink1</v>
      </c>
      <c r="AX1472" s="88" t="str">
        <f>HYPERLINK("https://www.google.iq/maps/search/+36.6141,44.527/@36.6141,44.527,14z?hl=en","Maplink2")</f>
        <v>Maplink2</v>
      </c>
      <c r="AY1472" s="88" t="str">
        <f>HYPERLINK("http://www.bing.com/maps/?lvl=14&amp;sty=h&amp;cp=36.6141~44.527&amp;sp=point.36.6141_44.527","Maplink3")</f>
        <v>Maplink3</v>
      </c>
      <c r="AZ1472" s="76"/>
    </row>
    <row r="1473" spans="1:52" x14ac:dyDescent="0.25">
      <c r="A1473" s="86">
        <v>13141</v>
      </c>
      <c r="B1473" s="87" t="s">
        <v>18</v>
      </c>
      <c r="C1473" s="87" t="s">
        <v>2869</v>
      </c>
      <c r="D1473" s="87" t="s">
        <v>2884</v>
      </c>
      <c r="E1473" s="87" t="s">
        <v>2885</v>
      </c>
      <c r="F1473" s="87">
        <v>36.655291200000001</v>
      </c>
      <c r="G1473" s="87">
        <v>44.540664399999997</v>
      </c>
      <c r="H1473" s="86">
        <v>250</v>
      </c>
      <c r="I1473" s="86">
        <v>1500</v>
      </c>
      <c r="J1473" s="87">
        <v>220</v>
      </c>
      <c r="K1473" s="87"/>
      <c r="L1473" s="87"/>
      <c r="M1473" s="87"/>
      <c r="N1473" s="87"/>
      <c r="O1473" s="87"/>
      <c r="P1473" s="87"/>
      <c r="Q1473" s="87"/>
      <c r="R1473" s="87">
        <v>15</v>
      </c>
      <c r="S1473" s="87"/>
      <c r="T1473" s="87"/>
      <c r="U1473" s="87"/>
      <c r="V1473" s="87">
        <v>5</v>
      </c>
      <c r="W1473" s="87"/>
      <c r="X1473" s="87">
        <v>10</v>
      </c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>
        <v>250</v>
      </c>
      <c r="AI1473" s="87"/>
      <c r="AJ1473" s="87"/>
      <c r="AK1473" s="87"/>
      <c r="AL1473" s="87"/>
      <c r="AM1473" s="87"/>
      <c r="AN1473" s="87">
        <v>171</v>
      </c>
      <c r="AO1473" s="87">
        <v>8</v>
      </c>
      <c r="AP1473" s="87">
        <v>21</v>
      </c>
      <c r="AQ1473" s="87"/>
      <c r="AR1473" s="87">
        <v>35</v>
      </c>
      <c r="AS1473" s="87"/>
      <c r="AT1473" s="87"/>
      <c r="AU1473" s="87">
        <v>15</v>
      </c>
      <c r="AV1473" s="87"/>
      <c r="AW1473" s="88" t="str">
        <f>HYPERLINK("http://www.openstreetmap.org/?mlat=36.6553&amp;mlon=44.5407&amp;zoom=12#map=12/36.6553/44.5407","Maplink1")</f>
        <v>Maplink1</v>
      </c>
      <c r="AX1473" s="88" t="str">
        <f>HYPERLINK("https://www.google.iq/maps/search/+36.6553,44.5407/@36.6553,44.5407,14z?hl=en","Maplink2")</f>
        <v>Maplink2</v>
      </c>
      <c r="AY1473" s="88" t="str">
        <f>HYPERLINK("http://www.bing.com/maps/?lvl=14&amp;sty=h&amp;cp=36.6553~44.5407&amp;sp=point.36.6553_44.5407","Maplink3")</f>
        <v>Maplink3</v>
      </c>
      <c r="AZ1473" s="76"/>
    </row>
    <row r="1474" spans="1:52" x14ac:dyDescent="0.25">
      <c r="A1474" s="86">
        <v>27203</v>
      </c>
      <c r="B1474" s="87" t="s">
        <v>18</v>
      </c>
      <c r="C1474" s="87" t="s">
        <v>2869</v>
      </c>
      <c r="D1474" s="87" t="s">
        <v>2886</v>
      </c>
      <c r="E1474" s="87" t="s">
        <v>2887</v>
      </c>
      <c r="F1474" s="87">
        <v>36.660703900000001</v>
      </c>
      <c r="G1474" s="87">
        <v>44.544034799999999</v>
      </c>
      <c r="H1474" s="86">
        <v>8</v>
      </c>
      <c r="I1474" s="86">
        <v>48</v>
      </c>
      <c r="J1474" s="87">
        <v>4</v>
      </c>
      <c r="K1474" s="87"/>
      <c r="L1474" s="87"/>
      <c r="M1474" s="87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  <c r="X1474" s="87">
        <v>4</v>
      </c>
      <c r="Y1474" s="87"/>
      <c r="Z1474" s="87"/>
      <c r="AA1474" s="87"/>
      <c r="AB1474" s="87"/>
      <c r="AC1474" s="87"/>
      <c r="AD1474" s="87"/>
      <c r="AE1474" s="87"/>
      <c r="AF1474" s="87"/>
      <c r="AG1474" s="87"/>
      <c r="AH1474" s="87">
        <v>8</v>
      </c>
      <c r="AI1474" s="87"/>
      <c r="AJ1474" s="87"/>
      <c r="AK1474" s="87"/>
      <c r="AL1474" s="87"/>
      <c r="AM1474" s="87"/>
      <c r="AN1474" s="87">
        <v>4</v>
      </c>
      <c r="AO1474" s="87">
        <v>4</v>
      </c>
      <c r="AP1474" s="87"/>
      <c r="AQ1474" s="87"/>
      <c r="AR1474" s="87"/>
      <c r="AS1474" s="87"/>
      <c r="AT1474" s="87"/>
      <c r="AU1474" s="87"/>
      <c r="AV1474" s="87"/>
      <c r="AW1474" s="88" t="str">
        <f>HYPERLINK("http://www.openstreetmap.org/?mlat=36.6607&amp;mlon=44.544&amp;zoom=12#map=12/36.6607/44.544","Maplink1")</f>
        <v>Maplink1</v>
      </c>
      <c r="AX1474" s="88" t="str">
        <f>HYPERLINK("https://www.google.iq/maps/search/+36.6607,44.544/@36.6607,44.544,14z?hl=en","Maplink2")</f>
        <v>Maplink2</v>
      </c>
      <c r="AY1474" s="88" t="str">
        <f>HYPERLINK("http://www.bing.com/maps/?lvl=14&amp;sty=h&amp;cp=36.6607~44.544&amp;sp=point.36.6607_44.544","Maplink3")</f>
        <v>Maplink3</v>
      </c>
      <c r="AZ1474" s="76"/>
    </row>
    <row r="1475" spans="1:52" x14ac:dyDescent="0.25">
      <c r="A1475" s="86">
        <v>27204</v>
      </c>
      <c r="B1475" s="87" t="s">
        <v>18</v>
      </c>
      <c r="C1475" s="87" t="s">
        <v>2869</v>
      </c>
      <c r="D1475" s="87" t="s">
        <v>2888</v>
      </c>
      <c r="E1475" s="87" t="s">
        <v>2889</v>
      </c>
      <c r="F1475" s="87">
        <v>36.646485200000001</v>
      </c>
      <c r="G1475" s="87">
        <v>44.542495299999999</v>
      </c>
      <c r="H1475" s="86">
        <v>12</v>
      </c>
      <c r="I1475" s="86">
        <v>72</v>
      </c>
      <c r="J1475" s="87">
        <v>6</v>
      </c>
      <c r="K1475" s="87"/>
      <c r="L1475" s="87"/>
      <c r="M1475" s="87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  <c r="X1475" s="87">
        <v>6</v>
      </c>
      <c r="Y1475" s="87"/>
      <c r="Z1475" s="87"/>
      <c r="AA1475" s="87"/>
      <c r="AB1475" s="87"/>
      <c r="AC1475" s="87"/>
      <c r="AD1475" s="87"/>
      <c r="AE1475" s="87"/>
      <c r="AF1475" s="87"/>
      <c r="AG1475" s="87"/>
      <c r="AH1475" s="87">
        <v>12</v>
      </c>
      <c r="AI1475" s="87"/>
      <c r="AJ1475" s="87"/>
      <c r="AK1475" s="87"/>
      <c r="AL1475" s="87"/>
      <c r="AM1475" s="87"/>
      <c r="AN1475" s="87">
        <v>3</v>
      </c>
      <c r="AO1475" s="87">
        <v>6</v>
      </c>
      <c r="AP1475" s="87"/>
      <c r="AQ1475" s="87"/>
      <c r="AR1475" s="87">
        <v>3</v>
      </c>
      <c r="AS1475" s="87"/>
      <c r="AT1475" s="87"/>
      <c r="AU1475" s="87"/>
      <c r="AV1475" s="87"/>
      <c r="AW1475" s="88" t="str">
        <f>HYPERLINK("http://www.openstreetmap.org/?mlat=36.6465&amp;mlon=44.5425&amp;zoom=12#map=12/36.6465/44.5425","Maplink1")</f>
        <v>Maplink1</v>
      </c>
      <c r="AX1475" s="88" t="str">
        <f>HYPERLINK("https://www.google.iq/maps/search/+36.6465,44.5425/@36.6465,44.5425,14z?hl=en","Maplink2")</f>
        <v>Maplink2</v>
      </c>
      <c r="AY1475" s="88" t="str">
        <f>HYPERLINK("http://www.bing.com/maps/?lvl=14&amp;sty=h&amp;cp=36.6465~44.5425&amp;sp=point.36.6465_44.5425","Maplink3")</f>
        <v>Maplink3</v>
      </c>
      <c r="AZ1475" s="76"/>
    </row>
    <row r="1476" spans="1:52" x14ac:dyDescent="0.25">
      <c r="A1476" s="86">
        <v>27202</v>
      </c>
      <c r="B1476" s="87" t="s">
        <v>18</v>
      </c>
      <c r="C1476" s="87" t="s">
        <v>2869</v>
      </c>
      <c r="D1476" s="87" t="s">
        <v>2890</v>
      </c>
      <c r="E1476" s="87" t="s">
        <v>2891</v>
      </c>
      <c r="F1476" s="87">
        <v>36.660537900000001</v>
      </c>
      <c r="G1476" s="87">
        <v>44.5424547</v>
      </c>
      <c r="H1476" s="86">
        <v>8</v>
      </c>
      <c r="I1476" s="86">
        <v>48</v>
      </c>
      <c r="J1476" s="87">
        <v>6</v>
      </c>
      <c r="K1476" s="87"/>
      <c r="L1476" s="87"/>
      <c r="M1476" s="87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  <c r="X1476" s="87">
        <v>2</v>
      </c>
      <c r="Y1476" s="87"/>
      <c r="Z1476" s="87"/>
      <c r="AA1476" s="87"/>
      <c r="AB1476" s="87"/>
      <c r="AC1476" s="87"/>
      <c r="AD1476" s="87"/>
      <c r="AE1476" s="87"/>
      <c r="AF1476" s="87"/>
      <c r="AG1476" s="87"/>
      <c r="AH1476" s="87">
        <v>8</v>
      </c>
      <c r="AI1476" s="87"/>
      <c r="AJ1476" s="87"/>
      <c r="AK1476" s="87"/>
      <c r="AL1476" s="87"/>
      <c r="AM1476" s="87"/>
      <c r="AN1476" s="87">
        <v>6</v>
      </c>
      <c r="AO1476" s="87">
        <v>2</v>
      </c>
      <c r="AP1476" s="87"/>
      <c r="AQ1476" s="87"/>
      <c r="AR1476" s="87"/>
      <c r="AS1476" s="87"/>
      <c r="AT1476" s="87"/>
      <c r="AU1476" s="87"/>
      <c r="AV1476" s="87"/>
      <c r="AW1476" s="88" t="str">
        <f>HYPERLINK("http://www.openstreetmap.org/?mlat=36.6605&amp;mlon=44.5425&amp;zoom=12#map=12/36.6605/44.5425","Maplink1")</f>
        <v>Maplink1</v>
      </c>
      <c r="AX1476" s="88" t="str">
        <f>HYPERLINK("https://www.google.iq/maps/search/+36.6605,44.5425/@36.6605,44.5425,14z?hl=en","Maplink2")</f>
        <v>Maplink2</v>
      </c>
      <c r="AY1476" s="88" t="str">
        <f>HYPERLINK("http://www.bing.com/maps/?lvl=14&amp;sty=h&amp;cp=36.6605~44.5425&amp;sp=point.36.6605_44.5425","Maplink3")</f>
        <v>Maplink3</v>
      </c>
      <c r="AZ1476" s="76"/>
    </row>
    <row r="1477" spans="1:52" x14ac:dyDescent="0.25">
      <c r="A1477" s="86">
        <v>23744</v>
      </c>
      <c r="B1477" s="87" t="s">
        <v>19</v>
      </c>
      <c r="C1477" s="87" t="s">
        <v>2892</v>
      </c>
      <c r="D1477" s="87" t="s">
        <v>2893</v>
      </c>
      <c r="E1477" s="87" t="s">
        <v>2894</v>
      </c>
      <c r="F1477" s="87">
        <v>32.5710818596</v>
      </c>
      <c r="G1477" s="87">
        <v>43.479467700000001</v>
      </c>
      <c r="H1477" s="86">
        <v>12</v>
      </c>
      <c r="I1477" s="86">
        <v>72</v>
      </c>
      <c r="J1477" s="87">
        <v>12</v>
      </c>
      <c r="K1477" s="87"/>
      <c r="L1477" s="87"/>
      <c r="M1477" s="87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87"/>
      <c r="AE1477" s="87"/>
      <c r="AF1477" s="87"/>
      <c r="AG1477" s="87"/>
      <c r="AH1477" s="87"/>
      <c r="AI1477" s="87">
        <v>12</v>
      </c>
      <c r="AJ1477" s="87"/>
      <c r="AK1477" s="87"/>
      <c r="AL1477" s="87"/>
      <c r="AM1477" s="87"/>
      <c r="AN1477" s="87">
        <v>12</v>
      </c>
      <c r="AO1477" s="87"/>
      <c r="AP1477" s="87"/>
      <c r="AQ1477" s="87"/>
      <c r="AR1477" s="87"/>
      <c r="AS1477" s="87"/>
      <c r="AT1477" s="87"/>
      <c r="AU1477" s="87"/>
      <c r="AV1477" s="87"/>
      <c r="AW1477" s="88" t="str">
        <f>HYPERLINK("http://www.openstreetmap.org/?mlat=32.5711&amp;mlon=43.4795&amp;zoom=12#map=12/32.5711/43.4795","Maplink1")</f>
        <v>Maplink1</v>
      </c>
      <c r="AX1477" s="88" t="str">
        <f>HYPERLINK("https://www.google.iq/maps/search/+32.5711,43.4795/@32.5711,43.4795,14z?hl=en","Maplink2")</f>
        <v>Maplink2</v>
      </c>
      <c r="AY1477" s="88" t="str">
        <f>HYPERLINK("http://www.bing.com/maps/?lvl=14&amp;sty=h&amp;cp=32.5711~43.4795&amp;sp=point.32.5711_43.4795","Maplink3")</f>
        <v>Maplink3</v>
      </c>
      <c r="AZ1477" s="76"/>
    </row>
    <row r="1478" spans="1:52" x14ac:dyDescent="0.25">
      <c r="A1478" s="86">
        <v>23706</v>
      </c>
      <c r="B1478" s="87" t="s">
        <v>19</v>
      </c>
      <c r="C1478" s="87" t="s">
        <v>2892</v>
      </c>
      <c r="D1478" s="87" t="s">
        <v>2895</v>
      </c>
      <c r="E1478" s="87" t="s">
        <v>2896</v>
      </c>
      <c r="F1478" s="87">
        <v>32.475938803699997</v>
      </c>
      <c r="G1478" s="87">
        <v>43.731798900000001</v>
      </c>
      <c r="H1478" s="86">
        <v>11</v>
      </c>
      <c r="I1478" s="86">
        <v>66</v>
      </c>
      <c r="J1478" s="87">
        <v>11</v>
      </c>
      <c r="K1478" s="87"/>
      <c r="L1478" s="87"/>
      <c r="M1478" s="87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>
        <v>10</v>
      </c>
      <c r="AD1478" s="87"/>
      <c r="AE1478" s="87"/>
      <c r="AF1478" s="87"/>
      <c r="AG1478" s="87"/>
      <c r="AH1478" s="87">
        <v>1</v>
      </c>
      <c r="AI1478" s="87"/>
      <c r="AJ1478" s="87"/>
      <c r="AK1478" s="87"/>
      <c r="AL1478" s="87"/>
      <c r="AM1478" s="87"/>
      <c r="AN1478" s="87">
        <v>11</v>
      </c>
      <c r="AO1478" s="87"/>
      <c r="AP1478" s="87"/>
      <c r="AQ1478" s="87"/>
      <c r="AR1478" s="87"/>
      <c r="AS1478" s="87"/>
      <c r="AT1478" s="87"/>
      <c r="AU1478" s="87"/>
      <c r="AV1478" s="87"/>
      <c r="AW1478" s="88" t="str">
        <f>HYPERLINK("http://www.openstreetmap.org/?mlat=32.4759&amp;mlon=43.7318&amp;zoom=12#map=12/32.4759/43.7318","Maplink1")</f>
        <v>Maplink1</v>
      </c>
      <c r="AX1478" s="88" t="str">
        <f>HYPERLINK("https://www.google.iq/maps/search/+32.4759,43.7318/@32.4759,43.7318,14z?hl=en","Maplink2")</f>
        <v>Maplink2</v>
      </c>
      <c r="AY1478" s="88" t="str">
        <f>HYPERLINK("http://www.bing.com/maps/?lvl=14&amp;sty=h&amp;cp=32.4759~43.7318&amp;sp=point.32.4759_43.7318","Maplink3")</f>
        <v>Maplink3</v>
      </c>
      <c r="AZ1478" s="76"/>
    </row>
    <row r="1479" spans="1:52" x14ac:dyDescent="0.25">
      <c r="A1479" s="86">
        <v>13994</v>
      </c>
      <c r="B1479" s="87" t="s">
        <v>19</v>
      </c>
      <c r="C1479" s="87" t="s">
        <v>2892</v>
      </c>
      <c r="D1479" s="87" t="s">
        <v>2897</v>
      </c>
      <c r="E1479" s="87" t="s">
        <v>2898</v>
      </c>
      <c r="F1479" s="87">
        <v>32.565635202700001</v>
      </c>
      <c r="G1479" s="87">
        <v>43.489921299999999</v>
      </c>
      <c r="H1479" s="86">
        <v>9</v>
      </c>
      <c r="I1479" s="86">
        <v>54</v>
      </c>
      <c r="J1479" s="87">
        <v>5</v>
      </c>
      <c r="K1479" s="87">
        <v>2</v>
      </c>
      <c r="L1479" s="87"/>
      <c r="M1479" s="87"/>
      <c r="N1479" s="87"/>
      <c r="O1479" s="87"/>
      <c r="P1479" s="87"/>
      <c r="Q1479" s="87"/>
      <c r="R1479" s="87"/>
      <c r="S1479" s="87"/>
      <c r="T1479" s="87"/>
      <c r="U1479" s="87"/>
      <c r="V1479" s="87">
        <v>2</v>
      </c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>
        <v>9</v>
      </c>
      <c r="AI1479" s="87"/>
      <c r="AJ1479" s="87"/>
      <c r="AK1479" s="87"/>
      <c r="AL1479" s="87"/>
      <c r="AM1479" s="87"/>
      <c r="AN1479" s="87">
        <v>7</v>
      </c>
      <c r="AO1479" s="87">
        <v>2</v>
      </c>
      <c r="AP1479" s="87"/>
      <c r="AQ1479" s="87"/>
      <c r="AR1479" s="87"/>
      <c r="AS1479" s="87"/>
      <c r="AT1479" s="87"/>
      <c r="AU1479" s="87"/>
      <c r="AV1479" s="87"/>
      <c r="AW1479" s="88" t="str">
        <f>HYPERLINK("http://www.openstreetmap.org/?mlat=32.5656&amp;mlon=43.4899&amp;zoom=12#map=12/32.5656/43.4899","Maplink1")</f>
        <v>Maplink1</v>
      </c>
      <c r="AX1479" s="88" t="str">
        <f>HYPERLINK("https://www.google.iq/maps/search/+32.5656,43.4899/@32.5656,43.4899,14z?hl=en","Maplink2")</f>
        <v>Maplink2</v>
      </c>
      <c r="AY1479" s="88" t="str">
        <f>HYPERLINK("http://www.bing.com/maps/?lvl=14&amp;sty=h&amp;cp=32.5656~43.4899&amp;sp=point.32.5656_43.4899","Maplink3")</f>
        <v>Maplink3</v>
      </c>
      <c r="AZ1479" s="76"/>
    </row>
    <row r="1480" spans="1:52" x14ac:dyDescent="0.25">
      <c r="A1480" s="86">
        <v>23938</v>
      </c>
      <c r="B1480" s="87" t="s">
        <v>19</v>
      </c>
      <c r="C1480" s="87" t="s">
        <v>2892</v>
      </c>
      <c r="D1480" s="87" t="s">
        <v>209</v>
      </c>
      <c r="E1480" s="87" t="s">
        <v>2899</v>
      </c>
      <c r="F1480" s="87">
        <v>32.570539610499999</v>
      </c>
      <c r="G1480" s="87">
        <v>43.485505500000002</v>
      </c>
      <c r="H1480" s="86">
        <v>5</v>
      </c>
      <c r="I1480" s="86">
        <v>30</v>
      </c>
      <c r="J1480" s="87">
        <v>5</v>
      </c>
      <c r="K1480" s="87"/>
      <c r="L1480" s="87"/>
      <c r="M1480" s="87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>
        <v>5</v>
      </c>
      <c r="AI1480" s="87"/>
      <c r="AJ1480" s="87"/>
      <c r="AK1480" s="87"/>
      <c r="AL1480" s="87"/>
      <c r="AM1480" s="87"/>
      <c r="AN1480" s="87">
        <v>5</v>
      </c>
      <c r="AO1480" s="87"/>
      <c r="AP1480" s="87"/>
      <c r="AQ1480" s="87"/>
      <c r="AR1480" s="87"/>
      <c r="AS1480" s="87"/>
      <c r="AT1480" s="87"/>
      <c r="AU1480" s="87"/>
      <c r="AV1480" s="87"/>
      <c r="AW1480" s="88" t="str">
        <f>HYPERLINK("http://www.openstreetmap.org/?mlat=32.5705&amp;mlon=43.4855&amp;zoom=12#map=12/32.5705/43.4855","Maplink1")</f>
        <v>Maplink1</v>
      </c>
      <c r="AX1480" s="88" t="str">
        <f>HYPERLINK("https://www.google.iq/maps/search/+32.5705,43.4855/@32.5705,43.4855,14z?hl=en","Maplink2")</f>
        <v>Maplink2</v>
      </c>
      <c r="AY1480" s="88" t="str">
        <f>HYPERLINK("http://www.bing.com/maps/?lvl=14&amp;sty=h&amp;cp=32.5705~43.4855&amp;sp=point.32.5705_43.4855","Maplink3")</f>
        <v>Maplink3</v>
      </c>
      <c r="AZ1480" s="76"/>
    </row>
    <row r="1481" spans="1:52" x14ac:dyDescent="0.25">
      <c r="A1481" s="86">
        <v>32057</v>
      </c>
      <c r="B1481" s="87" t="s">
        <v>19</v>
      </c>
      <c r="C1481" s="87" t="s">
        <v>2900</v>
      </c>
      <c r="D1481" s="87" t="s">
        <v>2901</v>
      </c>
      <c r="E1481" s="87" t="s">
        <v>2902</v>
      </c>
      <c r="F1481" s="87">
        <v>32.546205226700003</v>
      </c>
      <c r="G1481" s="87">
        <v>44.089235929099999</v>
      </c>
      <c r="H1481" s="86">
        <v>70</v>
      </c>
      <c r="I1481" s="86">
        <v>420</v>
      </c>
      <c r="J1481" s="87"/>
      <c r="K1481" s="87"/>
      <c r="L1481" s="87"/>
      <c r="M1481" s="87"/>
      <c r="N1481" s="87"/>
      <c r="O1481" s="87"/>
      <c r="P1481" s="87"/>
      <c r="Q1481" s="87"/>
      <c r="R1481" s="87"/>
      <c r="S1481" s="87"/>
      <c r="T1481" s="87"/>
      <c r="U1481" s="87"/>
      <c r="V1481" s="87">
        <v>70</v>
      </c>
      <c r="W1481" s="87"/>
      <c r="X1481" s="87"/>
      <c r="Y1481" s="87"/>
      <c r="Z1481" s="87"/>
      <c r="AA1481" s="87"/>
      <c r="AB1481" s="87">
        <v>70</v>
      </c>
      <c r="AC1481" s="87"/>
      <c r="AD1481" s="87"/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7">
        <v>70</v>
      </c>
      <c r="AP1481" s="87"/>
      <c r="AQ1481" s="87"/>
      <c r="AR1481" s="87"/>
      <c r="AS1481" s="87"/>
      <c r="AT1481" s="87"/>
      <c r="AU1481" s="87"/>
      <c r="AV1481" s="87"/>
      <c r="AW1481" s="88" t="str">
        <f>HYPERLINK("http://www.openstreetmap.org/?mlat=32.5462&amp;mlon=44.0892&amp;zoom=12#map=12/32.5462/44.0892","Maplink1")</f>
        <v>Maplink1</v>
      </c>
      <c r="AX1481" s="88" t="str">
        <f>HYPERLINK("https://www.google.iq/maps/search/+32.5462,44.0892/@32.5462,44.0892,14z?hl=en","Maplink2")</f>
        <v>Maplink2</v>
      </c>
      <c r="AY1481" s="88" t="str">
        <f>HYPERLINK("http://www.bing.com/maps/?lvl=14&amp;sty=h&amp;cp=32.5462~44.0892&amp;sp=point.32.5462_44.0892","Maplink3")</f>
        <v>Maplink3</v>
      </c>
      <c r="AZ1481" s="76"/>
    </row>
    <row r="1482" spans="1:52" x14ac:dyDescent="0.25">
      <c r="A1482" s="86">
        <v>27336</v>
      </c>
      <c r="B1482" s="87" t="s">
        <v>19</v>
      </c>
      <c r="C1482" s="87" t="s">
        <v>2900</v>
      </c>
      <c r="D1482" s="87" t="s">
        <v>2903</v>
      </c>
      <c r="E1482" s="87" t="s">
        <v>2904</v>
      </c>
      <c r="F1482" s="87">
        <v>32.4988482702</v>
      </c>
      <c r="G1482" s="87">
        <v>44.129949377300001</v>
      </c>
      <c r="H1482" s="86">
        <v>2</v>
      </c>
      <c r="I1482" s="86">
        <v>12</v>
      </c>
      <c r="J1482" s="87"/>
      <c r="K1482" s="87"/>
      <c r="L1482" s="87"/>
      <c r="M1482" s="87"/>
      <c r="N1482" s="87"/>
      <c r="O1482" s="87"/>
      <c r="P1482" s="87"/>
      <c r="Q1482" s="87"/>
      <c r="R1482" s="87"/>
      <c r="S1482" s="87"/>
      <c r="T1482" s="87"/>
      <c r="U1482" s="87"/>
      <c r="V1482" s="87">
        <v>2</v>
      </c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>
        <v>2</v>
      </c>
      <c r="AH1482" s="87"/>
      <c r="AI1482" s="87"/>
      <c r="AJ1482" s="87"/>
      <c r="AK1482" s="87"/>
      <c r="AL1482" s="87"/>
      <c r="AM1482" s="87"/>
      <c r="AN1482" s="87"/>
      <c r="AO1482" s="87">
        <v>2</v>
      </c>
      <c r="AP1482" s="87"/>
      <c r="AQ1482" s="87"/>
      <c r="AR1482" s="87"/>
      <c r="AS1482" s="87"/>
      <c r="AT1482" s="87"/>
      <c r="AU1482" s="87"/>
      <c r="AV1482" s="87"/>
      <c r="AW1482" s="88" t="str">
        <f>HYPERLINK("http://www.openstreetmap.org/?mlat=32.4988&amp;mlon=44.1299&amp;zoom=12#map=12/32.4988/44.1299","Maplink1")</f>
        <v>Maplink1</v>
      </c>
      <c r="AX1482" s="88" t="str">
        <f>HYPERLINK("https://www.google.iq/maps/search/+32.4988,44.1299/@32.4988,44.1299,14z?hl=en","Maplink2")</f>
        <v>Maplink2</v>
      </c>
      <c r="AY1482" s="88" t="str">
        <f>HYPERLINK("http://www.bing.com/maps/?lvl=14&amp;sty=h&amp;cp=32.4988~44.1299&amp;sp=point.32.4988_44.1299","Maplink3")</f>
        <v>Maplink3</v>
      </c>
      <c r="AZ1482" s="76"/>
    </row>
    <row r="1483" spans="1:52" x14ac:dyDescent="0.25">
      <c r="A1483" s="86">
        <v>24198</v>
      </c>
      <c r="B1483" s="87" t="s">
        <v>19</v>
      </c>
      <c r="C1483" s="87" t="s">
        <v>2900</v>
      </c>
      <c r="D1483" s="87" t="s">
        <v>2905</v>
      </c>
      <c r="E1483" s="87" t="s">
        <v>2906</v>
      </c>
      <c r="F1483" s="87">
        <v>32.555113314899998</v>
      </c>
      <c r="G1483" s="87">
        <v>44.223213121500002</v>
      </c>
      <c r="H1483" s="86">
        <v>11</v>
      </c>
      <c r="I1483" s="86">
        <v>66</v>
      </c>
      <c r="J1483" s="87"/>
      <c r="K1483" s="87"/>
      <c r="L1483" s="87"/>
      <c r="M1483" s="87"/>
      <c r="N1483" s="87"/>
      <c r="O1483" s="87"/>
      <c r="P1483" s="87"/>
      <c r="Q1483" s="87"/>
      <c r="R1483" s="87"/>
      <c r="S1483" s="87"/>
      <c r="T1483" s="87"/>
      <c r="U1483" s="87"/>
      <c r="V1483" s="87">
        <v>11</v>
      </c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>
        <v>11</v>
      </c>
      <c r="AI1483" s="87"/>
      <c r="AJ1483" s="87"/>
      <c r="AK1483" s="87"/>
      <c r="AL1483" s="87"/>
      <c r="AM1483" s="87"/>
      <c r="AN1483" s="87"/>
      <c r="AO1483" s="87">
        <v>11</v>
      </c>
      <c r="AP1483" s="87"/>
      <c r="AQ1483" s="87"/>
      <c r="AR1483" s="87"/>
      <c r="AS1483" s="87"/>
      <c r="AT1483" s="87"/>
      <c r="AU1483" s="87"/>
      <c r="AV1483" s="87"/>
      <c r="AW1483" s="88" t="str">
        <f>HYPERLINK("http://www.openstreetmap.org/?mlat=32.5551&amp;mlon=44.2232&amp;zoom=12#map=12/32.5551/44.2232","Maplink1")</f>
        <v>Maplink1</v>
      </c>
      <c r="AX1483" s="88" t="str">
        <f>HYPERLINK("https://www.google.iq/maps/search/+32.5551,44.2232/@32.5551,44.2232,14z?hl=en","Maplink2")</f>
        <v>Maplink2</v>
      </c>
      <c r="AY1483" s="88" t="str">
        <f>HYPERLINK("http://www.bing.com/maps/?lvl=14&amp;sty=h&amp;cp=32.5551~44.2232&amp;sp=point.32.5551_44.2232","Maplink3")</f>
        <v>Maplink3</v>
      </c>
      <c r="AZ1483" s="76"/>
    </row>
    <row r="1484" spans="1:52" x14ac:dyDescent="0.25">
      <c r="A1484" s="86">
        <v>26011</v>
      </c>
      <c r="B1484" s="87" t="s">
        <v>19</v>
      </c>
      <c r="C1484" s="87" t="s">
        <v>2900</v>
      </c>
      <c r="D1484" s="87" t="s">
        <v>2907</v>
      </c>
      <c r="E1484" s="87" t="s">
        <v>2908</v>
      </c>
      <c r="F1484" s="87">
        <v>32.3532444708</v>
      </c>
      <c r="G1484" s="87">
        <v>44.236199127299997</v>
      </c>
      <c r="H1484" s="86">
        <v>69</v>
      </c>
      <c r="I1484" s="86">
        <v>414</v>
      </c>
      <c r="J1484" s="87"/>
      <c r="K1484" s="87"/>
      <c r="L1484" s="87"/>
      <c r="M1484" s="87"/>
      <c r="N1484" s="87"/>
      <c r="O1484" s="87"/>
      <c r="P1484" s="87"/>
      <c r="Q1484" s="87"/>
      <c r="R1484" s="87"/>
      <c r="S1484" s="87"/>
      <c r="T1484" s="87"/>
      <c r="U1484" s="87"/>
      <c r="V1484" s="87">
        <v>69</v>
      </c>
      <c r="W1484" s="87"/>
      <c r="X1484" s="87"/>
      <c r="Y1484" s="87"/>
      <c r="Z1484" s="87"/>
      <c r="AA1484" s="87"/>
      <c r="AB1484" s="87"/>
      <c r="AC1484" s="87"/>
      <c r="AD1484" s="87"/>
      <c r="AE1484" s="87"/>
      <c r="AF1484" s="87"/>
      <c r="AG1484" s="87"/>
      <c r="AH1484" s="87"/>
      <c r="AI1484" s="87"/>
      <c r="AJ1484" s="87"/>
      <c r="AK1484" s="87"/>
      <c r="AL1484" s="87">
        <v>69</v>
      </c>
      <c r="AM1484" s="87"/>
      <c r="AN1484" s="87"/>
      <c r="AO1484" s="87">
        <v>69</v>
      </c>
      <c r="AP1484" s="87"/>
      <c r="AQ1484" s="87"/>
      <c r="AR1484" s="87"/>
      <c r="AS1484" s="87"/>
      <c r="AT1484" s="87"/>
      <c r="AU1484" s="87"/>
      <c r="AV1484" s="87"/>
      <c r="AW1484" s="88" t="str">
        <f>HYPERLINK("http://www.openstreetmap.org/?mlat=32.3532&amp;mlon=44.2362&amp;zoom=12#map=12/32.3532/44.2362","Maplink1")</f>
        <v>Maplink1</v>
      </c>
      <c r="AX1484" s="88" t="str">
        <f>HYPERLINK("https://www.google.iq/maps/search/+32.3532,44.2362/@32.3532,44.2362,14z?hl=en","Maplink2")</f>
        <v>Maplink2</v>
      </c>
      <c r="AY1484" s="88" t="str">
        <f>HYPERLINK("http://www.bing.com/maps/?lvl=14&amp;sty=h&amp;cp=32.3532~44.2362&amp;sp=point.32.3532_44.2362","Maplink3")</f>
        <v>Maplink3</v>
      </c>
      <c r="AZ1484" s="76"/>
    </row>
    <row r="1485" spans="1:52" x14ac:dyDescent="0.25">
      <c r="A1485" s="86">
        <v>25845</v>
      </c>
      <c r="B1485" s="87" t="s">
        <v>19</v>
      </c>
      <c r="C1485" s="87" t="s">
        <v>2900</v>
      </c>
      <c r="D1485" s="87" t="s">
        <v>2909</v>
      </c>
      <c r="E1485" s="87" t="s">
        <v>1284</v>
      </c>
      <c r="F1485" s="87">
        <v>32.552402196899997</v>
      </c>
      <c r="G1485" s="87">
        <v>44.222668324799997</v>
      </c>
      <c r="H1485" s="86">
        <v>4</v>
      </c>
      <c r="I1485" s="86">
        <v>24</v>
      </c>
      <c r="J1485" s="87"/>
      <c r="K1485" s="87"/>
      <c r="L1485" s="87"/>
      <c r="M1485" s="87"/>
      <c r="N1485" s="87"/>
      <c r="O1485" s="87"/>
      <c r="P1485" s="87"/>
      <c r="Q1485" s="87"/>
      <c r="R1485" s="87"/>
      <c r="S1485" s="87"/>
      <c r="T1485" s="87"/>
      <c r="U1485" s="87"/>
      <c r="V1485" s="87">
        <v>4</v>
      </c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>
        <v>4</v>
      </c>
      <c r="AI1485" s="87"/>
      <c r="AJ1485" s="87"/>
      <c r="AK1485" s="87"/>
      <c r="AL1485" s="87"/>
      <c r="AM1485" s="87"/>
      <c r="AN1485" s="87"/>
      <c r="AO1485" s="87">
        <v>4</v>
      </c>
      <c r="AP1485" s="87"/>
      <c r="AQ1485" s="87"/>
      <c r="AR1485" s="87"/>
      <c r="AS1485" s="87"/>
      <c r="AT1485" s="87"/>
      <c r="AU1485" s="87"/>
      <c r="AV1485" s="87"/>
      <c r="AW1485" s="88" t="str">
        <f>HYPERLINK("http://www.openstreetmap.org/?mlat=32.5524&amp;mlon=44.2227&amp;zoom=12#map=12/32.5524/44.2227","Maplink1")</f>
        <v>Maplink1</v>
      </c>
      <c r="AX1485" s="88" t="str">
        <f>HYPERLINK("https://www.google.iq/maps/search/+32.5524,44.2227/@32.5524,44.2227,14z?hl=en","Maplink2")</f>
        <v>Maplink2</v>
      </c>
      <c r="AY1485" s="88" t="str">
        <f>HYPERLINK("http://www.bing.com/maps/?lvl=14&amp;sty=h&amp;cp=32.5524~44.2227&amp;sp=point.32.5524_44.2227","Maplink3")</f>
        <v>Maplink3</v>
      </c>
      <c r="AZ1485" s="76"/>
    </row>
    <row r="1486" spans="1:52" x14ac:dyDescent="0.25">
      <c r="A1486" s="86">
        <v>14323</v>
      </c>
      <c r="B1486" s="87" t="s">
        <v>19</v>
      </c>
      <c r="C1486" s="87" t="s">
        <v>2900</v>
      </c>
      <c r="D1486" s="87" t="s">
        <v>2910</v>
      </c>
      <c r="E1486" s="87" t="s">
        <v>2911</v>
      </c>
      <c r="F1486" s="87">
        <v>32.541736134300002</v>
      </c>
      <c r="G1486" s="87">
        <v>44.219561808199998</v>
      </c>
      <c r="H1486" s="86">
        <v>20</v>
      </c>
      <c r="I1486" s="86">
        <v>120</v>
      </c>
      <c r="J1486" s="87"/>
      <c r="K1486" s="87"/>
      <c r="L1486" s="87"/>
      <c r="M1486" s="87"/>
      <c r="N1486" s="87"/>
      <c r="O1486" s="87"/>
      <c r="P1486" s="87"/>
      <c r="Q1486" s="87"/>
      <c r="R1486" s="87"/>
      <c r="S1486" s="87"/>
      <c r="T1486" s="87"/>
      <c r="U1486" s="87"/>
      <c r="V1486" s="87">
        <v>20</v>
      </c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>
        <v>20</v>
      </c>
      <c r="AI1486" s="87"/>
      <c r="AJ1486" s="87"/>
      <c r="AK1486" s="87"/>
      <c r="AL1486" s="87"/>
      <c r="AM1486" s="87"/>
      <c r="AN1486" s="87"/>
      <c r="AO1486" s="87">
        <v>20</v>
      </c>
      <c r="AP1486" s="87"/>
      <c r="AQ1486" s="87"/>
      <c r="AR1486" s="87"/>
      <c r="AS1486" s="87"/>
      <c r="AT1486" s="87"/>
      <c r="AU1486" s="87"/>
      <c r="AV1486" s="87"/>
      <c r="AW1486" s="88" t="str">
        <f>HYPERLINK("http://www.openstreetmap.org/?mlat=32.5417&amp;mlon=44.2196&amp;zoom=12#map=12/32.5417/44.2196","Maplink1")</f>
        <v>Maplink1</v>
      </c>
      <c r="AX1486" s="88" t="str">
        <f>HYPERLINK("https://www.google.iq/maps/search/+32.5417,44.2196/@32.5417,44.2196,14z?hl=en","Maplink2")</f>
        <v>Maplink2</v>
      </c>
      <c r="AY1486" s="88" t="str">
        <f>HYPERLINK("http://www.bing.com/maps/?lvl=14&amp;sty=h&amp;cp=32.5417~44.2196&amp;sp=point.32.5417_44.2196","Maplink3")</f>
        <v>Maplink3</v>
      </c>
      <c r="AZ1486" s="76"/>
    </row>
    <row r="1487" spans="1:52" x14ac:dyDescent="0.25">
      <c r="A1487" s="86">
        <v>26009</v>
      </c>
      <c r="B1487" s="87" t="s">
        <v>19</v>
      </c>
      <c r="C1487" s="87" t="s">
        <v>2900</v>
      </c>
      <c r="D1487" s="87" t="s">
        <v>2912</v>
      </c>
      <c r="E1487" s="87" t="s">
        <v>2913</v>
      </c>
      <c r="F1487" s="87">
        <v>32.354590195599997</v>
      </c>
      <c r="G1487" s="87">
        <v>44.238787404900002</v>
      </c>
      <c r="H1487" s="86">
        <v>45</v>
      </c>
      <c r="I1487" s="86">
        <v>270</v>
      </c>
      <c r="J1487" s="87"/>
      <c r="K1487" s="87"/>
      <c r="L1487" s="87"/>
      <c r="M1487" s="87"/>
      <c r="N1487" s="87"/>
      <c r="O1487" s="87"/>
      <c r="P1487" s="87"/>
      <c r="Q1487" s="87"/>
      <c r="R1487" s="87"/>
      <c r="S1487" s="87"/>
      <c r="T1487" s="87"/>
      <c r="U1487" s="87"/>
      <c r="V1487" s="87">
        <v>45</v>
      </c>
      <c r="W1487" s="87"/>
      <c r="X1487" s="87"/>
      <c r="Y1487" s="87"/>
      <c r="Z1487" s="87"/>
      <c r="AA1487" s="87"/>
      <c r="AB1487" s="87"/>
      <c r="AC1487" s="87"/>
      <c r="AD1487" s="87"/>
      <c r="AE1487" s="87"/>
      <c r="AF1487" s="87"/>
      <c r="AG1487" s="87">
        <v>7</v>
      </c>
      <c r="AH1487" s="87">
        <v>15</v>
      </c>
      <c r="AI1487" s="87"/>
      <c r="AJ1487" s="87"/>
      <c r="AK1487" s="87"/>
      <c r="AL1487" s="87">
        <v>23</v>
      </c>
      <c r="AM1487" s="87"/>
      <c r="AN1487" s="87"/>
      <c r="AO1487" s="87">
        <v>45</v>
      </c>
      <c r="AP1487" s="87"/>
      <c r="AQ1487" s="87"/>
      <c r="AR1487" s="87"/>
      <c r="AS1487" s="87"/>
      <c r="AT1487" s="87"/>
      <c r="AU1487" s="87"/>
      <c r="AV1487" s="87"/>
      <c r="AW1487" s="88" t="str">
        <f>HYPERLINK("http://www.openstreetmap.org/?mlat=32.3546&amp;mlon=44.2388&amp;zoom=12#map=12/32.3546/44.2388","Maplink1")</f>
        <v>Maplink1</v>
      </c>
      <c r="AX1487" s="88" t="str">
        <f>HYPERLINK("https://www.google.iq/maps/search/+32.3546,44.2388/@32.3546,44.2388,14z?hl=en","Maplink2")</f>
        <v>Maplink2</v>
      </c>
      <c r="AY1487" s="88" t="str">
        <f>HYPERLINK("http://www.bing.com/maps/?lvl=14&amp;sty=h&amp;cp=32.3546~44.2388&amp;sp=point.32.3546_44.2388","Maplink3")</f>
        <v>Maplink3</v>
      </c>
      <c r="AZ1487" s="76"/>
    </row>
    <row r="1488" spans="1:52" x14ac:dyDescent="0.25">
      <c r="A1488" s="86">
        <v>22785</v>
      </c>
      <c r="B1488" s="87" t="s">
        <v>19</v>
      </c>
      <c r="C1488" s="87" t="s">
        <v>2900</v>
      </c>
      <c r="D1488" s="87" t="s">
        <v>2914</v>
      </c>
      <c r="E1488" s="87" t="s">
        <v>2915</v>
      </c>
      <c r="F1488" s="87">
        <v>32.538349174899999</v>
      </c>
      <c r="G1488" s="87">
        <v>44.238678034800003</v>
      </c>
      <c r="H1488" s="86">
        <v>13</v>
      </c>
      <c r="I1488" s="86">
        <v>78</v>
      </c>
      <c r="J1488" s="87"/>
      <c r="K1488" s="87"/>
      <c r="L1488" s="87"/>
      <c r="M1488" s="87"/>
      <c r="N1488" s="87"/>
      <c r="O1488" s="87"/>
      <c r="P1488" s="87"/>
      <c r="Q1488" s="87"/>
      <c r="R1488" s="87"/>
      <c r="S1488" s="87"/>
      <c r="T1488" s="87"/>
      <c r="U1488" s="87"/>
      <c r="V1488" s="87">
        <v>13</v>
      </c>
      <c r="W1488" s="87"/>
      <c r="X1488" s="87"/>
      <c r="Y1488" s="87"/>
      <c r="Z1488" s="87"/>
      <c r="AA1488" s="87"/>
      <c r="AB1488" s="87"/>
      <c r="AC1488" s="87"/>
      <c r="AD1488" s="87"/>
      <c r="AE1488" s="87"/>
      <c r="AF1488" s="87"/>
      <c r="AG1488" s="87"/>
      <c r="AH1488" s="87">
        <v>13</v>
      </c>
      <c r="AI1488" s="87"/>
      <c r="AJ1488" s="87"/>
      <c r="AK1488" s="87"/>
      <c r="AL1488" s="87"/>
      <c r="AM1488" s="87"/>
      <c r="AN1488" s="87"/>
      <c r="AO1488" s="87">
        <v>13</v>
      </c>
      <c r="AP1488" s="87"/>
      <c r="AQ1488" s="87"/>
      <c r="AR1488" s="87"/>
      <c r="AS1488" s="87"/>
      <c r="AT1488" s="87"/>
      <c r="AU1488" s="87"/>
      <c r="AV1488" s="87"/>
      <c r="AW1488" s="88" t="str">
        <f>HYPERLINK("http://www.openstreetmap.org/?mlat=32.5383&amp;mlon=44.2387&amp;zoom=12#map=12/32.5383/44.2387","Maplink1")</f>
        <v>Maplink1</v>
      </c>
      <c r="AX1488" s="88" t="str">
        <f>HYPERLINK("https://www.google.iq/maps/search/+32.5383,44.2387/@32.5383,44.2387,14z?hl=en","Maplink2")</f>
        <v>Maplink2</v>
      </c>
      <c r="AY1488" s="88" t="str">
        <f>HYPERLINK("http://www.bing.com/maps/?lvl=14&amp;sty=h&amp;cp=32.5383~44.2387&amp;sp=point.32.5383_44.2387","Maplink3")</f>
        <v>Maplink3</v>
      </c>
      <c r="AZ1488" s="76"/>
    </row>
    <row r="1489" spans="1:52" x14ac:dyDescent="0.25">
      <c r="A1489" s="86">
        <v>25994</v>
      </c>
      <c r="B1489" s="87" t="s">
        <v>19</v>
      </c>
      <c r="C1489" s="87" t="s">
        <v>2900</v>
      </c>
      <c r="D1489" s="87" t="s">
        <v>2916</v>
      </c>
      <c r="E1489" s="87" t="s">
        <v>2917</v>
      </c>
      <c r="F1489" s="87">
        <v>32.482397161999998</v>
      </c>
      <c r="G1489" s="87">
        <v>44.131355734099998</v>
      </c>
      <c r="H1489" s="86">
        <v>2</v>
      </c>
      <c r="I1489" s="86">
        <v>12</v>
      </c>
      <c r="J1489" s="87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  <c r="U1489" s="87"/>
      <c r="V1489" s="87">
        <v>2</v>
      </c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>
        <v>2</v>
      </c>
      <c r="AH1489" s="87"/>
      <c r="AI1489" s="87"/>
      <c r="AJ1489" s="87"/>
      <c r="AK1489" s="87"/>
      <c r="AL1489" s="87"/>
      <c r="AM1489" s="87"/>
      <c r="AN1489" s="87"/>
      <c r="AO1489" s="87">
        <v>2</v>
      </c>
      <c r="AP1489" s="87"/>
      <c r="AQ1489" s="87"/>
      <c r="AR1489" s="87"/>
      <c r="AS1489" s="87"/>
      <c r="AT1489" s="87"/>
      <c r="AU1489" s="87"/>
      <c r="AV1489" s="87"/>
      <c r="AW1489" s="88" t="str">
        <f>HYPERLINK("http://www.openstreetmap.org/?mlat=32.4824&amp;mlon=44.1314&amp;zoom=12#map=12/32.4824/44.1314","Maplink1")</f>
        <v>Maplink1</v>
      </c>
      <c r="AX1489" s="88" t="str">
        <f>HYPERLINK("https://www.google.iq/maps/search/+32.4824,44.1314/@32.4824,44.1314,14z?hl=en","Maplink2")</f>
        <v>Maplink2</v>
      </c>
      <c r="AY1489" s="88" t="str">
        <f>HYPERLINK("http://www.bing.com/maps/?lvl=14&amp;sty=h&amp;cp=32.4824~44.1314&amp;sp=point.32.4824_44.1314","Maplink3")</f>
        <v>Maplink3</v>
      </c>
      <c r="AZ1489" s="76"/>
    </row>
    <row r="1490" spans="1:52" x14ac:dyDescent="0.25">
      <c r="A1490" s="86">
        <v>25486</v>
      </c>
      <c r="B1490" s="87" t="s">
        <v>19</v>
      </c>
      <c r="C1490" s="87" t="s">
        <v>2900</v>
      </c>
      <c r="D1490" s="87" t="s">
        <v>2918</v>
      </c>
      <c r="E1490" s="87" t="s">
        <v>2919</v>
      </c>
      <c r="F1490" s="87">
        <v>32.552728461400001</v>
      </c>
      <c r="G1490" s="87">
        <v>44.207478418900003</v>
      </c>
      <c r="H1490" s="86">
        <v>8</v>
      </c>
      <c r="I1490" s="86">
        <v>48</v>
      </c>
      <c r="J1490" s="87"/>
      <c r="K1490" s="87"/>
      <c r="L1490" s="87"/>
      <c r="M1490" s="87"/>
      <c r="N1490" s="87"/>
      <c r="O1490" s="87"/>
      <c r="P1490" s="87"/>
      <c r="Q1490" s="87"/>
      <c r="R1490" s="87"/>
      <c r="S1490" s="87"/>
      <c r="T1490" s="87"/>
      <c r="U1490" s="87"/>
      <c r="V1490" s="87">
        <v>8</v>
      </c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7"/>
      <c r="AH1490" s="87">
        <v>8</v>
      </c>
      <c r="AI1490" s="87"/>
      <c r="AJ1490" s="87"/>
      <c r="AK1490" s="87"/>
      <c r="AL1490" s="87"/>
      <c r="AM1490" s="87"/>
      <c r="AN1490" s="87"/>
      <c r="AO1490" s="87">
        <v>8</v>
      </c>
      <c r="AP1490" s="87"/>
      <c r="AQ1490" s="87"/>
      <c r="AR1490" s="87"/>
      <c r="AS1490" s="87"/>
      <c r="AT1490" s="87"/>
      <c r="AU1490" s="87"/>
      <c r="AV1490" s="87"/>
      <c r="AW1490" s="88" t="str">
        <f>HYPERLINK("http://www.openstreetmap.org/?mlat=32.5527&amp;mlon=44.2075&amp;zoom=12#map=12/32.5527/44.2075","Maplink1")</f>
        <v>Maplink1</v>
      </c>
      <c r="AX1490" s="88" t="str">
        <f>HYPERLINK("https://www.google.iq/maps/search/+32.5527,44.2075/@32.5527,44.2075,14z?hl=en","Maplink2")</f>
        <v>Maplink2</v>
      </c>
      <c r="AY1490" s="88" t="str">
        <f>HYPERLINK("http://www.bing.com/maps/?lvl=14&amp;sty=h&amp;cp=32.5527~44.2075&amp;sp=point.32.5527_44.2075","Maplink3")</f>
        <v>Maplink3</v>
      </c>
      <c r="AZ1490" s="76"/>
    </row>
    <row r="1491" spans="1:52" x14ac:dyDescent="0.25">
      <c r="A1491" s="86">
        <v>27335</v>
      </c>
      <c r="B1491" s="87" t="s">
        <v>19</v>
      </c>
      <c r="C1491" s="87" t="s">
        <v>2900</v>
      </c>
      <c r="D1491" s="87" t="s">
        <v>2920</v>
      </c>
      <c r="E1491" s="87" t="s">
        <v>2921</v>
      </c>
      <c r="F1491" s="87">
        <v>32.474457293</v>
      </c>
      <c r="G1491" s="87">
        <v>44.156138932200001</v>
      </c>
      <c r="H1491" s="86">
        <v>7</v>
      </c>
      <c r="I1491" s="86">
        <v>42</v>
      </c>
      <c r="J1491" s="87"/>
      <c r="K1491" s="87"/>
      <c r="L1491" s="87"/>
      <c r="M1491" s="87"/>
      <c r="N1491" s="87"/>
      <c r="O1491" s="87"/>
      <c r="P1491" s="87"/>
      <c r="Q1491" s="87"/>
      <c r="R1491" s="87"/>
      <c r="S1491" s="87"/>
      <c r="T1491" s="87"/>
      <c r="U1491" s="87"/>
      <c r="V1491" s="87">
        <v>7</v>
      </c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>
        <v>7</v>
      </c>
      <c r="AH1491" s="87"/>
      <c r="AI1491" s="87"/>
      <c r="AJ1491" s="87"/>
      <c r="AK1491" s="87"/>
      <c r="AL1491" s="87"/>
      <c r="AM1491" s="87"/>
      <c r="AN1491" s="87"/>
      <c r="AO1491" s="87">
        <v>7</v>
      </c>
      <c r="AP1491" s="87"/>
      <c r="AQ1491" s="87"/>
      <c r="AR1491" s="87"/>
      <c r="AS1491" s="87"/>
      <c r="AT1491" s="87"/>
      <c r="AU1491" s="87"/>
      <c r="AV1491" s="87"/>
      <c r="AW1491" s="88" t="str">
        <f>HYPERLINK("http://www.openstreetmap.org/?mlat=32.4745&amp;mlon=44.1561&amp;zoom=12#map=12/32.4745/44.1561","Maplink1")</f>
        <v>Maplink1</v>
      </c>
      <c r="AX1491" s="88" t="str">
        <f>HYPERLINK("https://www.google.iq/maps/search/+32.4745,44.1561/@32.4745,44.1561,14z?hl=en","Maplink2")</f>
        <v>Maplink2</v>
      </c>
      <c r="AY1491" s="88" t="str">
        <f>HYPERLINK("http://www.bing.com/maps/?lvl=14&amp;sty=h&amp;cp=32.4745~44.1561&amp;sp=point.32.4745_44.1561","Maplink3")</f>
        <v>Maplink3</v>
      </c>
      <c r="AZ1491" s="76"/>
    </row>
    <row r="1492" spans="1:52" x14ac:dyDescent="0.25">
      <c r="A1492" s="86">
        <v>13985</v>
      </c>
      <c r="B1492" s="87" t="s">
        <v>19</v>
      </c>
      <c r="C1492" s="87" t="s">
        <v>2900</v>
      </c>
      <c r="D1492" s="87" t="s">
        <v>2922</v>
      </c>
      <c r="E1492" s="87" t="s">
        <v>2923</v>
      </c>
      <c r="F1492" s="87">
        <v>32.560357912000001</v>
      </c>
      <c r="G1492" s="87">
        <v>44.067603303600002</v>
      </c>
      <c r="H1492" s="86">
        <v>6</v>
      </c>
      <c r="I1492" s="86">
        <v>36</v>
      </c>
      <c r="J1492" s="87"/>
      <c r="K1492" s="87"/>
      <c r="L1492" s="87"/>
      <c r="M1492" s="87"/>
      <c r="N1492" s="87"/>
      <c r="O1492" s="87"/>
      <c r="P1492" s="87"/>
      <c r="Q1492" s="87"/>
      <c r="R1492" s="87"/>
      <c r="S1492" s="87"/>
      <c r="T1492" s="87"/>
      <c r="U1492" s="87"/>
      <c r="V1492" s="87">
        <v>6</v>
      </c>
      <c r="W1492" s="87"/>
      <c r="X1492" s="87"/>
      <c r="Y1492" s="87"/>
      <c r="Z1492" s="87"/>
      <c r="AA1492" s="87"/>
      <c r="AB1492" s="87"/>
      <c r="AC1492" s="87"/>
      <c r="AD1492" s="87"/>
      <c r="AE1492" s="87"/>
      <c r="AF1492" s="87"/>
      <c r="AG1492" s="87">
        <v>6</v>
      </c>
      <c r="AH1492" s="87"/>
      <c r="AI1492" s="87"/>
      <c r="AJ1492" s="87"/>
      <c r="AK1492" s="87"/>
      <c r="AL1492" s="87"/>
      <c r="AM1492" s="87"/>
      <c r="AN1492" s="87"/>
      <c r="AO1492" s="87">
        <v>6</v>
      </c>
      <c r="AP1492" s="87"/>
      <c r="AQ1492" s="87"/>
      <c r="AR1492" s="87"/>
      <c r="AS1492" s="87"/>
      <c r="AT1492" s="87"/>
      <c r="AU1492" s="87"/>
      <c r="AV1492" s="87"/>
      <c r="AW1492" s="88" t="str">
        <f>HYPERLINK("http://www.openstreetmap.org/?mlat=32.5604&amp;mlon=44.0676&amp;zoom=12#map=12/32.5604/44.0676","Maplink1")</f>
        <v>Maplink1</v>
      </c>
      <c r="AX1492" s="88" t="str">
        <f>HYPERLINK("https://www.google.iq/maps/search/+32.5604,44.0676/@32.5604,44.0676,14z?hl=en","Maplink2")</f>
        <v>Maplink2</v>
      </c>
      <c r="AY1492" s="88" t="str">
        <f>HYPERLINK("http://www.bing.com/maps/?lvl=14&amp;sty=h&amp;cp=32.5604~44.0676&amp;sp=point.32.5604_44.0676","Maplink3")</f>
        <v>Maplink3</v>
      </c>
      <c r="AZ1492" s="76"/>
    </row>
    <row r="1493" spans="1:52" x14ac:dyDescent="0.25">
      <c r="A1493" s="86">
        <v>25975</v>
      </c>
      <c r="B1493" s="87" t="s">
        <v>19</v>
      </c>
      <c r="C1493" s="87" t="s">
        <v>2900</v>
      </c>
      <c r="D1493" s="87" t="s">
        <v>2924</v>
      </c>
      <c r="E1493" s="87" t="s">
        <v>2925</v>
      </c>
      <c r="F1493" s="87">
        <v>32.525168827100003</v>
      </c>
      <c r="G1493" s="87">
        <v>44.104280551999999</v>
      </c>
      <c r="H1493" s="86">
        <v>109</v>
      </c>
      <c r="I1493" s="86">
        <v>654</v>
      </c>
      <c r="J1493" s="87"/>
      <c r="K1493" s="87"/>
      <c r="L1493" s="87"/>
      <c r="M1493" s="87"/>
      <c r="N1493" s="87"/>
      <c r="O1493" s="87"/>
      <c r="P1493" s="87"/>
      <c r="Q1493" s="87"/>
      <c r="R1493" s="87"/>
      <c r="S1493" s="87"/>
      <c r="T1493" s="87"/>
      <c r="U1493" s="87"/>
      <c r="V1493" s="87">
        <v>109</v>
      </c>
      <c r="W1493" s="87"/>
      <c r="X1493" s="87"/>
      <c r="Y1493" s="87"/>
      <c r="Z1493" s="87"/>
      <c r="AA1493" s="87"/>
      <c r="AB1493" s="87">
        <v>109</v>
      </c>
      <c r="AC1493" s="87"/>
      <c r="AD1493" s="87"/>
      <c r="AE1493" s="87"/>
      <c r="AF1493" s="87"/>
      <c r="AG1493" s="87"/>
      <c r="AH1493" s="87"/>
      <c r="AI1493" s="87"/>
      <c r="AJ1493" s="87"/>
      <c r="AK1493" s="87"/>
      <c r="AL1493" s="87"/>
      <c r="AM1493" s="87"/>
      <c r="AN1493" s="87"/>
      <c r="AO1493" s="87">
        <v>109</v>
      </c>
      <c r="AP1493" s="87"/>
      <c r="AQ1493" s="87"/>
      <c r="AR1493" s="87"/>
      <c r="AS1493" s="87"/>
      <c r="AT1493" s="87"/>
      <c r="AU1493" s="87"/>
      <c r="AV1493" s="87"/>
      <c r="AW1493" s="88" t="str">
        <f>HYPERLINK("http://www.openstreetmap.org/?mlat=32.5252&amp;mlon=44.1043&amp;zoom=12#map=12/32.5252/44.1043","Maplink1")</f>
        <v>Maplink1</v>
      </c>
      <c r="AX1493" s="88" t="str">
        <f>HYPERLINK("https://www.google.iq/maps/search/+32.5252,44.1043/@32.5252,44.1043,14z?hl=en","Maplink2")</f>
        <v>Maplink2</v>
      </c>
      <c r="AY1493" s="88" t="str">
        <f>HYPERLINK("http://www.bing.com/maps/?lvl=14&amp;sty=h&amp;cp=32.5252~44.1043&amp;sp=point.32.5252_44.1043","Maplink3")</f>
        <v>Maplink3</v>
      </c>
      <c r="AZ1493" s="76"/>
    </row>
    <row r="1494" spans="1:52" x14ac:dyDescent="0.25">
      <c r="A1494" s="86">
        <v>25265</v>
      </c>
      <c r="B1494" s="87" t="s">
        <v>19</v>
      </c>
      <c r="C1494" s="87" t="s">
        <v>19</v>
      </c>
      <c r="D1494" s="87" t="s">
        <v>2926</v>
      </c>
      <c r="E1494" s="87" t="s">
        <v>2927</v>
      </c>
      <c r="F1494" s="87">
        <v>32.606789800000001</v>
      </c>
      <c r="G1494" s="87">
        <v>44.051600503099998</v>
      </c>
      <c r="H1494" s="86">
        <v>14</v>
      </c>
      <c r="I1494" s="86">
        <v>84</v>
      </c>
      <c r="J1494" s="87"/>
      <c r="K1494" s="87"/>
      <c r="L1494" s="87"/>
      <c r="M1494" s="87"/>
      <c r="N1494" s="87"/>
      <c r="O1494" s="87"/>
      <c r="P1494" s="87"/>
      <c r="Q1494" s="87"/>
      <c r="R1494" s="87"/>
      <c r="S1494" s="87"/>
      <c r="T1494" s="87"/>
      <c r="U1494" s="87"/>
      <c r="V1494" s="87">
        <v>14</v>
      </c>
      <c r="W1494" s="87"/>
      <c r="X1494" s="87"/>
      <c r="Y1494" s="87"/>
      <c r="Z1494" s="87"/>
      <c r="AA1494" s="87"/>
      <c r="AB1494" s="87"/>
      <c r="AC1494" s="87"/>
      <c r="AD1494" s="87"/>
      <c r="AE1494" s="87"/>
      <c r="AF1494" s="87"/>
      <c r="AG1494" s="87"/>
      <c r="AH1494" s="87">
        <v>14</v>
      </c>
      <c r="AI1494" s="87"/>
      <c r="AJ1494" s="87"/>
      <c r="AK1494" s="87"/>
      <c r="AL1494" s="87"/>
      <c r="AM1494" s="87"/>
      <c r="AN1494" s="87"/>
      <c r="AO1494" s="87">
        <v>14</v>
      </c>
      <c r="AP1494" s="87"/>
      <c r="AQ1494" s="87"/>
      <c r="AR1494" s="87"/>
      <c r="AS1494" s="87"/>
      <c r="AT1494" s="87"/>
      <c r="AU1494" s="87"/>
      <c r="AV1494" s="87"/>
      <c r="AW1494" s="88" t="str">
        <f>HYPERLINK("http://www.openstreetmap.org/?mlat=32.6068&amp;mlon=44.0516&amp;zoom=12#map=12/32.6068/44.0516","Maplink1")</f>
        <v>Maplink1</v>
      </c>
      <c r="AX1494" s="88" t="str">
        <f>HYPERLINK("https://www.google.iq/maps/search/+32.6068,44.0516/@32.6068,44.0516,14z?hl=en","Maplink2")</f>
        <v>Maplink2</v>
      </c>
      <c r="AY1494" s="88" t="str">
        <f>HYPERLINK("http://www.bing.com/maps/?lvl=14&amp;sty=h&amp;cp=32.6068~44.0516&amp;sp=point.32.6068_44.0516","Maplink3")</f>
        <v>Maplink3</v>
      </c>
      <c r="AZ1494" s="76"/>
    </row>
    <row r="1495" spans="1:52" x14ac:dyDescent="0.25">
      <c r="A1495" s="86">
        <v>25903</v>
      </c>
      <c r="B1495" s="87" t="s">
        <v>19</v>
      </c>
      <c r="C1495" s="87" t="s">
        <v>19</v>
      </c>
      <c r="D1495" s="87" t="s">
        <v>2928</v>
      </c>
      <c r="E1495" s="87" t="s">
        <v>2929</v>
      </c>
      <c r="F1495" s="87">
        <v>32.705914308200001</v>
      </c>
      <c r="G1495" s="87">
        <v>44.167540701900002</v>
      </c>
      <c r="H1495" s="86">
        <v>8</v>
      </c>
      <c r="I1495" s="86">
        <v>48</v>
      </c>
      <c r="J1495" s="87"/>
      <c r="K1495" s="87">
        <v>4</v>
      </c>
      <c r="L1495" s="87"/>
      <c r="M1495" s="87"/>
      <c r="N1495" s="87"/>
      <c r="O1495" s="87"/>
      <c r="P1495" s="87"/>
      <c r="Q1495" s="87"/>
      <c r="R1495" s="87"/>
      <c r="S1495" s="87"/>
      <c r="T1495" s="87"/>
      <c r="U1495" s="87"/>
      <c r="V1495" s="87">
        <v>4</v>
      </c>
      <c r="W1495" s="87"/>
      <c r="X1495" s="87"/>
      <c r="Y1495" s="87"/>
      <c r="Z1495" s="87"/>
      <c r="AA1495" s="87"/>
      <c r="AB1495" s="87"/>
      <c r="AC1495" s="87"/>
      <c r="AD1495" s="87"/>
      <c r="AE1495" s="87"/>
      <c r="AF1495" s="87"/>
      <c r="AG1495" s="87"/>
      <c r="AH1495" s="87">
        <v>8</v>
      </c>
      <c r="AI1495" s="87"/>
      <c r="AJ1495" s="87"/>
      <c r="AK1495" s="87"/>
      <c r="AL1495" s="87"/>
      <c r="AM1495" s="87"/>
      <c r="AN1495" s="87">
        <v>4</v>
      </c>
      <c r="AO1495" s="87">
        <v>4</v>
      </c>
      <c r="AP1495" s="87"/>
      <c r="AQ1495" s="87"/>
      <c r="AR1495" s="87"/>
      <c r="AS1495" s="87"/>
      <c r="AT1495" s="87"/>
      <c r="AU1495" s="87"/>
      <c r="AV1495" s="87"/>
      <c r="AW1495" s="88" t="str">
        <f>HYPERLINK("http://www.openstreetmap.org/?mlat=32.7059&amp;mlon=44.1675&amp;zoom=12#map=12/32.7059/44.1675","Maplink1")</f>
        <v>Maplink1</v>
      </c>
      <c r="AX1495" s="88" t="str">
        <f>HYPERLINK("https://www.google.iq/maps/search/+32.7059,44.1675/@32.7059,44.1675,14z?hl=en","Maplink2")</f>
        <v>Maplink2</v>
      </c>
      <c r="AY1495" s="88" t="str">
        <f>HYPERLINK("http://www.bing.com/maps/?lvl=14&amp;sty=h&amp;cp=32.7059~44.1675&amp;sp=point.32.7059_44.1675","Maplink3")</f>
        <v>Maplink3</v>
      </c>
      <c r="AZ1495" s="76"/>
    </row>
    <row r="1496" spans="1:52" x14ac:dyDescent="0.25">
      <c r="A1496" s="86">
        <v>24743</v>
      </c>
      <c r="B1496" s="87" t="s">
        <v>19</v>
      </c>
      <c r="C1496" s="87" t="s">
        <v>19</v>
      </c>
      <c r="D1496" s="87" t="s">
        <v>2930</v>
      </c>
      <c r="E1496" s="87" t="s">
        <v>2931</v>
      </c>
      <c r="F1496" s="87">
        <v>32.630576499999997</v>
      </c>
      <c r="G1496" s="87">
        <v>44.039254719699997</v>
      </c>
      <c r="H1496" s="86">
        <v>30</v>
      </c>
      <c r="I1496" s="86">
        <v>180</v>
      </c>
      <c r="J1496" s="87"/>
      <c r="K1496" s="87"/>
      <c r="L1496" s="87"/>
      <c r="M1496" s="87"/>
      <c r="N1496" s="87"/>
      <c r="O1496" s="87"/>
      <c r="P1496" s="87"/>
      <c r="Q1496" s="87"/>
      <c r="R1496" s="87"/>
      <c r="S1496" s="87"/>
      <c r="T1496" s="87"/>
      <c r="U1496" s="87"/>
      <c r="V1496" s="87">
        <v>30</v>
      </c>
      <c r="W1496" s="87"/>
      <c r="X1496" s="87"/>
      <c r="Y1496" s="87"/>
      <c r="Z1496" s="87"/>
      <c r="AA1496" s="87"/>
      <c r="AB1496" s="87"/>
      <c r="AC1496" s="87"/>
      <c r="AD1496" s="87"/>
      <c r="AE1496" s="87"/>
      <c r="AF1496" s="87"/>
      <c r="AG1496" s="87"/>
      <c r="AH1496" s="87">
        <v>30</v>
      </c>
      <c r="AI1496" s="87"/>
      <c r="AJ1496" s="87"/>
      <c r="AK1496" s="87"/>
      <c r="AL1496" s="87"/>
      <c r="AM1496" s="87"/>
      <c r="AN1496" s="87"/>
      <c r="AO1496" s="87">
        <v>30</v>
      </c>
      <c r="AP1496" s="87"/>
      <c r="AQ1496" s="87"/>
      <c r="AR1496" s="87"/>
      <c r="AS1496" s="87"/>
      <c r="AT1496" s="87"/>
      <c r="AU1496" s="87"/>
      <c r="AV1496" s="87"/>
      <c r="AW1496" s="88" t="str">
        <f>HYPERLINK("http://www.openstreetmap.org/?mlat=32.6306&amp;mlon=44.0393&amp;zoom=12#map=12/32.6306/44.0393","Maplink1")</f>
        <v>Maplink1</v>
      </c>
      <c r="AX1496" s="88" t="str">
        <f>HYPERLINK("https://www.google.iq/maps/search/+32.6306,44.0393/@32.6306,44.0393,14z?hl=en","Maplink2")</f>
        <v>Maplink2</v>
      </c>
      <c r="AY1496" s="88" t="str">
        <f>HYPERLINK("http://www.bing.com/maps/?lvl=14&amp;sty=h&amp;cp=32.6306~44.0393&amp;sp=point.32.6306_44.0393","Maplink3")</f>
        <v>Maplink3</v>
      </c>
      <c r="AZ1496" s="76"/>
    </row>
    <row r="1497" spans="1:52" x14ac:dyDescent="0.25">
      <c r="A1497" s="86">
        <v>25955</v>
      </c>
      <c r="B1497" s="87" t="s">
        <v>19</v>
      </c>
      <c r="C1497" s="87" t="s">
        <v>19</v>
      </c>
      <c r="D1497" s="87" t="s">
        <v>2932</v>
      </c>
      <c r="E1497" s="87" t="s">
        <v>2933</v>
      </c>
      <c r="F1497" s="87">
        <v>32.641175558699999</v>
      </c>
      <c r="G1497" s="87">
        <v>44.142339344900002</v>
      </c>
      <c r="H1497" s="86">
        <v>3</v>
      </c>
      <c r="I1497" s="86">
        <v>18</v>
      </c>
      <c r="J1497" s="87"/>
      <c r="K1497" s="87">
        <v>3</v>
      </c>
      <c r="L1497" s="87"/>
      <c r="M1497" s="87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>
        <v>3</v>
      </c>
      <c r="AD1497" s="87"/>
      <c r="AE1497" s="87"/>
      <c r="AF1497" s="87"/>
      <c r="AG1497" s="87"/>
      <c r="AH1497" s="87"/>
      <c r="AI1497" s="87"/>
      <c r="AJ1497" s="87"/>
      <c r="AK1497" s="87"/>
      <c r="AL1497" s="87"/>
      <c r="AM1497" s="87"/>
      <c r="AN1497" s="87">
        <v>3</v>
      </c>
      <c r="AO1497" s="87"/>
      <c r="AP1497" s="87"/>
      <c r="AQ1497" s="87"/>
      <c r="AR1497" s="87"/>
      <c r="AS1497" s="87"/>
      <c r="AT1497" s="87"/>
      <c r="AU1497" s="87"/>
      <c r="AV1497" s="87"/>
      <c r="AW1497" s="88" t="str">
        <f>HYPERLINK("http://www.openstreetmap.org/?mlat=32.6412&amp;mlon=44.1423&amp;zoom=12#map=12/32.6412/44.1423","Maplink1")</f>
        <v>Maplink1</v>
      </c>
      <c r="AX1497" s="88" t="str">
        <f>HYPERLINK("https://www.google.iq/maps/search/+32.6412,44.1423/@32.6412,44.1423,14z?hl=en","Maplink2")</f>
        <v>Maplink2</v>
      </c>
      <c r="AY1497" s="88" t="str">
        <f>HYPERLINK("http://www.bing.com/maps/?lvl=14&amp;sty=h&amp;cp=32.6412~44.1423&amp;sp=point.32.6412_44.1423","Maplink3")</f>
        <v>Maplink3</v>
      </c>
      <c r="AZ1497" s="76"/>
    </row>
    <row r="1498" spans="1:52" x14ac:dyDescent="0.25">
      <c r="A1498" s="86">
        <v>25550</v>
      </c>
      <c r="B1498" s="87" t="s">
        <v>19</v>
      </c>
      <c r="C1498" s="87" t="s">
        <v>19</v>
      </c>
      <c r="D1498" s="87" t="s">
        <v>2934</v>
      </c>
      <c r="E1498" s="87" t="s">
        <v>2935</v>
      </c>
      <c r="F1498" s="87">
        <v>32.6349564</v>
      </c>
      <c r="G1498" s="87">
        <v>43.984872799999998</v>
      </c>
      <c r="H1498" s="86">
        <v>9</v>
      </c>
      <c r="I1498" s="86">
        <v>54</v>
      </c>
      <c r="J1498" s="87"/>
      <c r="K1498" s="87"/>
      <c r="L1498" s="87"/>
      <c r="M1498" s="87"/>
      <c r="N1498" s="87"/>
      <c r="O1498" s="87"/>
      <c r="P1498" s="87"/>
      <c r="Q1498" s="87"/>
      <c r="R1498" s="87"/>
      <c r="S1498" s="87"/>
      <c r="T1498" s="87"/>
      <c r="U1498" s="87"/>
      <c r="V1498" s="87">
        <v>9</v>
      </c>
      <c r="W1498" s="87"/>
      <c r="X1498" s="87"/>
      <c r="Y1498" s="87"/>
      <c r="Z1498" s="87"/>
      <c r="AA1498" s="87"/>
      <c r="AB1498" s="87"/>
      <c r="AC1498" s="87"/>
      <c r="AD1498" s="87"/>
      <c r="AE1498" s="87"/>
      <c r="AF1498" s="87"/>
      <c r="AG1498" s="87"/>
      <c r="AH1498" s="87">
        <v>9</v>
      </c>
      <c r="AI1498" s="87"/>
      <c r="AJ1498" s="87"/>
      <c r="AK1498" s="87"/>
      <c r="AL1498" s="87"/>
      <c r="AM1498" s="87"/>
      <c r="AN1498" s="87"/>
      <c r="AO1498" s="87">
        <v>9</v>
      </c>
      <c r="AP1498" s="87"/>
      <c r="AQ1498" s="87"/>
      <c r="AR1498" s="87"/>
      <c r="AS1498" s="87"/>
      <c r="AT1498" s="87"/>
      <c r="AU1498" s="87"/>
      <c r="AV1498" s="87"/>
      <c r="AW1498" s="88" t="str">
        <f>HYPERLINK("http://www.openstreetmap.org/?mlat=32.635&amp;mlon=43.9849&amp;zoom=12#map=12/32.635/43.9849","Maplink1")</f>
        <v>Maplink1</v>
      </c>
      <c r="AX1498" s="88" t="str">
        <f>HYPERLINK("https://www.google.iq/maps/search/+32.635,43.9849/@32.635,43.9849,14z?hl=en","Maplink2")</f>
        <v>Maplink2</v>
      </c>
      <c r="AY1498" s="88" t="str">
        <f>HYPERLINK("http://www.bing.com/maps/?lvl=14&amp;sty=h&amp;cp=32.635~43.9849&amp;sp=point.32.635_43.9849","Maplink3")</f>
        <v>Maplink3</v>
      </c>
      <c r="AZ1498" s="76"/>
    </row>
    <row r="1499" spans="1:52" x14ac:dyDescent="0.25">
      <c r="A1499" s="86">
        <v>25270</v>
      </c>
      <c r="B1499" s="87" t="s">
        <v>19</v>
      </c>
      <c r="C1499" s="87" t="s">
        <v>19</v>
      </c>
      <c r="D1499" s="87" t="s">
        <v>2936</v>
      </c>
      <c r="E1499" s="87" t="s">
        <v>2937</v>
      </c>
      <c r="F1499" s="87">
        <v>32.5809681</v>
      </c>
      <c r="G1499" s="87">
        <v>44.023942223100001</v>
      </c>
      <c r="H1499" s="86">
        <v>8</v>
      </c>
      <c r="I1499" s="86">
        <v>48</v>
      </c>
      <c r="J1499" s="87">
        <v>3</v>
      </c>
      <c r="K1499" s="87"/>
      <c r="L1499" s="87"/>
      <c r="M1499" s="87"/>
      <c r="N1499" s="87"/>
      <c r="O1499" s="87"/>
      <c r="P1499" s="87"/>
      <c r="Q1499" s="87"/>
      <c r="R1499" s="87"/>
      <c r="S1499" s="87"/>
      <c r="T1499" s="87"/>
      <c r="U1499" s="87"/>
      <c r="V1499" s="87">
        <v>5</v>
      </c>
      <c r="W1499" s="87"/>
      <c r="X1499" s="87"/>
      <c r="Y1499" s="87"/>
      <c r="Z1499" s="87"/>
      <c r="AA1499" s="87"/>
      <c r="AB1499" s="87"/>
      <c r="AC1499" s="87"/>
      <c r="AD1499" s="87"/>
      <c r="AE1499" s="87"/>
      <c r="AF1499" s="87"/>
      <c r="AG1499" s="87"/>
      <c r="AH1499" s="87">
        <v>4</v>
      </c>
      <c r="AI1499" s="87"/>
      <c r="AJ1499" s="87"/>
      <c r="AK1499" s="87"/>
      <c r="AL1499" s="87">
        <v>4</v>
      </c>
      <c r="AM1499" s="87"/>
      <c r="AN1499" s="87">
        <v>3</v>
      </c>
      <c r="AO1499" s="87">
        <v>5</v>
      </c>
      <c r="AP1499" s="87"/>
      <c r="AQ1499" s="87"/>
      <c r="AR1499" s="87"/>
      <c r="AS1499" s="87"/>
      <c r="AT1499" s="87"/>
      <c r="AU1499" s="87"/>
      <c r="AV1499" s="87"/>
      <c r="AW1499" s="88" t="str">
        <f>HYPERLINK("http://www.openstreetmap.org/?mlat=32.581&amp;mlon=44.0239&amp;zoom=12#map=12/32.581/44.0239","Maplink1")</f>
        <v>Maplink1</v>
      </c>
      <c r="AX1499" s="88" t="str">
        <f>HYPERLINK("https://www.google.iq/maps/search/+32.581,44.0239/@32.581,44.0239,14z?hl=en","Maplink2")</f>
        <v>Maplink2</v>
      </c>
      <c r="AY1499" s="88" t="str">
        <f>HYPERLINK("http://www.bing.com/maps/?lvl=14&amp;sty=h&amp;cp=32.581~44.0239&amp;sp=point.32.581_44.0239","Maplink3")</f>
        <v>Maplink3</v>
      </c>
      <c r="AZ1499" s="76"/>
    </row>
    <row r="1500" spans="1:52" x14ac:dyDescent="0.25">
      <c r="A1500" s="86">
        <v>13769</v>
      </c>
      <c r="B1500" s="87" t="s">
        <v>19</v>
      </c>
      <c r="C1500" s="87" t="s">
        <v>19</v>
      </c>
      <c r="D1500" s="87" t="s">
        <v>2938</v>
      </c>
      <c r="E1500" s="87" t="s">
        <v>2939</v>
      </c>
      <c r="F1500" s="87">
        <v>32.687123488200001</v>
      </c>
      <c r="G1500" s="87">
        <v>44.1090922988</v>
      </c>
      <c r="H1500" s="86">
        <v>15</v>
      </c>
      <c r="I1500" s="86">
        <v>90</v>
      </c>
      <c r="J1500" s="87"/>
      <c r="K1500" s="87"/>
      <c r="L1500" s="87"/>
      <c r="M1500" s="87"/>
      <c r="N1500" s="87"/>
      <c r="O1500" s="87"/>
      <c r="P1500" s="87"/>
      <c r="Q1500" s="87"/>
      <c r="R1500" s="87"/>
      <c r="S1500" s="87"/>
      <c r="T1500" s="87"/>
      <c r="U1500" s="87"/>
      <c r="V1500" s="87">
        <v>15</v>
      </c>
      <c r="W1500" s="87"/>
      <c r="X1500" s="87"/>
      <c r="Y1500" s="87"/>
      <c r="Z1500" s="87"/>
      <c r="AA1500" s="87"/>
      <c r="AB1500" s="87"/>
      <c r="AC1500" s="87"/>
      <c r="AD1500" s="87"/>
      <c r="AE1500" s="87"/>
      <c r="AF1500" s="87"/>
      <c r="AG1500" s="87"/>
      <c r="AH1500" s="87">
        <v>11</v>
      </c>
      <c r="AI1500" s="87"/>
      <c r="AJ1500" s="87"/>
      <c r="AK1500" s="87"/>
      <c r="AL1500" s="87">
        <v>4</v>
      </c>
      <c r="AM1500" s="87"/>
      <c r="AN1500" s="87"/>
      <c r="AO1500" s="87">
        <v>15</v>
      </c>
      <c r="AP1500" s="87"/>
      <c r="AQ1500" s="87"/>
      <c r="AR1500" s="87"/>
      <c r="AS1500" s="87"/>
      <c r="AT1500" s="87"/>
      <c r="AU1500" s="87"/>
      <c r="AV1500" s="87"/>
      <c r="AW1500" s="88" t="str">
        <f>HYPERLINK("http://www.openstreetmap.org/?mlat=32.6871&amp;mlon=44.1091&amp;zoom=12#map=12/32.6871/44.1091","Maplink1")</f>
        <v>Maplink1</v>
      </c>
      <c r="AX1500" s="88" t="str">
        <f>HYPERLINK("https://www.google.iq/maps/search/+32.6871,44.1091/@32.6871,44.1091,14z?hl=en","Maplink2")</f>
        <v>Maplink2</v>
      </c>
      <c r="AY1500" s="88" t="str">
        <f>HYPERLINK("http://www.bing.com/maps/?lvl=14&amp;sty=h&amp;cp=32.6871~44.1091&amp;sp=point.32.6871_44.1091","Maplink3")</f>
        <v>Maplink3</v>
      </c>
      <c r="AZ1500" s="76"/>
    </row>
    <row r="1501" spans="1:52" x14ac:dyDescent="0.25">
      <c r="A1501" s="86">
        <v>25885</v>
      </c>
      <c r="B1501" s="87" t="s">
        <v>19</v>
      </c>
      <c r="C1501" s="87" t="s">
        <v>19</v>
      </c>
      <c r="D1501" s="87" t="s">
        <v>2940</v>
      </c>
      <c r="E1501" s="87" t="s">
        <v>2941</v>
      </c>
      <c r="F1501" s="87">
        <v>32.6413477555</v>
      </c>
      <c r="G1501" s="87">
        <v>43.991765391599998</v>
      </c>
      <c r="H1501" s="86">
        <v>5</v>
      </c>
      <c r="I1501" s="86">
        <v>30</v>
      </c>
      <c r="J1501" s="87"/>
      <c r="K1501" s="87"/>
      <c r="L1501" s="87"/>
      <c r="M1501" s="87"/>
      <c r="N1501" s="87"/>
      <c r="O1501" s="87"/>
      <c r="P1501" s="87"/>
      <c r="Q1501" s="87"/>
      <c r="R1501" s="87"/>
      <c r="S1501" s="87"/>
      <c r="T1501" s="87"/>
      <c r="U1501" s="87"/>
      <c r="V1501" s="87">
        <v>5</v>
      </c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7"/>
      <c r="AH1501" s="87">
        <v>5</v>
      </c>
      <c r="AI1501" s="87"/>
      <c r="AJ1501" s="87"/>
      <c r="AK1501" s="87"/>
      <c r="AL1501" s="87"/>
      <c r="AM1501" s="87"/>
      <c r="AN1501" s="87"/>
      <c r="AO1501" s="87">
        <v>5</v>
      </c>
      <c r="AP1501" s="87"/>
      <c r="AQ1501" s="87"/>
      <c r="AR1501" s="87"/>
      <c r="AS1501" s="87"/>
      <c r="AT1501" s="87"/>
      <c r="AU1501" s="87"/>
      <c r="AV1501" s="87"/>
      <c r="AW1501" s="88" t="str">
        <f>HYPERLINK("http://www.openstreetmap.org/?mlat=32.6413&amp;mlon=43.9918&amp;zoom=12#map=12/32.6413/43.9918","Maplink1")</f>
        <v>Maplink1</v>
      </c>
      <c r="AX1501" s="88" t="str">
        <f>HYPERLINK("https://www.google.iq/maps/search/+32.6413,43.9918/@32.6413,43.9918,14z?hl=en","Maplink2")</f>
        <v>Maplink2</v>
      </c>
      <c r="AY1501" s="88" t="str">
        <f>HYPERLINK("http://www.bing.com/maps/?lvl=14&amp;sty=h&amp;cp=32.6413~43.9918&amp;sp=point.32.6413_43.9918","Maplink3")</f>
        <v>Maplink3</v>
      </c>
      <c r="AZ1501" s="76"/>
    </row>
    <row r="1502" spans="1:52" x14ac:dyDescent="0.25">
      <c r="A1502" s="86">
        <v>26060</v>
      </c>
      <c r="B1502" s="87" t="s">
        <v>19</v>
      </c>
      <c r="C1502" s="87" t="s">
        <v>19</v>
      </c>
      <c r="D1502" s="87" t="s">
        <v>2942</v>
      </c>
      <c r="E1502" s="87" t="s">
        <v>2943</v>
      </c>
      <c r="F1502" s="87">
        <v>32.658034878499997</v>
      </c>
      <c r="G1502" s="87">
        <v>44.058527139500001</v>
      </c>
      <c r="H1502" s="86">
        <v>35</v>
      </c>
      <c r="I1502" s="86">
        <v>210</v>
      </c>
      <c r="J1502" s="87"/>
      <c r="K1502" s="87"/>
      <c r="L1502" s="87"/>
      <c r="M1502" s="87"/>
      <c r="N1502" s="87"/>
      <c r="O1502" s="87"/>
      <c r="P1502" s="87"/>
      <c r="Q1502" s="87"/>
      <c r="R1502" s="87"/>
      <c r="S1502" s="87"/>
      <c r="T1502" s="87"/>
      <c r="U1502" s="87"/>
      <c r="V1502" s="87">
        <v>35</v>
      </c>
      <c r="W1502" s="87"/>
      <c r="X1502" s="87"/>
      <c r="Y1502" s="87"/>
      <c r="Z1502" s="87"/>
      <c r="AA1502" s="87"/>
      <c r="AB1502" s="87"/>
      <c r="AC1502" s="87"/>
      <c r="AD1502" s="87"/>
      <c r="AE1502" s="87"/>
      <c r="AF1502" s="87"/>
      <c r="AG1502" s="87"/>
      <c r="AH1502" s="87">
        <v>15</v>
      </c>
      <c r="AI1502" s="87"/>
      <c r="AJ1502" s="87"/>
      <c r="AK1502" s="87"/>
      <c r="AL1502" s="87">
        <v>20</v>
      </c>
      <c r="AM1502" s="87"/>
      <c r="AN1502" s="87"/>
      <c r="AO1502" s="87">
        <v>35</v>
      </c>
      <c r="AP1502" s="87"/>
      <c r="AQ1502" s="87"/>
      <c r="AR1502" s="87"/>
      <c r="AS1502" s="87"/>
      <c r="AT1502" s="87"/>
      <c r="AU1502" s="87"/>
      <c r="AV1502" s="87"/>
      <c r="AW1502" s="88" t="str">
        <f>HYPERLINK("http://www.openstreetmap.org/?mlat=32.658&amp;mlon=44.0585&amp;zoom=12#map=12/32.658/44.0585","Maplink1")</f>
        <v>Maplink1</v>
      </c>
      <c r="AX1502" s="88" t="str">
        <f>HYPERLINK("https://www.google.iq/maps/search/+32.658,44.0585/@32.658,44.0585,14z?hl=en","Maplink2")</f>
        <v>Maplink2</v>
      </c>
      <c r="AY1502" s="88" t="str">
        <f>HYPERLINK("http://www.bing.com/maps/?lvl=14&amp;sty=h&amp;cp=32.658~44.0585&amp;sp=point.32.658_44.0585","Maplink3")</f>
        <v>Maplink3</v>
      </c>
      <c r="AZ1502" s="76"/>
    </row>
    <row r="1503" spans="1:52" x14ac:dyDescent="0.25">
      <c r="A1503" s="86">
        <v>24679</v>
      </c>
      <c r="B1503" s="87" t="s">
        <v>19</v>
      </c>
      <c r="C1503" s="87" t="s">
        <v>19</v>
      </c>
      <c r="D1503" s="87" t="s">
        <v>2944</v>
      </c>
      <c r="E1503" s="87" t="s">
        <v>2945</v>
      </c>
      <c r="F1503" s="87">
        <v>32.6009654</v>
      </c>
      <c r="G1503" s="87">
        <v>44.036463890599997</v>
      </c>
      <c r="H1503" s="86">
        <v>8</v>
      </c>
      <c r="I1503" s="86">
        <v>48</v>
      </c>
      <c r="J1503" s="87">
        <v>1</v>
      </c>
      <c r="K1503" s="87"/>
      <c r="L1503" s="87"/>
      <c r="M1503" s="87"/>
      <c r="N1503" s="87"/>
      <c r="O1503" s="87"/>
      <c r="P1503" s="87"/>
      <c r="Q1503" s="87"/>
      <c r="R1503" s="87"/>
      <c r="S1503" s="87"/>
      <c r="T1503" s="87"/>
      <c r="U1503" s="87"/>
      <c r="V1503" s="87">
        <v>7</v>
      </c>
      <c r="W1503" s="87"/>
      <c r="X1503" s="87"/>
      <c r="Y1503" s="87"/>
      <c r="Z1503" s="87"/>
      <c r="AA1503" s="87"/>
      <c r="AB1503" s="87"/>
      <c r="AC1503" s="87"/>
      <c r="AD1503" s="87"/>
      <c r="AE1503" s="87"/>
      <c r="AF1503" s="87"/>
      <c r="AG1503" s="87"/>
      <c r="AH1503" s="87">
        <v>8</v>
      </c>
      <c r="AI1503" s="87"/>
      <c r="AJ1503" s="87"/>
      <c r="AK1503" s="87"/>
      <c r="AL1503" s="87"/>
      <c r="AM1503" s="87"/>
      <c r="AN1503" s="87">
        <v>1</v>
      </c>
      <c r="AO1503" s="87">
        <v>7</v>
      </c>
      <c r="AP1503" s="87"/>
      <c r="AQ1503" s="87"/>
      <c r="AR1503" s="87"/>
      <c r="AS1503" s="87"/>
      <c r="AT1503" s="87"/>
      <c r="AU1503" s="87"/>
      <c r="AV1503" s="87"/>
      <c r="AW1503" s="88" t="str">
        <f>HYPERLINK("http://www.openstreetmap.org/?mlat=32.601&amp;mlon=44.0365&amp;zoom=12#map=12/32.601/44.0365","Maplink1")</f>
        <v>Maplink1</v>
      </c>
      <c r="AX1503" s="88" t="str">
        <f>HYPERLINK("https://www.google.iq/maps/search/+32.601,44.0365/@32.601,44.0365,14z?hl=en","Maplink2")</f>
        <v>Maplink2</v>
      </c>
      <c r="AY1503" s="88" t="str">
        <f>HYPERLINK("http://www.bing.com/maps/?lvl=14&amp;sty=h&amp;cp=32.601~44.0365&amp;sp=point.32.601_44.0365","Maplink3")</f>
        <v>Maplink3</v>
      </c>
      <c r="AZ1503" s="76"/>
    </row>
    <row r="1504" spans="1:52" x14ac:dyDescent="0.25">
      <c r="A1504" s="86">
        <v>25852</v>
      </c>
      <c r="B1504" s="87" t="s">
        <v>19</v>
      </c>
      <c r="C1504" s="87" t="s">
        <v>19</v>
      </c>
      <c r="D1504" s="87" t="s">
        <v>2946</v>
      </c>
      <c r="E1504" s="87" t="s">
        <v>2947</v>
      </c>
      <c r="F1504" s="87">
        <v>32.667830733099997</v>
      </c>
      <c r="G1504" s="87">
        <v>44.1600507753</v>
      </c>
      <c r="H1504" s="86">
        <v>3</v>
      </c>
      <c r="I1504" s="86">
        <v>18</v>
      </c>
      <c r="J1504" s="87"/>
      <c r="K1504" s="87">
        <v>3</v>
      </c>
      <c r="L1504" s="87"/>
      <c r="M1504" s="87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87"/>
      <c r="AE1504" s="87"/>
      <c r="AF1504" s="87"/>
      <c r="AG1504" s="87"/>
      <c r="AH1504" s="87">
        <v>3</v>
      </c>
      <c r="AI1504" s="87"/>
      <c r="AJ1504" s="87"/>
      <c r="AK1504" s="87"/>
      <c r="AL1504" s="87"/>
      <c r="AM1504" s="87"/>
      <c r="AN1504" s="87">
        <v>3</v>
      </c>
      <c r="AO1504" s="87"/>
      <c r="AP1504" s="87"/>
      <c r="AQ1504" s="87"/>
      <c r="AR1504" s="87"/>
      <c r="AS1504" s="87"/>
      <c r="AT1504" s="87"/>
      <c r="AU1504" s="87"/>
      <c r="AV1504" s="87"/>
      <c r="AW1504" s="88" t="str">
        <f>HYPERLINK("http://www.openstreetmap.org/?mlat=32.6678&amp;mlon=44.1601&amp;zoom=12#map=12/32.6678/44.1601","Maplink1")</f>
        <v>Maplink1</v>
      </c>
      <c r="AX1504" s="88" t="str">
        <f>HYPERLINK("https://www.google.iq/maps/search/+32.6678,44.1601/@32.6678,44.1601,14z?hl=en","Maplink2")</f>
        <v>Maplink2</v>
      </c>
      <c r="AY1504" s="88" t="str">
        <f>HYPERLINK("http://www.bing.com/maps/?lvl=14&amp;sty=h&amp;cp=32.6678~44.1601&amp;sp=point.32.6678_44.1601","Maplink3")</f>
        <v>Maplink3</v>
      </c>
      <c r="AZ1504" s="76"/>
    </row>
    <row r="1505" spans="1:52" x14ac:dyDescent="0.25">
      <c r="A1505" s="86">
        <v>25490</v>
      </c>
      <c r="B1505" s="87" t="s">
        <v>19</v>
      </c>
      <c r="C1505" s="87" t="s">
        <v>19</v>
      </c>
      <c r="D1505" s="87" t="s">
        <v>2948</v>
      </c>
      <c r="E1505" s="87" t="s">
        <v>2949</v>
      </c>
      <c r="F1505" s="87">
        <v>32.652216600000003</v>
      </c>
      <c r="G1505" s="87">
        <v>43.979705000000003</v>
      </c>
      <c r="H1505" s="86">
        <v>7</v>
      </c>
      <c r="I1505" s="86">
        <v>42</v>
      </c>
      <c r="J1505" s="87"/>
      <c r="K1505" s="87"/>
      <c r="L1505" s="87"/>
      <c r="M1505" s="87"/>
      <c r="N1505" s="87"/>
      <c r="O1505" s="87"/>
      <c r="P1505" s="87"/>
      <c r="Q1505" s="87"/>
      <c r="R1505" s="87"/>
      <c r="S1505" s="87"/>
      <c r="T1505" s="87"/>
      <c r="U1505" s="87"/>
      <c r="V1505" s="87">
        <v>7</v>
      </c>
      <c r="W1505" s="87"/>
      <c r="X1505" s="87"/>
      <c r="Y1505" s="87"/>
      <c r="Z1505" s="87"/>
      <c r="AA1505" s="87"/>
      <c r="AB1505" s="87"/>
      <c r="AC1505" s="87"/>
      <c r="AD1505" s="87"/>
      <c r="AE1505" s="87"/>
      <c r="AF1505" s="87"/>
      <c r="AG1505" s="87"/>
      <c r="AH1505" s="87">
        <v>7</v>
      </c>
      <c r="AI1505" s="87"/>
      <c r="AJ1505" s="87"/>
      <c r="AK1505" s="87"/>
      <c r="AL1505" s="87"/>
      <c r="AM1505" s="87"/>
      <c r="AN1505" s="87"/>
      <c r="AO1505" s="87">
        <v>7</v>
      </c>
      <c r="AP1505" s="87"/>
      <c r="AQ1505" s="87"/>
      <c r="AR1505" s="87"/>
      <c r="AS1505" s="87"/>
      <c r="AT1505" s="87"/>
      <c r="AU1505" s="87"/>
      <c r="AV1505" s="87"/>
      <c r="AW1505" s="88" t="str">
        <f>HYPERLINK("http://www.openstreetmap.org/?mlat=32.6522&amp;mlon=43.9797&amp;zoom=12#map=12/32.6522/43.9797","Maplink1")</f>
        <v>Maplink1</v>
      </c>
      <c r="AX1505" s="88" t="str">
        <f>HYPERLINK("https://www.google.iq/maps/search/+32.6522,43.9797/@32.6522,43.9797,14z?hl=en","Maplink2")</f>
        <v>Maplink2</v>
      </c>
      <c r="AY1505" s="88" t="str">
        <f>HYPERLINK("http://www.bing.com/maps/?lvl=14&amp;sty=h&amp;cp=32.6522~43.9797&amp;sp=point.32.6522_43.9797","Maplink3")</f>
        <v>Maplink3</v>
      </c>
      <c r="AZ1505" s="76"/>
    </row>
    <row r="1506" spans="1:52" x14ac:dyDescent="0.25">
      <c r="A1506" s="86">
        <v>25477</v>
      </c>
      <c r="B1506" s="87" t="s">
        <v>19</v>
      </c>
      <c r="C1506" s="87" t="s">
        <v>19</v>
      </c>
      <c r="D1506" s="87" t="s">
        <v>2950</v>
      </c>
      <c r="E1506" s="87" t="s">
        <v>2951</v>
      </c>
      <c r="F1506" s="87">
        <v>32.6217682678</v>
      </c>
      <c r="G1506" s="87">
        <v>43.979224600000002</v>
      </c>
      <c r="H1506" s="86">
        <v>8</v>
      </c>
      <c r="I1506" s="86">
        <v>48</v>
      </c>
      <c r="J1506" s="87"/>
      <c r="K1506" s="87"/>
      <c r="L1506" s="87"/>
      <c r="M1506" s="87"/>
      <c r="N1506" s="87"/>
      <c r="O1506" s="87"/>
      <c r="P1506" s="87"/>
      <c r="Q1506" s="87"/>
      <c r="R1506" s="87"/>
      <c r="S1506" s="87"/>
      <c r="T1506" s="87"/>
      <c r="U1506" s="87"/>
      <c r="V1506" s="87">
        <v>8</v>
      </c>
      <c r="W1506" s="87"/>
      <c r="X1506" s="87"/>
      <c r="Y1506" s="87"/>
      <c r="Z1506" s="87"/>
      <c r="AA1506" s="87"/>
      <c r="AB1506" s="87"/>
      <c r="AC1506" s="87"/>
      <c r="AD1506" s="87"/>
      <c r="AE1506" s="87"/>
      <c r="AF1506" s="87"/>
      <c r="AG1506" s="87"/>
      <c r="AH1506" s="87">
        <v>8</v>
      </c>
      <c r="AI1506" s="87"/>
      <c r="AJ1506" s="87"/>
      <c r="AK1506" s="87"/>
      <c r="AL1506" s="87"/>
      <c r="AM1506" s="87"/>
      <c r="AN1506" s="87"/>
      <c r="AO1506" s="87">
        <v>8</v>
      </c>
      <c r="AP1506" s="87"/>
      <c r="AQ1506" s="87"/>
      <c r="AR1506" s="87"/>
      <c r="AS1506" s="87"/>
      <c r="AT1506" s="87"/>
      <c r="AU1506" s="87"/>
      <c r="AV1506" s="87"/>
      <c r="AW1506" s="88" t="str">
        <f>HYPERLINK("http://www.openstreetmap.org/?mlat=32.6218&amp;mlon=43.9792&amp;zoom=12#map=12/32.6218/43.9792","Maplink1")</f>
        <v>Maplink1</v>
      </c>
      <c r="AX1506" s="88" t="str">
        <f>HYPERLINK("https://www.google.iq/maps/search/+32.6218,43.9792/@32.6218,43.9792,14z?hl=en","Maplink2")</f>
        <v>Maplink2</v>
      </c>
      <c r="AY1506" s="88" t="str">
        <f>HYPERLINK("http://www.bing.com/maps/?lvl=14&amp;sty=h&amp;cp=32.6218~43.9792&amp;sp=point.32.6218_43.9792","Maplink3")</f>
        <v>Maplink3</v>
      </c>
      <c r="AZ1506" s="76"/>
    </row>
    <row r="1507" spans="1:52" x14ac:dyDescent="0.25">
      <c r="A1507" s="86">
        <v>25476</v>
      </c>
      <c r="B1507" s="87" t="s">
        <v>19</v>
      </c>
      <c r="C1507" s="87" t="s">
        <v>19</v>
      </c>
      <c r="D1507" s="87" t="s">
        <v>2952</v>
      </c>
      <c r="E1507" s="87" t="s">
        <v>2953</v>
      </c>
      <c r="F1507" s="87">
        <v>32.623050753800001</v>
      </c>
      <c r="G1507" s="87">
        <v>43.977915699999997</v>
      </c>
      <c r="H1507" s="86">
        <v>10</v>
      </c>
      <c r="I1507" s="86">
        <v>60</v>
      </c>
      <c r="J1507" s="87"/>
      <c r="K1507" s="87"/>
      <c r="L1507" s="87"/>
      <c r="M1507" s="87"/>
      <c r="N1507" s="87"/>
      <c r="O1507" s="87"/>
      <c r="P1507" s="87"/>
      <c r="Q1507" s="87"/>
      <c r="R1507" s="87"/>
      <c r="S1507" s="87"/>
      <c r="T1507" s="87"/>
      <c r="U1507" s="87"/>
      <c r="V1507" s="87">
        <v>10</v>
      </c>
      <c r="W1507" s="87"/>
      <c r="X1507" s="87"/>
      <c r="Y1507" s="87"/>
      <c r="Z1507" s="87"/>
      <c r="AA1507" s="87"/>
      <c r="AB1507" s="87"/>
      <c r="AC1507" s="87"/>
      <c r="AD1507" s="87"/>
      <c r="AE1507" s="87"/>
      <c r="AF1507" s="87"/>
      <c r="AG1507" s="87"/>
      <c r="AH1507" s="87">
        <v>10</v>
      </c>
      <c r="AI1507" s="87"/>
      <c r="AJ1507" s="87"/>
      <c r="AK1507" s="87"/>
      <c r="AL1507" s="87"/>
      <c r="AM1507" s="87"/>
      <c r="AN1507" s="87"/>
      <c r="AO1507" s="87">
        <v>10</v>
      </c>
      <c r="AP1507" s="87"/>
      <c r="AQ1507" s="87"/>
      <c r="AR1507" s="87"/>
      <c r="AS1507" s="87"/>
      <c r="AT1507" s="87"/>
      <c r="AU1507" s="87"/>
      <c r="AV1507" s="87"/>
      <c r="AW1507" s="88" t="str">
        <f>HYPERLINK("http://www.openstreetmap.org/?mlat=32.6231&amp;mlon=43.9779&amp;zoom=12#map=12/32.6231/43.9779","Maplink1")</f>
        <v>Maplink1</v>
      </c>
      <c r="AX1507" s="88" t="str">
        <f>HYPERLINK("https://www.google.iq/maps/search/+32.6231,43.9779/@32.6231,43.9779,14z?hl=en","Maplink2")</f>
        <v>Maplink2</v>
      </c>
      <c r="AY1507" s="88" t="str">
        <f>HYPERLINK("http://www.bing.com/maps/?lvl=14&amp;sty=h&amp;cp=32.6231~43.9779&amp;sp=point.32.6231_43.9779","Maplink3")</f>
        <v>Maplink3</v>
      </c>
      <c r="AZ1507" s="76"/>
    </row>
    <row r="1508" spans="1:52" x14ac:dyDescent="0.25">
      <c r="A1508" s="86">
        <v>25475</v>
      </c>
      <c r="B1508" s="87" t="s">
        <v>19</v>
      </c>
      <c r="C1508" s="87" t="s">
        <v>19</v>
      </c>
      <c r="D1508" s="87" t="s">
        <v>2954</v>
      </c>
      <c r="E1508" s="87" t="s">
        <v>2955</v>
      </c>
      <c r="F1508" s="87">
        <v>32.620630911299997</v>
      </c>
      <c r="G1508" s="87">
        <v>43.978803900000003</v>
      </c>
      <c r="H1508" s="86">
        <v>9</v>
      </c>
      <c r="I1508" s="86">
        <v>54</v>
      </c>
      <c r="J1508" s="87"/>
      <c r="K1508" s="87"/>
      <c r="L1508" s="87"/>
      <c r="M1508" s="87"/>
      <c r="N1508" s="87"/>
      <c r="O1508" s="87"/>
      <c r="P1508" s="87"/>
      <c r="Q1508" s="87"/>
      <c r="R1508" s="87"/>
      <c r="S1508" s="87"/>
      <c r="T1508" s="87"/>
      <c r="U1508" s="87"/>
      <c r="V1508" s="87">
        <v>9</v>
      </c>
      <c r="W1508" s="87"/>
      <c r="X1508" s="87"/>
      <c r="Y1508" s="87"/>
      <c r="Z1508" s="87"/>
      <c r="AA1508" s="87"/>
      <c r="AB1508" s="87"/>
      <c r="AC1508" s="87"/>
      <c r="AD1508" s="87"/>
      <c r="AE1508" s="87"/>
      <c r="AF1508" s="87"/>
      <c r="AG1508" s="87"/>
      <c r="AH1508" s="87">
        <v>9</v>
      </c>
      <c r="AI1508" s="87"/>
      <c r="AJ1508" s="87"/>
      <c r="AK1508" s="87"/>
      <c r="AL1508" s="87"/>
      <c r="AM1508" s="87"/>
      <c r="AN1508" s="87"/>
      <c r="AO1508" s="87">
        <v>9</v>
      </c>
      <c r="AP1508" s="87"/>
      <c r="AQ1508" s="87"/>
      <c r="AR1508" s="87"/>
      <c r="AS1508" s="87"/>
      <c r="AT1508" s="87"/>
      <c r="AU1508" s="87"/>
      <c r="AV1508" s="87"/>
      <c r="AW1508" s="88" t="str">
        <f>HYPERLINK("http://www.openstreetmap.org/?mlat=32.6206&amp;mlon=43.9788&amp;zoom=12#map=12/32.6206/43.9788","Maplink1")</f>
        <v>Maplink1</v>
      </c>
      <c r="AX1508" s="88" t="str">
        <f>HYPERLINK("https://www.google.iq/maps/search/+32.6206,43.9788/@32.6206,43.9788,14z?hl=en","Maplink2")</f>
        <v>Maplink2</v>
      </c>
      <c r="AY1508" s="88" t="str">
        <f>HYPERLINK("http://www.bing.com/maps/?lvl=14&amp;sty=h&amp;cp=32.6206~43.9788&amp;sp=point.32.6206_43.9788","Maplink3")</f>
        <v>Maplink3</v>
      </c>
      <c r="AZ1508" s="76"/>
    </row>
    <row r="1509" spans="1:52" x14ac:dyDescent="0.25">
      <c r="A1509" s="86">
        <v>25474</v>
      </c>
      <c r="B1509" s="87" t="s">
        <v>19</v>
      </c>
      <c r="C1509" s="87" t="s">
        <v>19</v>
      </c>
      <c r="D1509" s="87" t="s">
        <v>2956</v>
      </c>
      <c r="E1509" s="87" t="s">
        <v>2957</v>
      </c>
      <c r="F1509" s="87">
        <v>32.614104065699998</v>
      </c>
      <c r="G1509" s="87">
        <v>43.975859499999999</v>
      </c>
      <c r="H1509" s="86">
        <v>8</v>
      </c>
      <c r="I1509" s="86">
        <v>48</v>
      </c>
      <c r="J1509" s="87"/>
      <c r="K1509" s="87"/>
      <c r="L1509" s="87"/>
      <c r="M1509" s="87"/>
      <c r="N1509" s="87"/>
      <c r="O1509" s="87"/>
      <c r="P1509" s="87"/>
      <c r="Q1509" s="87"/>
      <c r="R1509" s="87"/>
      <c r="S1509" s="87"/>
      <c r="T1509" s="87"/>
      <c r="U1509" s="87"/>
      <c r="V1509" s="87">
        <v>5</v>
      </c>
      <c r="W1509" s="87"/>
      <c r="X1509" s="87">
        <v>3</v>
      </c>
      <c r="Y1509" s="87"/>
      <c r="Z1509" s="87"/>
      <c r="AA1509" s="87"/>
      <c r="AB1509" s="87"/>
      <c r="AC1509" s="87"/>
      <c r="AD1509" s="87"/>
      <c r="AE1509" s="87"/>
      <c r="AF1509" s="87"/>
      <c r="AG1509" s="87"/>
      <c r="AH1509" s="87">
        <v>8</v>
      </c>
      <c r="AI1509" s="87"/>
      <c r="AJ1509" s="87"/>
      <c r="AK1509" s="87"/>
      <c r="AL1509" s="87"/>
      <c r="AM1509" s="87"/>
      <c r="AN1509" s="87"/>
      <c r="AO1509" s="87">
        <v>8</v>
      </c>
      <c r="AP1509" s="87"/>
      <c r="AQ1509" s="87"/>
      <c r="AR1509" s="87"/>
      <c r="AS1509" s="87"/>
      <c r="AT1509" s="87"/>
      <c r="AU1509" s="87"/>
      <c r="AV1509" s="87"/>
      <c r="AW1509" s="88" t="str">
        <f>HYPERLINK("http://www.openstreetmap.org/?mlat=32.6141&amp;mlon=43.9759&amp;zoom=12#map=12/32.6141/43.9759","Maplink1")</f>
        <v>Maplink1</v>
      </c>
      <c r="AX1509" s="88" t="str">
        <f>HYPERLINK("https://www.google.iq/maps/search/+32.6141,43.9759/@32.6141,43.9759,14z?hl=en","Maplink2")</f>
        <v>Maplink2</v>
      </c>
      <c r="AY1509" s="88" t="str">
        <f>HYPERLINK("http://www.bing.com/maps/?lvl=14&amp;sty=h&amp;cp=32.6141~43.9759&amp;sp=point.32.6141_43.9759","Maplink3")</f>
        <v>Maplink3</v>
      </c>
      <c r="AZ1509" s="76"/>
    </row>
    <row r="1510" spans="1:52" x14ac:dyDescent="0.25">
      <c r="A1510" s="86">
        <v>25491</v>
      </c>
      <c r="B1510" s="87" t="s">
        <v>19</v>
      </c>
      <c r="C1510" s="87" t="s">
        <v>19</v>
      </c>
      <c r="D1510" s="87" t="s">
        <v>2958</v>
      </c>
      <c r="E1510" s="87" t="s">
        <v>2959</v>
      </c>
      <c r="F1510" s="87">
        <v>32.6515591</v>
      </c>
      <c r="G1510" s="87">
        <v>43.978688200000001</v>
      </c>
      <c r="H1510" s="86">
        <v>10</v>
      </c>
      <c r="I1510" s="86">
        <v>60</v>
      </c>
      <c r="J1510" s="87"/>
      <c r="K1510" s="87"/>
      <c r="L1510" s="87"/>
      <c r="M1510" s="87"/>
      <c r="N1510" s="87"/>
      <c r="O1510" s="87"/>
      <c r="P1510" s="87"/>
      <c r="Q1510" s="87"/>
      <c r="R1510" s="87"/>
      <c r="S1510" s="87"/>
      <c r="T1510" s="87"/>
      <c r="U1510" s="87"/>
      <c r="V1510" s="87">
        <v>10</v>
      </c>
      <c r="W1510" s="87"/>
      <c r="X1510" s="87"/>
      <c r="Y1510" s="87"/>
      <c r="Z1510" s="87"/>
      <c r="AA1510" s="87"/>
      <c r="AB1510" s="87"/>
      <c r="AC1510" s="87"/>
      <c r="AD1510" s="87"/>
      <c r="AE1510" s="87"/>
      <c r="AF1510" s="87"/>
      <c r="AG1510" s="87"/>
      <c r="AH1510" s="87">
        <v>10</v>
      </c>
      <c r="AI1510" s="87"/>
      <c r="AJ1510" s="87"/>
      <c r="AK1510" s="87"/>
      <c r="AL1510" s="87"/>
      <c r="AM1510" s="87"/>
      <c r="AN1510" s="87"/>
      <c r="AO1510" s="87">
        <v>10</v>
      </c>
      <c r="AP1510" s="87"/>
      <c r="AQ1510" s="87"/>
      <c r="AR1510" s="87"/>
      <c r="AS1510" s="87"/>
      <c r="AT1510" s="87"/>
      <c r="AU1510" s="87"/>
      <c r="AV1510" s="87"/>
      <c r="AW1510" s="88" t="str">
        <f>HYPERLINK("http://www.openstreetmap.org/?mlat=32.6516&amp;mlon=43.9787&amp;zoom=12#map=12/32.6516/43.9787","Maplink1")</f>
        <v>Maplink1</v>
      </c>
      <c r="AX1510" s="88" t="str">
        <f>HYPERLINK("https://www.google.iq/maps/search/+32.6516,43.9787/@32.6516,43.9787,14z?hl=en","Maplink2")</f>
        <v>Maplink2</v>
      </c>
      <c r="AY1510" s="88" t="str">
        <f>HYPERLINK("http://www.bing.com/maps/?lvl=14&amp;sty=h&amp;cp=32.6516~43.9787&amp;sp=point.32.6516_43.9787","Maplink3")</f>
        <v>Maplink3</v>
      </c>
      <c r="AZ1510" s="76"/>
    </row>
    <row r="1511" spans="1:52" x14ac:dyDescent="0.25">
      <c r="A1511" s="86">
        <v>25492</v>
      </c>
      <c r="B1511" s="87" t="s">
        <v>19</v>
      </c>
      <c r="C1511" s="87" t="s">
        <v>19</v>
      </c>
      <c r="D1511" s="87" t="s">
        <v>2960</v>
      </c>
      <c r="E1511" s="87" t="s">
        <v>2961</v>
      </c>
      <c r="F1511" s="87">
        <v>32.647933500000001</v>
      </c>
      <c r="G1511" s="87">
        <v>43.975004800000001</v>
      </c>
      <c r="H1511" s="86">
        <v>5</v>
      </c>
      <c r="I1511" s="86">
        <v>30</v>
      </c>
      <c r="J1511" s="87"/>
      <c r="K1511" s="87"/>
      <c r="L1511" s="87"/>
      <c r="M1511" s="87"/>
      <c r="N1511" s="87"/>
      <c r="O1511" s="87"/>
      <c r="P1511" s="87"/>
      <c r="Q1511" s="87"/>
      <c r="R1511" s="87"/>
      <c r="S1511" s="87"/>
      <c r="T1511" s="87"/>
      <c r="U1511" s="87"/>
      <c r="V1511" s="87">
        <v>5</v>
      </c>
      <c r="W1511" s="87"/>
      <c r="X1511" s="87"/>
      <c r="Y1511" s="87"/>
      <c r="Z1511" s="87"/>
      <c r="AA1511" s="87"/>
      <c r="AB1511" s="87"/>
      <c r="AC1511" s="87"/>
      <c r="AD1511" s="87"/>
      <c r="AE1511" s="87"/>
      <c r="AF1511" s="87"/>
      <c r="AG1511" s="87"/>
      <c r="AH1511" s="87">
        <v>5</v>
      </c>
      <c r="AI1511" s="87"/>
      <c r="AJ1511" s="87"/>
      <c r="AK1511" s="87"/>
      <c r="AL1511" s="87"/>
      <c r="AM1511" s="87"/>
      <c r="AN1511" s="87"/>
      <c r="AO1511" s="87">
        <v>5</v>
      </c>
      <c r="AP1511" s="87"/>
      <c r="AQ1511" s="87"/>
      <c r="AR1511" s="87"/>
      <c r="AS1511" s="87"/>
      <c r="AT1511" s="87"/>
      <c r="AU1511" s="87"/>
      <c r="AV1511" s="87"/>
      <c r="AW1511" s="88" t="str">
        <f>HYPERLINK("http://www.openstreetmap.org/?mlat=32.6479&amp;mlon=43.975&amp;zoom=12#map=12/32.6479/43.975","Maplink1")</f>
        <v>Maplink1</v>
      </c>
      <c r="AX1511" s="88" t="str">
        <f>HYPERLINK("https://www.google.iq/maps/search/+32.6479,43.975/@32.6479,43.975,14z?hl=en","Maplink2")</f>
        <v>Maplink2</v>
      </c>
      <c r="AY1511" s="88" t="str">
        <f>HYPERLINK("http://www.bing.com/maps/?lvl=14&amp;sty=h&amp;cp=32.6479~43.975&amp;sp=point.32.6479_43.975","Maplink3")</f>
        <v>Maplink3</v>
      </c>
      <c r="AZ1511" s="76"/>
    </row>
    <row r="1512" spans="1:52" x14ac:dyDescent="0.25">
      <c r="A1512" s="86">
        <v>25484</v>
      </c>
      <c r="B1512" s="87" t="s">
        <v>19</v>
      </c>
      <c r="C1512" s="87" t="s">
        <v>19</v>
      </c>
      <c r="D1512" s="87" t="s">
        <v>2962</v>
      </c>
      <c r="E1512" s="87" t="s">
        <v>2963</v>
      </c>
      <c r="F1512" s="87">
        <v>32.646764400000002</v>
      </c>
      <c r="G1512" s="87">
        <v>43.970161900000001</v>
      </c>
      <c r="H1512" s="86">
        <v>140</v>
      </c>
      <c r="I1512" s="86">
        <v>840</v>
      </c>
      <c r="J1512" s="87"/>
      <c r="K1512" s="87"/>
      <c r="L1512" s="87"/>
      <c r="M1512" s="87"/>
      <c r="N1512" s="87"/>
      <c r="O1512" s="87"/>
      <c r="P1512" s="87"/>
      <c r="Q1512" s="87"/>
      <c r="R1512" s="87"/>
      <c r="S1512" s="87"/>
      <c r="T1512" s="87"/>
      <c r="U1512" s="87"/>
      <c r="V1512" s="87">
        <v>140</v>
      </c>
      <c r="W1512" s="87"/>
      <c r="X1512" s="87"/>
      <c r="Y1512" s="87"/>
      <c r="Z1512" s="87"/>
      <c r="AA1512" s="87"/>
      <c r="AB1512" s="87"/>
      <c r="AC1512" s="87"/>
      <c r="AD1512" s="87"/>
      <c r="AE1512" s="87"/>
      <c r="AF1512" s="87"/>
      <c r="AG1512" s="87"/>
      <c r="AH1512" s="87">
        <v>140</v>
      </c>
      <c r="AI1512" s="87"/>
      <c r="AJ1512" s="87"/>
      <c r="AK1512" s="87"/>
      <c r="AL1512" s="87"/>
      <c r="AM1512" s="87"/>
      <c r="AN1512" s="87"/>
      <c r="AO1512" s="87">
        <v>140</v>
      </c>
      <c r="AP1512" s="87"/>
      <c r="AQ1512" s="87"/>
      <c r="AR1512" s="87"/>
      <c r="AS1512" s="87"/>
      <c r="AT1512" s="87"/>
      <c r="AU1512" s="87"/>
      <c r="AV1512" s="87"/>
      <c r="AW1512" s="88" t="str">
        <f>HYPERLINK("http://www.openstreetmap.org/?mlat=32.6468&amp;mlon=43.9702&amp;zoom=12#map=12/32.6468/43.9702","Maplink1")</f>
        <v>Maplink1</v>
      </c>
      <c r="AX1512" s="88" t="str">
        <f>HYPERLINK("https://www.google.iq/maps/search/+32.6468,43.9702/@32.6468,43.9702,14z?hl=en","Maplink2")</f>
        <v>Maplink2</v>
      </c>
      <c r="AY1512" s="88" t="str">
        <f>HYPERLINK("http://www.bing.com/maps/?lvl=14&amp;sty=h&amp;cp=32.6468~43.9702&amp;sp=point.32.6468_43.9702","Maplink3")</f>
        <v>Maplink3</v>
      </c>
      <c r="AZ1512" s="76"/>
    </row>
    <row r="1513" spans="1:52" x14ac:dyDescent="0.25">
      <c r="A1513" s="86">
        <v>25064</v>
      </c>
      <c r="B1513" s="87" t="s">
        <v>19</v>
      </c>
      <c r="C1513" s="87" t="s">
        <v>19</v>
      </c>
      <c r="D1513" s="87" t="s">
        <v>2964</v>
      </c>
      <c r="E1513" s="87" t="s">
        <v>2965</v>
      </c>
      <c r="F1513" s="87">
        <v>32.673647352300002</v>
      </c>
      <c r="G1513" s="87">
        <v>44.1636764203</v>
      </c>
      <c r="H1513" s="86">
        <v>10</v>
      </c>
      <c r="I1513" s="86">
        <v>60</v>
      </c>
      <c r="J1513" s="87"/>
      <c r="K1513" s="87">
        <v>10</v>
      </c>
      <c r="L1513" s="87"/>
      <c r="M1513" s="87"/>
      <c r="N1513" s="87"/>
      <c r="O1513" s="87"/>
      <c r="P1513" s="87"/>
      <c r="Q1513" s="87"/>
      <c r="R1513" s="87"/>
      <c r="S1513" s="87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87"/>
      <c r="AE1513" s="87"/>
      <c r="AF1513" s="87"/>
      <c r="AG1513" s="87"/>
      <c r="AH1513" s="87">
        <v>10</v>
      </c>
      <c r="AI1513" s="87"/>
      <c r="AJ1513" s="87"/>
      <c r="AK1513" s="87"/>
      <c r="AL1513" s="87"/>
      <c r="AM1513" s="87"/>
      <c r="AN1513" s="87">
        <v>10</v>
      </c>
      <c r="AO1513" s="87"/>
      <c r="AP1513" s="87"/>
      <c r="AQ1513" s="87"/>
      <c r="AR1513" s="87"/>
      <c r="AS1513" s="87"/>
      <c r="AT1513" s="87"/>
      <c r="AU1513" s="87"/>
      <c r="AV1513" s="87"/>
      <c r="AW1513" s="88" t="str">
        <f>HYPERLINK("http://www.openstreetmap.org/?mlat=32.6736&amp;mlon=44.1637&amp;zoom=12#map=12/32.6736/44.1637","Maplink1")</f>
        <v>Maplink1</v>
      </c>
      <c r="AX1513" s="88" t="str">
        <f>HYPERLINK("https://www.google.iq/maps/search/+32.6736,44.1637/@32.6736,44.1637,14z?hl=en","Maplink2")</f>
        <v>Maplink2</v>
      </c>
      <c r="AY1513" s="88" t="str">
        <f>HYPERLINK("http://www.bing.com/maps/?lvl=14&amp;sty=h&amp;cp=32.6736~44.1637&amp;sp=point.32.6736_44.1637","Maplink3")</f>
        <v>Maplink3</v>
      </c>
      <c r="AZ1513" s="76"/>
    </row>
    <row r="1514" spans="1:52" x14ac:dyDescent="0.25">
      <c r="A1514" s="86">
        <v>25355</v>
      </c>
      <c r="B1514" s="87" t="s">
        <v>19</v>
      </c>
      <c r="C1514" s="87" t="s">
        <v>19</v>
      </c>
      <c r="D1514" s="87" t="s">
        <v>5828</v>
      </c>
      <c r="E1514" s="87" t="s">
        <v>5829</v>
      </c>
      <c r="F1514" s="87">
        <v>32.630373409999997</v>
      </c>
      <c r="G1514" s="87">
        <v>44.062334180000001</v>
      </c>
      <c r="H1514" s="86">
        <v>2</v>
      </c>
      <c r="I1514" s="86">
        <v>12</v>
      </c>
      <c r="J1514" s="87"/>
      <c r="K1514" s="87"/>
      <c r="L1514" s="87"/>
      <c r="M1514" s="87"/>
      <c r="N1514" s="87"/>
      <c r="O1514" s="87"/>
      <c r="P1514" s="87"/>
      <c r="Q1514" s="87"/>
      <c r="R1514" s="87"/>
      <c r="S1514" s="87"/>
      <c r="T1514" s="87"/>
      <c r="U1514" s="87"/>
      <c r="V1514" s="87">
        <v>2</v>
      </c>
      <c r="W1514" s="87"/>
      <c r="X1514" s="87"/>
      <c r="Y1514" s="87"/>
      <c r="Z1514" s="87"/>
      <c r="AA1514" s="87"/>
      <c r="AB1514" s="87"/>
      <c r="AC1514" s="87"/>
      <c r="AD1514" s="87"/>
      <c r="AE1514" s="87"/>
      <c r="AF1514" s="87"/>
      <c r="AG1514" s="87"/>
      <c r="AH1514" s="87">
        <v>2</v>
      </c>
      <c r="AI1514" s="87"/>
      <c r="AJ1514" s="87"/>
      <c r="AK1514" s="87"/>
      <c r="AL1514" s="87"/>
      <c r="AM1514" s="87"/>
      <c r="AN1514" s="87"/>
      <c r="AO1514" s="87">
        <v>2</v>
      </c>
      <c r="AP1514" s="87"/>
      <c r="AQ1514" s="87"/>
      <c r="AR1514" s="87"/>
      <c r="AS1514" s="87"/>
      <c r="AT1514" s="87"/>
      <c r="AU1514" s="87"/>
      <c r="AV1514" s="87"/>
      <c r="AW1514" s="88" t="str">
        <f>HYPERLINK("http://www.openstreetmap.org/?mlat=32.6304&amp;mlon=44.0623&amp;zoom=12#map=12/32.6304/44.0623","Maplink1")</f>
        <v>Maplink1</v>
      </c>
      <c r="AX1514" s="88" t="str">
        <f>HYPERLINK("https://www.google.iq/maps/search/+32.6304,44.0623/@32.6304,44.0623,14z?hl=en","Maplink2")</f>
        <v>Maplink2</v>
      </c>
      <c r="AY1514" s="88" t="str">
        <f>HYPERLINK("http://www.bing.com/maps/?lvl=14&amp;sty=h&amp;cp=32.6304~44.0623&amp;sp=point.32.6304_44.0623","Maplink3")</f>
        <v>Maplink3</v>
      </c>
      <c r="AZ1514" s="76"/>
    </row>
    <row r="1515" spans="1:52" x14ac:dyDescent="0.25">
      <c r="A1515" s="86">
        <v>25482</v>
      </c>
      <c r="B1515" s="87" t="s">
        <v>19</v>
      </c>
      <c r="C1515" s="87" t="s">
        <v>19</v>
      </c>
      <c r="D1515" s="87" t="s">
        <v>2966</v>
      </c>
      <c r="E1515" s="87" t="s">
        <v>2967</v>
      </c>
      <c r="F1515" s="87">
        <v>32.645865293999996</v>
      </c>
      <c r="G1515" s="87">
        <v>44.023816799999999</v>
      </c>
      <c r="H1515" s="86">
        <v>18</v>
      </c>
      <c r="I1515" s="86">
        <v>108</v>
      </c>
      <c r="J1515" s="87"/>
      <c r="K1515" s="87"/>
      <c r="L1515" s="87"/>
      <c r="M1515" s="87"/>
      <c r="N1515" s="87"/>
      <c r="O1515" s="87"/>
      <c r="P1515" s="87"/>
      <c r="Q1515" s="87"/>
      <c r="R1515" s="87"/>
      <c r="S1515" s="87"/>
      <c r="T1515" s="87"/>
      <c r="U1515" s="87"/>
      <c r="V1515" s="87">
        <v>18</v>
      </c>
      <c r="W1515" s="87"/>
      <c r="X1515" s="87"/>
      <c r="Y1515" s="87"/>
      <c r="Z1515" s="87"/>
      <c r="AA1515" s="87"/>
      <c r="AB1515" s="87"/>
      <c r="AC1515" s="87"/>
      <c r="AD1515" s="87"/>
      <c r="AE1515" s="87"/>
      <c r="AF1515" s="87"/>
      <c r="AG1515" s="87"/>
      <c r="AH1515" s="87">
        <v>18</v>
      </c>
      <c r="AI1515" s="87"/>
      <c r="AJ1515" s="87"/>
      <c r="AK1515" s="87"/>
      <c r="AL1515" s="87"/>
      <c r="AM1515" s="87"/>
      <c r="AN1515" s="87"/>
      <c r="AO1515" s="87">
        <v>18</v>
      </c>
      <c r="AP1515" s="87"/>
      <c r="AQ1515" s="87"/>
      <c r="AR1515" s="87"/>
      <c r="AS1515" s="87"/>
      <c r="AT1515" s="87"/>
      <c r="AU1515" s="87"/>
      <c r="AV1515" s="87"/>
      <c r="AW1515" s="88" t="str">
        <f>HYPERLINK("http://www.openstreetmap.org/?mlat=32.6459&amp;mlon=44.0238&amp;zoom=12#map=12/32.6459/44.0238","Maplink1")</f>
        <v>Maplink1</v>
      </c>
      <c r="AX1515" s="88" t="str">
        <f>HYPERLINK("https://www.google.iq/maps/search/+32.6459,44.0238/@32.6459,44.0238,14z?hl=en","Maplink2")</f>
        <v>Maplink2</v>
      </c>
      <c r="AY1515" s="88" t="str">
        <f>HYPERLINK("http://www.bing.com/maps/?lvl=14&amp;sty=h&amp;cp=32.6459~44.0238&amp;sp=point.32.6459_44.0238","Maplink3")</f>
        <v>Maplink3</v>
      </c>
      <c r="AZ1515" s="76"/>
    </row>
    <row r="1516" spans="1:52" x14ac:dyDescent="0.25">
      <c r="A1516" s="86">
        <v>25483</v>
      </c>
      <c r="B1516" s="87" t="s">
        <v>19</v>
      </c>
      <c r="C1516" s="87" t="s">
        <v>19</v>
      </c>
      <c r="D1516" s="87" t="s">
        <v>2968</v>
      </c>
      <c r="E1516" s="87" t="s">
        <v>2969</v>
      </c>
      <c r="F1516" s="87">
        <v>32.630448957900001</v>
      </c>
      <c r="G1516" s="87">
        <v>44.0183094</v>
      </c>
      <c r="H1516" s="86">
        <v>20</v>
      </c>
      <c r="I1516" s="86">
        <v>120</v>
      </c>
      <c r="J1516" s="87"/>
      <c r="K1516" s="87"/>
      <c r="L1516" s="87"/>
      <c r="M1516" s="87"/>
      <c r="N1516" s="87"/>
      <c r="O1516" s="87"/>
      <c r="P1516" s="87"/>
      <c r="Q1516" s="87"/>
      <c r="R1516" s="87"/>
      <c r="S1516" s="87"/>
      <c r="T1516" s="87"/>
      <c r="U1516" s="87"/>
      <c r="V1516" s="87">
        <v>20</v>
      </c>
      <c r="W1516" s="87"/>
      <c r="X1516" s="87"/>
      <c r="Y1516" s="87"/>
      <c r="Z1516" s="87"/>
      <c r="AA1516" s="87"/>
      <c r="AB1516" s="87"/>
      <c r="AC1516" s="87"/>
      <c r="AD1516" s="87"/>
      <c r="AE1516" s="87"/>
      <c r="AF1516" s="87"/>
      <c r="AG1516" s="87"/>
      <c r="AH1516" s="87">
        <v>20</v>
      </c>
      <c r="AI1516" s="87"/>
      <c r="AJ1516" s="87"/>
      <c r="AK1516" s="87"/>
      <c r="AL1516" s="87"/>
      <c r="AM1516" s="87"/>
      <c r="AN1516" s="87"/>
      <c r="AO1516" s="87">
        <v>20</v>
      </c>
      <c r="AP1516" s="87"/>
      <c r="AQ1516" s="87"/>
      <c r="AR1516" s="87"/>
      <c r="AS1516" s="87"/>
      <c r="AT1516" s="87"/>
      <c r="AU1516" s="87"/>
      <c r="AV1516" s="87"/>
      <c r="AW1516" s="88" t="str">
        <f>HYPERLINK("http://www.openstreetmap.org/?mlat=32.6304&amp;mlon=44.0183&amp;zoom=12#map=12/32.6304/44.0183","Maplink1")</f>
        <v>Maplink1</v>
      </c>
      <c r="AX1516" s="88" t="str">
        <f>HYPERLINK("https://www.google.iq/maps/search/+32.6304,44.0183/@32.6304,44.0183,14z?hl=en","Maplink2")</f>
        <v>Maplink2</v>
      </c>
      <c r="AY1516" s="88" t="str">
        <f>HYPERLINK("http://www.bing.com/maps/?lvl=14&amp;sty=h&amp;cp=32.6304~44.0183&amp;sp=point.32.6304_44.0183","Maplink3")</f>
        <v>Maplink3</v>
      </c>
      <c r="AZ1516" s="76"/>
    </row>
    <row r="1517" spans="1:52" x14ac:dyDescent="0.25">
      <c r="A1517" s="86">
        <v>25264</v>
      </c>
      <c r="B1517" s="87" t="s">
        <v>19</v>
      </c>
      <c r="C1517" s="87" t="s">
        <v>19</v>
      </c>
      <c r="D1517" s="87" t="s">
        <v>2970</v>
      </c>
      <c r="E1517" s="87" t="s">
        <v>2971</v>
      </c>
      <c r="F1517" s="87">
        <v>32.605835599999999</v>
      </c>
      <c r="G1517" s="87">
        <v>44.064001500000003</v>
      </c>
      <c r="H1517" s="86">
        <v>17</v>
      </c>
      <c r="I1517" s="86">
        <v>102</v>
      </c>
      <c r="J1517" s="87">
        <v>1</v>
      </c>
      <c r="K1517" s="87"/>
      <c r="L1517" s="87"/>
      <c r="M1517" s="87"/>
      <c r="N1517" s="87"/>
      <c r="O1517" s="87"/>
      <c r="P1517" s="87"/>
      <c r="Q1517" s="87"/>
      <c r="R1517" s="87"/>
      <c r="S1517" s="87"/>
      <c r="T1517" s="87"/>
      <c r="U1517" s="87"/>
      <c r="V1517" s="87">
        <v>15</v>
      </c>
      <c r="W1517" s="87"/>
      <c r="X1517" s="87">
        <v>1</v>
      </c>
      <c r="Y1517" s="87"/>
      <c r="Z1517" s="87"/>
      <c r="AA1517" s="87"/>
      <c r="AB1517" s="87"/>
      <c r="AC1517" s="87"/>
      <c r="AD1517" s="87"/>
      <c r="AE1517" s="87"/>
      <c r="AF1517" s="87"/>
      <c r="AG1517" s="87"/>
      <c r="AH1517" s="87">
        <v>17</v>
      </c>
      <c r="AI1517" s="87"/>
      <c r="AJ1517" s="87"/>
      <c r="AK1517" s="87"/>
      <c r="AL1517" s="87"/>
      <c r="AM1517" s="87"/>
      <c r="AN1517" s="87">
        <v>1</v>
      </c>
      <c r="AO1517" s="87">
        <v>15</v>
      </c>
      <c r="AP1517" s="87">
        <v>1</v>
      </c>
      <c r="AQ1517" s="87"/>
      <c r="AR1517" s="87"/>
      <c r="AS1517" s="87"/>
      <c r="AT1517" s="87"/>
      <c r="AU1517" s="87"/>
      <c r="AV1517" s="87"/>
      <c r="AW1517" s="88" t="str">
        <f>HYPERLINK("http://www.openstreetmap.org/?mlat=32.6058&amp;mlon=44.064&amp;zoom=12#map=12/32.6058/44.064","Maplink1")</f>
        <v>Maplink1</v>
      </c>
      <c r="AX1517" s="88" t="str">
        <f>HYPERLINK("https://www.google.iq/maps/search/+32.6058,44.064/@32.6058,44.064,14z?hl=en","Maplink2")</f>
        <v>Maplink2</v>
      </c>
      <c r="AY1517" s="88" t="str">
        <f>HYPERLINK("http://www.bing.com/maps/?lvl=14&amp;sty=h&amp;cp=32.6058~44.064&amp;sp=point.32.6058_44.064","Maplink3")</f>
        <v>Maplink3</v>
      </c>
      <c r="AZ1517" s="76"/>
    </row>
    <row r="1518" spans="1:52" x14ac:dyDescent="0.25">
      <c r="A1518" s="86">
        <v>25887</v>
      </c>
      <c r="B1518" s="87" t="s">
        <v>19</v>
      </c>
      <c r="C1518" s="87" t="s">
        <v>19</v>
      </c>
      <c r="D1518" s="87" t="s">
        <v>2972</v>
      </c>
      <c r="E1518" s="87" t="s">
        <v>2973</v>
      </c>
      <c r="F1518" s="87">
        <v>32.684610084299997</v>
      </c>
      <c r="G1518" s="87">
        <v>44.111346099999999</v>
      </c>
      <c r="H1518" s="86">
        <v>40</v>
      </c>
      <c r="I1518" s="86">
        <v>240</v>
      </c>
      <c r="J1518" s="87">
        <v>1</v>
      </c>
      <c r="K1518" s="87">
        <v>16</v>
      </c>
      <c r="L1518" s="87"/>
      <c r="M1518" s="87"/>
      <c r="N1518" s="87"/>
      <c r="O1518" s="87"/>
      <c r="P1518" s="87"/>
      <c r="Q1518" s="87"/>
      <c r="R1518" s="87"/>
      <c r="S1518" s="87"/>
      <c r="T1518" s="87"/>
      <c r="U1518" s="87"/>
      <c r="V1518" s="87">
        <v>23</v>
      </c>
      <c r="W1518" s="87"/>
      <c r="X1518" s="87"/>
      <c r="Y1518" s="87"/>
      <c r="Z1518" s="87"/>
      <c r="AA1518" s="87"/>
      <c r="AB1518" s="87"/>
      <c r="AC1518" s="87"/>
      <c r="AD1518" s="87"/>
      <c r="AE1518" s="87"/>
      <c r="AF1518" s="87"/>
      <c r="AG1518" s="87"/>
      <c r="AH1518" s="87">
        <v>40</v>
      </c>
      <c r="AI1518" s="87"/>
      <c r="AJ1518" s="87"/>
      <c r="AK1518" s="87"/>
      <c r="AL1518" s="87"/>
      <c r="AM1518" s="87"/>
      <c r="AN1518" s="87">
        <v>17</v>
      </c>
      <c r="AO1518" s="87">
        <v>23</v>
      </c>
      <c r="AP1518" s="87"/>
      <c r="AQ1518" s="87"/>
      <c r="AR1518" s="87"/>
      <c r="AS1518" s="87"/>
      <c r="AT1518" s="87"/>
      <c r="AU1518" s="87"/>
      <c r="AV1518" s="87"/>
      <c r="AW1518" s="88" t="str">
        <f>HYPERLINK("http://www.openstreetmap.org/?mlat=32.6846&amp;mlon=44.1113&amp;zoom=12#map=12/32.6846/44.1113","Maplink1")</f>
        <v>Maplink1</v>
      </c>
      <c r="AX1518" s="88" t="str">
        <f>HYPERLINK("https://www.google.iq/maps/search/+32.6846,44.1113/@32.6846,44.1113,14z?hl=en","Maplink2")</f>
        <v>Maplink2</v>
      </c>
      <c r="AY1518" s="88" t="str">
        <f>HYPERLINK("http://www.bing.com/maps/?lvl=14&amp;sty=h&amp;cp=32.6846~44.1113&amp;sp=point.32.6846_44.1113","Maplink3")</f>
        <v>Maplink3</v>
      </c>
      <c r="AZ1518" s="76"/>
    </row>
    <row r="1519" spans="1:52" x14ac:dyDescent="0.25">
      <c r="A1519" s="86">
        <v>14137</v>
      </c>
      <c r="B1519" s="87" t="s">
        <v>19</v>
      </c>
      <c r="C1519" s="87" t="s">
        <v>19</v>
      </c>
      <c r="D1519" s="87" t="s">
        <v>5798</v>
      </c>
      <c r="E1519" s="87" t="s">
        <v>5799</v>
      </c>
      <c r="F1519" s="87">
        <v>32.637731000000002</v>
      </c>
      <c r="G1519" s="87">
        <v>44.076967000000003</v>
      </c>
      <c r="H1519" s="86">
        <v>4</v>
      </c>
      <c r="I1519" s="86">
        <v>24</v>
      </c>
      <c r="J1519" s="87"/>
      <c r="K1519" s="87">
        <v>4</v>
      </c>
      <c r="L1519" s="87"/>
      <c r="M1519" s="87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87"/>
      <c r="AE1519" s="87"/>
      <c r="AF1519" s="87"/>
      <c r="AG1519" s="87"/>
      <c r="AH1519" s="87">
        <v>4</v>
      </c>
      <c r="AI1519" s="87"/>
      <c r="AJ1519" s="87"/>
      <c r="AK1519" s="87"/>
      <c r="AL1519" s="87"/>
      <c r="AM1519" s="87"/>
      <c r="AN1519" s="87">
        <v>4</v>
      </c>
      <c r="AO1519" s="87"/>
      <c r="AP1519" s="87"/>
      <c r="AQ1519" s="87"/>
      <c r="AR1519" s="87"/>
      <c r="AS1519" s="87"/>
      <c r="AT1519" s="87"/>
      <c r="AU1519" s="87"/>
      <c r="AV1519" s="87"/>
      <c r="AW1519" s="88" t="str">
        <f>HYPERLINK("http://www.openstreetmap.org/?mlat=32.6377&amp;mlon=44.077&amp;zoom=12#map=12/32.6377/44.077","Maplink1")</f>
        <v>Maplink1</v>
      </c>
      <c r="AX1519" s="88" t="str">
        <f>HYPERLINK("https://www.google.iq/maps/search/+32.6377,44.077/@32.6377,44.077,14z?hl=en","Maplink2")</f>
        <v>Maplink2</v>
      </c>
      <c r="AY1519" s="88" t="str">
        <f>HYPERLINK("http://www.bing.com/maps/?lvl=14&amp;sty=h&amp;cp=32.6377~44.077&amp;sp=point.32.6377_44.077","Maplink3")</f>
        <v>Maplink3</v>
      </c>
      <c r="AZ1519" s="76"/>
    </row>
    <row r="1520" spans="1:52" x14ac:dyDescent="0.25">
      <c r="A1520" s="86">
        <v>25480</v>
      </c>
      <c r="B1520" s="87" t="s">
        <v>19</v>
      </c>
      <c r="C1520" s="87" t="s">
        <v>19</v>
      </c>
      <c r="D1520" s="87" t="s">
        <v>2974</v>
      </c>
      <c r="E1520" s="87" t="s">
        <v>2975</v>
      </c>
      <c r="F1520" s="87">
        <v>32.6486187</v>
      </c>
      <c r="G1520" s="87">
        <v>43.971231600000003</v>
      </c>
      <c r="H1520" s="86">
        <v>7</v>
      </c>
      <c r="I1520" s="86">
        <v>42</v>
      </c>
      <c r="J1520" s="87">
        <v>2</v>
      </c>
      <c r="K1520" s="87"/>
      <c r="L1520" s="87"/>
      <c r="M1520" s="87"/>
      <c r="N1520" s="87"/>
      <c r="O1520" s="87"/>
      <c r="P1520" s="87"/>
      <c r="Q1520" s="87"/>
      <c r="R1520" s="87"/>
      <c r="S1520" s="87"/>
      <c r="T1520" s="87"/>
      <c r="U1520" s="87"/>
      <c r="V1520" s="87">
        <v>5</v>
      </c>
      <c r="W1520" s="87"/>
      <c r="X1520" s="87"/>
      <c r="Y1520" s="87"/>
      <c r="Z1520" s="87"/>
      <c r="AA1520" s="87"/>
      <c r="AB1520" s="87"/>
      <c r="AC1520" s="87"/>
      <c r="AD1520" s="87"/>
      <c r="AE1520" s="87"/>
      <c r="AF1520" s="87"/>
      <c r="AG1520" s="87"/>
      <c r="AH1520" s="87">
        <v>7</v>
      </c>
      <c r="AI1520" s="87"/>
      <c r="AJ1520" s="87"/>
      <c r="AK1520" s="87"/>
      <c r="AL1520" s="87"/>
      <c r="AM1520" s="87"/>
      <c r="AN1520" s="87">
        <v>2</v>
      </c>
      <c r="AO1520" s="87">
        <v>5</v>
      </c>
      <c r="AP1520" s="87"/>
      <c r="AQ1520" s="87"/>
      <c r="AR1520" s="87"/>
      <c r="AS1520" s="87"/>
      <c r="AT1520" s="87"/>
      <c r="AU1520" s="87"/>
      <c r="AV1520" s="87"/>
      <c r="AW1520" s="88" t="str">
        <f>HYPERLINK("http://www.openstreetmap.org/?mlat=32.6486&amp;mlon=43.9712&amp;zoom=12#map=12/32.6486/43.9712","Maplink1")</f>
        <v>Maplink1</v>
      </c>
      <c r="AX1520" s="88" t="str">
        <f>HYPERLINK("https://www.google.iq/maps/search/+32.6486,43.9712/@32.6486,43.9712,14z?hl=en","Maplink2")</f>
        <v>Maplink2</v>
      </c>
      <c r="AY1520" s="88" t="str">
        <f>HYPERLINK("http://www.bing.com/maps/?lvl=14&amp;sty=h&amp;cp=32.6486~43.9712&amp;sp=point.32.6486_43.9712","Maplink3")</f>
        <v>Maplink3</v>
      </c>
      <c r="AZ1520" s="76"/>
    </row>
    <row r="1521" spans="1:52" x14ac:dyDescent="0.25">
      <c r="A1521" s="86">
        <v>25481</v>
      </c>
      <c r="B1521" s="87" t="s">
        <v>19</v>
      </c>
      <c r="C1521" s="87" t="s">
        <v>19</v>
      </c>
      <c r="D1521" s="87" t="s">
        <v>2976</v>
      </c>
      <c r="E1521" s="87" t="s">
        <v>2977</v>
      </c>
      <c r="F1521" s="87">
        <v>32.646971200000003</v>
      </c>
      <c r="G1521" s="87">
        <v>43.969172700000001</v>
      </c>
      <c r="H1521" s="86">
        <v>7</v>
      </c>
      <c r="I1521" s="86">
        <v>42</v>
      </c>
      <c r="J1521" s="87"/>
      <c r="K1521" s="87"/>
      <c r="L1521" s="87"/>
      <c r="M1521" s="87"/>
      <c r="N1521" s="87"/>
      <c r="O1521" s="87"/>
      <c r="P1521" s="87"/>
      <c r="Q1521" s="87"/>
      <c r="R1521" s="87">
        <v>1</v>
      </c>
      <c r="S1521" s="87"/>
      <c r="T1521" s="87"/>
      <c r="U1521" s="87"/>
      <c r="V1521" s="87">
        <v>6</v>
      </c>
      <c r="W1521" s="87"/>
      <c r="X1521" s="87"/>
      <c r="Y1521" s="87"/>
      <c r="Z1521" s="87"/>
      <c r="AA1521" s="87"/>
      <c r="AB1521" s="87"/>
      <c r="AC1521" s="87"/>
      <c r="AD1521" s="87"/>
      <c r="AE1521" s="87"/>
      <c r="AF1521" s="87"/>
      <c r="AG1521" s="87"/>
      <c r="AH1521" s="87">
        <v>7</v>
      </c>
      <c r="AI1521" s="87"/>
      <c r="AJ1521" s="87"/>
      <c r="AK1521" s="87"/>
      <c r="AL1521" s="87"/>
      <c r="AM1521" s="87"/>
      <c r="AN1521" s="87"/>
      <c r="AO1521" s="87">
        <v>6</v>
      </c>
      <c r="AP1521" s="87">
        <v>1</v>
      </c>
      <c r="AQ1521" s="87"/>
      <c r="AR1521" s="87"/>
      <c r="AS1521" s="87"/>
      <c r="AT1521" s="87"/>
      <c r="AU1521" s="87"/>
      <c r="AV1521" s="87"/>
      <c r="AW1521" s="88" t="str">
        <f>HYPERLINK("http://www.openstreetmap.org/?mlat=32.647&amp;mlon=43.9692&amp;zoom=12#map=12/32.647/43.9692","Maplink1")</f>
        <v>Maplink1</v>
      </c>
      <c r="AX1521" s="88" t="str">
        <f>HYPERLINK("https://www.google.iq/maps/search/+32.647,43.9692/@32.647,43.9692,14z?hl=en","Maplink2")</f>
        <v>Maplink2</v>
      </c>
      <c r="AY1521" s="88" t="str">
        <f>HYPERLINK("http://www.bing.com/maps/?lvl=14&amp;sty=h&amp;cp=32.647~43.9692&amp;sp=point.32.647_43.9692","Maplink3")</f>
        <v>Maplink3</v>
      </c>
      <c r="AZ1521" s="76"/>
    </row>
    <row r="1522" spans="1:52" x14ac:dyDescent="0.25">
      <c r="A1522" s="86">
        <v>23265</v>
      </c>
      <c r="B1522" s="87" t="s">
        <v>19</v>
      </c>
      <c r="C1522" s="87" t="s">
        <v>19</v>
      </c>
      <c r="D1522" s="87" t="s">
        <v>2978</v>
      </c>
      <c r="E1522" s="87" t="s">
        <v>2979</v>
      </c>
      <c r="F1522" s="87">
        <v>32.649267550300003</v>
      </c>
      <c r="G1522" s="87">
        <v>44.0497929</v>
      </c>
      <c r="H1522" s="86">
        <v>45</v>
      </c>
      <c r="I1522" s="86">
        <v>270</v>
      </c>
      <c r="J1522" s="87"/>
      <c r="K1522" s="87"/>
      <c r="L1522" s="87"/>
      <c r="M1522" s="87"/>
      <c r="N1522" s="87"/>
      <c r="O1522" s="87"/>
      <c r="P1522" s="87"/>
      <c r="Q1522" s="87"/>
      <c r="R1522" s="87"/>
      <c r="S1522" s="87"/>
      <c r="T1522" s="87"/>
      <c r="U1522" s="87"/>
      <c r="V1522" s="87">
        <v>45</v>
      </c>
      <c r="W1522" s="87"/>
      <c r="X1522" s="87"/>
      <c r="Y1522" s="87"/>
      <c r="Z1522" s="87"/>
      <c r="AA1522" s="87"/>
      <c r="AB1522" s="87"/>
      <c r="AC1522" s="87"/>
      <c r="AD1522" s="87"/>
      <c r="AE1522" s="87"/>
      <c r="AF1522" s="87"/>
      <c r="AG1522" s="87"/>
      <c r="AH1522" s="87">
        <v>45</v>
      </c>
      <c r="AI1522" s="87"/>
      <c r="AJ1522" s="87"/>
      <c r="AK1522" s="87"/>
      <c r="AL1522" s="87"/>
      <c r="AM1522" s="87"/>
      <c r="AN1522" s="87"/>
      <c r="AO1522" s="87">
        <v>45</v>
      </c>
      <c r="AP1522" s="87"/>
      <c r="AQ1522" s="87"/>
      <c r="AR1522" s="87"/>
      <c r="AS1522" s="87"/>
      <c r="AT1522" s="87"/>
      <c r="AU1522" s="87"/>
      <c r="AV1522" s="87"/>
      <c r="AW1522" s="88" t="str">
        <f>HYPERLINK("http://www.openstreetmap.org/?mlat=32.6493&amp;mlon=44.0498&amp;zoom=12#map=12/32.6493/44.0498","Maplink1")</f>
        <v>Maplink1</v>
      </c>
      <c r="AX1522" s="88" t="str">
        <f>HYPERLINK("https://www.google.iq/maps/search/+32.6493,44.0498/@32.6493,44.0498,14z?hl=en","Maplink2")</f>
        <v>Maplink2</v>
      </c>
      <c r="AY1522" s="88" t="str">
        <f>HYPERLINK("http://www.bing.com/maps/?lvl=14&amp;sty=h&amp;cp=32.6493~44.0498&amp;sp=point.32.6493_44.0498","Maplink3")</f>
        <v>Maplink3</v>
      </c>
      <c r="AZ1522" s="76"/>
    </row>
    <row r="1523" spans="1:52" x14ac:dyDescent="0.25">
      <c r="A1523" s="86">
        <v>25061</v>
      </c>
      <c r="B1523" s="87" t="s">
        <v>19</v>
      </c>
      <c r="C1523" s="87" t="s">
        <v>19</v>
      </c>
      <c r="D1523" s="87" t="s">
        <v>2980</v>
      </c>
      <c r="E1523" s="87" t="s">
        <v>2981</v>
      </c>
      <c r="F1523" s="87">
        <v>32.652488699999999</v>
      </c>
      <c r="G1523" s="87">
        <v>43.994832500000001</v>
      </c>
      <c r="H1523" s="86">
        <v>48</v>
      </c>
      <c r="I1523" s="86">
        <v>288</v>
      </c>
      <c r="J1523" s="87">
        <v>2</v>
      </c>
      <c r="K1523" s="87"/>
      <c r="L1523" s="87"/>
      <c r="M1523" s="87"/>
      <c r="N1523" s="87"/>
      <c r="O1523" s="87"/>
      <c r="P1523" s="87"/>
      <c r="Q1523" s="87"/>
      <c r="R1523" s="87"/>
      <c r="S1523" s="87"/>
      <c r="T1523" s="87"/>
      <c r="U1523" s="87"/>
      <c r="V1523" s="87">
        <v>46</v>
      </c>
      <c r="W1523" s="87"/>
      <c r="X1523" s="87"/>
      <c r="Y1523" s="87"/>
      <c r="Z1523" s="87"/>
      <c r="AA1523" s="87"/>
      <c r="AB1523" s="87"/>
      <c r="AC1523" s="87"/>
      <c r="AD1523" s="87"/>
      <c r="AE1523" s="87"/>
      <c r="AF1523" s="87"/>
      <c r="AG1523" s="87"/>
      <c r="AH1523" s="87">
        <v>48</v>
      </c>
      <c r="AI1523" s="87"/>
      <c r="AJ1523" s="87"/>
      <c r="AK1523" s="87"/>
      <c r="AL1523" s="87"/>
      <c r="AM1523" s="87"/>
      <c r="AN1523" s="87">
        <v>2</v>
      </c>
      <c r="AO1523" s="87">
        <v>46</v>
      </c>
      <c r="AP1523" s="87"/>
      <c r="AQ1523" s="87"/>
      <c r="AR1523" s="87"/>
      <c r="AS1523" s="87"/>
      <c r="AT1523" s="87"/>
      <c r="AU1523" s="87"/>
      <c r="AV1523" s="87"/>
      <c r="AW1523" s="88" t="str">
        <f>HYPERLINK("http://www.openstreetmap.org/?mlat=32.6525&amp;mlon=43.9948&amp;zoom=12#map=12/32.6525/43.9948","Maplink1")</f>
        <v>Maplink1</v>
      </c>
      <c r="AX1523" s="88" t="str">
        <f>HYPERLINK("https://www.google.iq/maps/search/+32.6525,43.9948/@32.6525,43.9948,14z?hl=en","Maplink2")</f>
        <v>Maplink2</v>
      </c>
      <c r="AY1523" s="88" t="str">
        <f>HYPERLINK("http://www.bing.com/maps/?lvl=14&amp;sty=h&amp;cp=32.6525~43.9948&amp;sp=point.32.6525_43.9948","Maplink3")</f>
        <v>Maplink3</v>
      </c>
      <c r="AZ1523" s="76"/>
    </row>
    <row r="1524" spans="1:52" x14ac:dyDescent="0.25">
      <c r="A1524" s="86">
        <v>22533</v>
      </c>
      <c r="B1524" s="87" t="s">
        <v>19</v>
      </c>
      <c r="C1524" s="87" t="s">
        <v>19</v>
      </c>
      <c r="D1524" s="87" t="s">
        <v>2982</v>
      </c>
      <c r="E1524" s="87" t="s">
        <v>2983</v>
      </c>
      <c r="F1524" s="87">
        <v>32.591954342199998</v>
      </c>
      <c r="G1524" s="87">
        <v>44.0127889647</v>
      </c>
      <c r="H1524" s="86">
        <v>20</v>
      </c>
      <c r="I1524" s="86">
        <v>120</v>
      </c>
      <c r="J1524" s="87">
        <v>5</v>
      </c>
      <c r="K1524" s="87"/>
      <c r="L1524" s="87"/>
      <c r="M1524" s="87"/>
      <c r="N1524" s="87"/>
      <c r="O1524" s="87">
        <v>4</v>
      </c>
      <c r="P1524" s="87"/>
      <c r="Q1524" s="87"/>
      <c r="R1524" s="87">
        <v>6</v>
      </c>
      <c r="S1524" s="87"/>
      <c r="T1524" s="87"/>
      <c r="U1524" s="87"/>
      <c r="V1524" s="87"/>
      <c r="W1524" s="87"/>
      <c r="X1524" s="87">
        <v>5</v>
      </c>
      <c r="Y1524" s="87"/>
      <c r="Z1524" s="87"/>
      <c r="AA1524" s="87"/>
      <c r="AB1524" s="87"/>
      <c r="AC1524" s="87"/>
      <c r="AD1524" s="87"/>
      <c r="AE1524" s="87"/>
      <c r="AF1524" s="87"/>
      <c r="AG1524" s="87"/>
      <c r="AH1524" s="87">
        <v>16</v>
      </c>
      <c r="AI1524" s="87"/>
      <c r="AJ1524" s="87"/>
      <c r="AK1524" s="87"/>
      <c r="AL1524" s="87">
        <v>4</v>
      </c>
      <c r="AM1524" s="87"/>
      <c r="AN1524" s="87">
        <v>10</v>
      </c>
      <c r="AO1524" s="87">
        <v>6</v>
      </c>
      <c r="AP1524" s="87">
        <v>4</v>
      </c>
      <c r="AQ1524" s="87"/>
      <c r="AR1524" s="87"/>
      <c r="AS1524" s="87"/>
      <c r="AT1524" s="87"/>
      <c r="AU1524" s="87"/>
      <c r="AV1524" s="87"/>
      <c r="AW1524" s="88" t="str">
        <f>HYPERLINK("http://www.openstreetmap.org/?mlat=32.592&amp;mlon=44.0128&amp;zoom=12#map=12/32.592/44.0128","Maplink1")</f>
        <v>Maplink1</v>
      </c>
      <c r="AX1524" s="88" t="str">
        <f>HYPERLINK("https://www.google.iq/maps/search/+32.592,44.0128/@32.592,44.0128,14z?hl=en","Maplink2")</f>
        <v>Maplink2</v>
      </c>
      <c r="AY1524" s="88" t="str">
        <f>HYPERLINK("http://www.bing.com/maps/?lvl=14&amp;sty=h&amp;cp=32.592~44.0128&amp;sp=point.32.592_44.0128","Maplink3")</f>
        <v>Maplink3</v>
      </c>
      <c r="AZ1524" s="76"/>
    </row>
    <row r="1525" spans="1:52" x14ac:dyDescent="0.25">
      <c r="A1525" s="86">
        <v>25487</v>
      </c>
      <c r="B1525" s="87" t="s">
        <v>19</v>
      </c>
      <c r="C1525" s="87" t="s">
        <v>19</v>
      </c>
      <c r="D1525" s="87" t="s">
        <v>2984</v>
      </c>
      <c r="E1525" s="87" t="s">
        <v>2985</v>
      </c>
      <c r="F1525" s="87">
        <v>32.648237855300003</v>
      </c>
      <c r="G1525" s="87">
        <v>44.1076618293</v>
      </c>
      <c r="H1525" s="86">
        <v>4</v>
      </c>
      <c r="I1525" s="86">
        <v>24</v>
      </c>
      <c r="J1525" s="87">
        <v>1</v>
      </c>
      <c r="K1525" s="87"/>
      <c r="L1525" s="87"/>
      <c r="M1525" s="87"/>
      <c r="N1525" s="87"/>
      <c r="O1525" s="87"/>
      <c r="P1525" s="87"/>
      <c r="Q1525" s="87"/>
      <c r="R1525" s="87"/>
      <c r="S1525" s="87"/>
      <c r="T1525" s="87"/>
      <c r="U1525" s="87"/>
      <c r="V1525" s="87">
        <v>3</v>
      </c>
      <c r="W1525" s="87"/>
      <c r="X1525" s="87"/>
      <c r="Y1525" s="87"/>
      <c r="Z1525" s="87"/>
      <c r="AA1525" s="87"/>
      <c r="AB1525" s="87"/>
      <c r="AC1525" s="87"/>
      <c r="AD1525" s="87"/>
      <c r="AE1525" s="87"/>
      <c r="AF1525" s="87"/>
      <c r="AG1525" s="87"/>
      <c r="AH1525" s="87">
        <v>4</v>
      </c>
      <c r="AI1525" s="87"/>
      <c r="AJ1525" s="87"/>
      <c r="AK1525" s="87"/>
      <c r="AL1525" s="87"/>
      <c r="AM1525" s="87"/>
      <c r="AN1525" s="87">
        <v>1</v>
      </c>
      <c r="AO1525" s="87">
        <v>3</v>
      </c>
      <c r="AP1525" s="87"/>
      <c r="AQ1525" s="87"/>
      <c r="AR1525" s="87"/>
      <c r="AS1525" s="87"/>
      <c r="AT1525" s="87"/>
      <c r="AU1525" s="87"/>
      <c r="AV1525" s="87"/>
      <c r="AW1525" s="88" t="str">
        <f>HYPERLINK("http://www.openstreetmap.org/?mlat=32.6482&amp;mlon=44.1077&amp;zoom=12#map=12/32.6482/44.1077","Maplink1")</f>
        <v>Maplink1</v>
      </c>
      <c r="AX1525" s="88" t="str">
        <f>HYPERLINK("https://www.google.iq/maps/search/+32.6482,44.1077/@32.6482,44.1077,14z?hl=en","Maplink2")</f>
        <v>Maplink2</v>
      </c>
      <c r="AY1525" s="88" t="str">
        <f>HYPERLINK("http://www.bing.com/maps/?lvl=14&amp;sty=h&amp;cp=32.6482~44.1077&amp;sp=point.32.6482_44.1077","Maplink3")</f>
        <v>Maplink3</v>
      </c>
      <c r="AZ1525" s="76"/>
    </row>
    <row r="1526" spans="1:52" x14ac:dyDescent="0.25">
      <c r="A1526" s="86">
        <v>24197</v>
      </c>
      <c r="B1526" s="87" t="s">
        <v>19</v>
      </c>
      <c r="C1526" s="87" t="s">
        <v>19</v>
      </c>
      <c r="D1526" s="87" t="s">
        <v>2986</v>
      </c>
      <c r="E1526" s="87" t="s">
        <v>2987</v>
      </c>
      <c r="F1526" s="87">
        <v>32.597857437400002</v>
      </c>
      <c r="G1526" s="87">
        <v>44.000013196099999</v>
      </c>
      <c r="H1526" s="86">
        <v>15</v>
      </c>
      <c r="I1526" s="86">
        <v>90</v>
      </c>
      <c r="J1526" s="87"/>
      <c r="K1526" s="87"/>
      <c r="L1526" s="87"/>
      <c r="M1526" s="87"/>
      <c r="N1526" s="87"/>
      <c r="O1526" s="87"/>
      <c r="P1526" s="87"/>
      <c r="Q1526" s="87"/>
      <c r="R1526" s="87">
        <v>8</v>
      </c>
      <c r="S1526" s="87"/>
      <c r="T1526" s="87"/>
      <c r="U1526" s="87"/>
      <c r="V1526" s="87">
        <v>7</v>
      </c>
      <c r="W1526" s="87"/>
      <c r="X1526" s="87"/>
      <c r="Y1526" s="87"/>
      <c r="Z1526" s="87"/>
      <c r="AA1526" s="87"/>
      <c r="AB1526" s="87"/>
      <c r="AC1526" s="87"/>
      <c r="AD1526" s="87"/>
      <c r="AE1526" s="87"/>
      <c r="AF1526" s="87"/>
      <c r="AG1526" s="87"/>
      <c r="AH1526" s="87">
        <v>15</v>
      </c>
      <c r="AI1526" s="87"/>
      <c r="AJ1526" s="87"/>
      <c r="AK1526" s="87"/>
      <c r="AL1526" s="87"/>
      <c r="AM1526" s="87"/>
      <c r="AN1526" s="87"/>
      <c r="AO1526" s="87">
        <v>15</v>
      </c>
      <c r="AP1526" s="87"/>
      <c r="AQ1526" s="87"/>
      <c r="AR1526" s="87"/>
      <c r="AS1526" s="87"/>
      <c r="AT1526" s="87"/>
      <c r="AU1526" s="87"/>
      <c r="AV1526" s="87"/>
      <c r="AW1526" s="88" t="str">
        <f>HYPERLINK("http://www.openstreetmap.org/?mlat=32.5979&amp;mlon=44&amp;zoom=12#map=12/32.5979/44","Maplink1")</f>
        <v>Maplink1</v>
      </c>
      <c r="AX1526" s="88" t="str">
        <f>HYPERLINK("https://www.google.iq/maps/search/+32.5979,44/@32.5979,44,14z?hl=en","Maplink2")</f>
        <v>Maplink2</v>
      </c>
      <c r="AY1526" s="88" t="str">
        <f>HYPERLINK("http://www.bing.com/maps/?lvl=14&amp;sty=h&amp;cp=32.5979~44&amp;sp=point.32.5979_44","Maplink3")</f>
        <v>Maplink3</v>
      </c>
      <c r="AZ1526" s="76"/>
    </row>
    <row r="1527" spans="1:52" x14ac:dyDescent="0.25">
      <c r="A1527" s="86">
        <v>25493</v>
      </c>
      <c r="B1527" s="87" t="s">
        <v>19</v>
      </c>
      <c r="C1527" s="87" t="s">
        <v>19</v>
      </c>
      <c r="D1527" s="87" t="s">
        <v>2988</v>
      </c>
      <c r="E1527" s="87" t="s">
        <v>2989</v>
      </c>
      <c r="F1527" s="87">
        <v>32.649276299999997</v>
      </c>
      <c r="G1527" s="87">
        <v>43.983838400000003</v>
      </c>
      <c r="H1527" s="86">
        <v>5</v>
      </c>
      <c r="I1527" s="86">
        <v>30</v>
      </c>
      <c r="J1527" s="87"/>
      <c r="K1527" s="87"/>
      <c r="L1527" s="87"/>
      <c r="M1527" s="87"/>
      <c r="N1527" s="87"/>
      <c r="O1527" s="87"/>
      <c r="P1527" s="87"/>
      <c r="Q1527" s="87"/>
      <c r="R1527" s="87"/>
      <c r="S1527" s="87"/>
      <c r="T1527" s="87"/>
      <c r="U1527" s="87"/>
      <c r="V1527" s="87">
        <v>5</v>
      </c>
      <c r="W1527" s="87"/>
      <c r="X1527" s="87"/>
      <c r="Y1527" s="87"/>
      <c r="Z1527" s="87"/>
      <c r="AA1527" s="87"/>
      <c r="AB1527" s="87"/>
      <c r="AC1527" s="87"/>
      <c r="AD1527" s="87"/>
      <c r="AE1527" s="87"/>
      <c r="AF1527" s="87"/>
      <c r="AG1527" s="87"/>
      <c r="AH1527" s="87">
        <v>5</v>
      </c>
      <c r="AI1527" s="87"/>
      <c r="AJ1527" s="87"/>
      <c r="AK1527" s="87"/>
      <c r="AL1527" s="87"/>
      <c r="AM1527" s="87"/>
      <c r="AN1527" s="87"/>
      <c r="AO1527" s="87">
        <v>5</v>
      </c>
      <c r="AP1527" s="87"/>
      <c r="AQ1527" s="87"/>
      <c r="AR1527" s="87"/>
      <c r="AS1527" s="87"/>
      <c r="AT1527" s="87"/>
      <c r="AU1527" s="87"/>
      <c r="AV1527" s="87"/>
      <c r="AW1527" s="88" t="str">
        <f>HYPERLINK("http://www.openstreetmap.org/?mlat=32.6493&amp;mlon=43.9838&amp;zoom=12#map=12/32.6493/43.9838","Maplink1")</f>
        <v>Maplink1</v>
      </c>
      <c r="AX1527" s="88" t="str">
        <f>HYPERLINK("https://www.google.iq/maps/search/+32.6493,43.9838/@32.6493,43.9838,14z?hl=en","Maplink2")</f>
        <v>Maplink2</v>
      </c>
      <c r="AY1527" s="88" t="str">
        <f>HYPERLINK("http://www.bing.com/maps/?lvl=14&amp;sty=h&amp;cp=32.6493~43.9838&amp;sp=point.32.6493_43.9838","Maplink3")</f>
        <v>Maplink3</v>
      </c>
      <c r="AZ1527" s="76"/>
    </row>
    <row r="1528" spans="1:52" x14ac:dyDescent="0.25">
      <c r="A1528" s="86">
        <v>25884</v>
      </c>
      <c r="B1528" s="87" t="s">
        <v>19</v>
      </c>
      <c r="C1528" s="87" t="s">
        <v>19</v>
      </c>
      <c r="D1528" s="87" t="s">
        <v>2990</v>
      </c>
      <c r="E1528" s="87" t="s">
        <v>2991</v>
      </c>
      <c r="F1528" s="87">
        <v>32.6289172006</v>
      </c>
      <c r="G1528" s="87">
        <v>44.0528323865</v>
      </c>
      <c r="H1528" s="86">
        <v>5</v>
      </c>
      <c r="I1528" s="86">
        <v>30</v>
      </c>
      <c r="J1528" s="87"/>
      <c r="K1528" s="87"/>
      <c r="L1528" s="87"/>
      <c r="M1528" s="87"/>
      <c r="N1528" s="87"/>
      <c r="O1528" s="87"/>
      <c r="P1528" s="87"/>
      <c r="Q1528" s="87"/>
      <c r="R1528" s="87"/>
      <c r="S1528" s="87"/>
      <c r="T1528" s="87"/>
      <c r="U1528" s="87"/>
      <c r="V1528" s="87">
        <v>5</v>
      </c>
      <c r="W1528" s="87"/>
      <c r="X1528" s="87"/>
      <c r="Y1528" s="87"/>
      <c r="Z1528" s="87"/>
      <c r="AA1528" s="87"/>
      <c r="AB1528" s="87"/>
      <c r="AC1528" s="87"/>
      <c r="AD1528" s="87"/>
      <c r="AE1528" s="87"/>
      <c r="AF1528" s="87"/>
      <c r="AG1528" s="87"/>
      <c r="AH1528" s="87">
        <v>5</v>
      </c>
      <c r="AI1528" s="87"/>
      <c r="AJ1528" s="87"/>
      <c r="AK1528" s="87"/>
      <c r="AL1528" s="87"/>
      <c r="AM1528" s="87"/>
      <c r="AN1528" s="87"/>
      <c r="AO1528" s="87">
        <v>5</v>
      </c>
      <c r="AP1528" s="87"/>
      <c r="AQ1528" s="87"/>
      <c r="AR1528" s="87"/>
      <c r="AS1528" s="87"/>
      <c r="AT1528" s="87"/>
      <c r="AU1528" s="87"/>
      <c r="AV1528" s="87"/>
      <c r="AW1528" s="88" t="str">
        <f>HYPERLINK("http://www.openstreetmap.org/?mlat=32.6289&amp;mlon=44.0528&amp;zoom=12#map=12/32.6289/44.0528","Maplink1")</f>
        <v>Maplink1</v>
      </c>
      <c r="AX1528" s="88" t="str">
        <f>HYPERLINK("https://www.google.iq/maps/search/+32.6289,44.0528/@32.6289,44.0528,14z?hl=en","Maplink2")</f>
        <v>Maplink2</v>
      </c>
      <c r="AY1528" s="88" t="str">
        <f>HYPERLINK("http://www.bing.com/maps/?lvl=14&amp;sty=h&amp;cp=32.6289~44.0528&amp;sp=point.32.6289_44.0528","Maplink3")</f>
        <v>Maplink3</v>
      </c>
      <c r="AZ1528" s="76"/>
    </row>
    <row r="1529" spans="1:52" x14ac:dyDescent="0.25">
      <c r="A1529" s="86">
        <v>25357</v>
      </c>
      <c r="B1529" s="87" t="s">
        <v>19</v>
      </c>
      <c r="C1529" s="87" t="s">
        <v>19</v>
      </c>
      <c r="D1529" s="87" t="s">
        <v>2992</v>
      </c>
      <c r="E1529" s="87" t="s">
        <v>2993</v>
      </c>
      <c r="F1529" s="87">
        <v>32.627707726399997</v>
      </c>
      <c r="G1529" s="87">
        <v>44.059783862899998</v>
      </c>
      <c r="H1529" s="86">
        <v>10</v>
      </c>
      <c r="I1529" s="86">
        <v>60</v>
      </c>
      <c r="J1529" s="87"/>
      <c r="K1529" s="87"/>
      <c r="L1529" s="87"/>
      <c r="M1529" s="87"/>
      <c r="N1529" s="87"/>
      <c r="O1529" s="87"/>
      <c r="P1529" s="87"/>
      <c r="Q1529" s="87"/>
      <c r="R1529" s="87"/>
      <c r="S1529" s="87"/>
      <c r="T1529" s="87"/>
      <c r="U1529" s="87"/>
      <c r="V1529" s="87">
        <v>10</v>
      </c>
      <c r="W1529" s="87"/>
      <c r="X1529" s="87"/>
      <c r="Y1529" s="87"/>
      <c r="Z1529" s="87"/>
      <c r="AA1529" s="87"/>
      <c r="AB1529" s="87"/>
      <c r="AC1529" s="87">
        <v>2</v>
      </c>
      <c r="AD1529" s="87"/>
      <c r="AE1529" s="87"/>
      <c r="AF1529" s="87"/>
      <c r="AG1529" s="87"/>
      <c r="AH1529" s="87">
        <v>8</v>
      </c>
      <c r="AI1529" s="87"/>
      <c r="AJ1529" s="87"/>
      <c r="AK1529" s="87"/>
      <c r="AL1529" s="87"/>
      <c r="AM1529" s="87"/>
      <c r="AN1529" s="87"/>
      <c r="AO1529" s="87">
        <v>10</v>
      </c>
      <c r="AP1529" s="87"/>
      <c r="AQ1529" s="87"/>
      <c r="AR1529" s="87"/>
      <c r="AS1529" s="87"/>
      <c r="AT1529" s="87"/>
      <c r="AU1529" s="87"/>
      <c r="AV1529" s="87"/>
      <c r="AW1529" s="88" t="str">
        <f>HYPERLINK("http://www.openstreetmap.org/?mlat=32.6277&amp;mlon=44.0598&amp;zoom=12#map=12/32.6277/44.0598","Maplink1")</f>
        <v>Maplink1</v>
      </c>
      <c r="AX1529" s="88" t="str">
        <f>HYPERLINK("https://www.google.iq/maps/search/+32.6277,44.0598/@32.6277,44.0598,14z?hl=en","Maplink2")</f>
        <v>Maplink2</v>
      </c>
      <c r="AY1529" s="88" t="str">
        <f>HYPERLINK("http://www.bing.com/maps/?lvl=14&amp;sty=h&amp;cp=32.6277~44.0598&amp;sp=point.32.6277_44.0598","Maplink3")</f>
        <v>Maplink3</v>
      </c>
      <c r="AZ1529" s="76"/>
    </row>
    <row r="1530" spans="1:52" x14ac:dyDescent="0.25">
      <c r="A1530" s="86">
        <v>14324</v>
      </c>
      <c r="B1530" s="87" t="s">
        <v>19</v>
      </c>
      <c r="C1530" s="87" t="s">
        <v>19</v>
      </c>
      <c r="D1530" s="87" t="s">
        <v>2994</v>
      </c>
      <c r="E1530" s="87" t="s">
        <v>2995</v>
      </c>
      <c r="F1530" s="87">
        <v>32.643026583199998</v>
      </c>
      <c r="G1530" s="87">
        <v>43.977992200000003</v>
      </c>
      <c r="H1530" s="86">
        <v>10</v>
      </c>
      <c r="I1530" s="86">
        <v>60</v>
      </c>
      <c r="J1530" s="87"/>
      <c r="K1530" s="87"/>
      <c r="L1530" s="87"/>
      <c r="M1530" s="87"/>
      <c r="N1530" s="87"/>
      <c r="O1530" s="87"/>
      <c r="P1530" s="87"/>
      <c r="Q1530" s="87"/>
      <c r="R1530" s="87"/>
      <c r="S1530" s="87"/>
      <c r="T1530" s="87"/>
      <c r="U1530" s="87"/>
      <c r="V1530" s="87">
        <v>10</v>
      </c>
      <c r="W1530" s="87"/>
      <c r="X1530" s="87"/>
      <c r="Y1530" s="87"/>
      <c r="Z1530" s="87"/>
      <c r="AA1530" s="87"/>
      <c r="AB1530" s="87"/>
      <c r="AC1530" s="87"/>
      <c r="AD1530" s="87"/>
      <c r="AE1530" s="87"/>
      <c r="AF1530" s="87"/>
      <c r="AG1530" s="87"/>
      <c r="AH1530" s="87">
        <v>10</v>
      </c>
      <c r="AI1530" s="87"/>
      <c r="AJ1530" s="87"/>
      <c r="AK1530" s="87"/>
      <c r="AL1530" s="87"/>
      <c r="AM1530" s="87"/>
      <c r="AN1530" s="87"/>
      <c r="AO1530" s="87">
        <v>10</v>
      </c>
      <c r="AP1530" s="87"/>
      <c r="AQ1530" s="87"/>
      <c r="AR1530" s="87"/>
      <c r="AS1530" s="87"/>
      <c r="AT1530" s="87"/>
      <c r="AU1530" s="87"/>
      <c r="AV1530" s="87"/>
      <c r="AW1530" s="88" t="str">
        <f>HYPERLINK("http://www.openstreetmap.org/?mlat=32.643&amp;mlon=43.978&amp;zoom=12#map=12/32.643/43.978","Maplink1")</f>
        <v>Maplink1</v>
      </c>
      <c r="AX1530" s="88" t="str">
        <f>HYPERLINK("https://www.google.iq/maps/search/+32.643,43.978/@32.643,43.978,14z?hl=en","Maplink2")</f>
        <v>Maplink2</v>
      </c>
      <c r="AY1530" s="88" t="str">
        <f>HYPERLINK("http://www.bing.com/maps/?lvl=14&amp;sty=h&amp;cp=32.643~43.978&amp;sp=point.32.643_43.978","Maplink3")</f>
        <v>Maplink3</v>
      </c>
      <c r="AZ1530" s="76"/>
    </row>
    <row r="1531" spans="1:52" x14ac:dyDescent="0.25">
      <c r="A1531" s="86">
        <v>25886</v>
      </c>
      <c r="B1531" s="87" t="s">
        <v>19</v>
      </c>
      <c r="C1531" s="87" t="s">
        <v>19</v>
      </c>
      <c r="D1531" s="87" t="s">
        <v>2996</v>
      </c>
      <c r="E1531" s="87" t="s">
        <v>2997</v>
      </c>
      <c r="F1531" s="87">
        <v>32.623406510400002</v>
      </c>
      <c r="G1531" s="87">
        <v>44.0492402486</v>
      </c>
      <c r="H1531" s="86">
        <v>12</v>
      </c>
      <c r="I1531" s="86">
        <v>72</v>
      </c>
      <c r="J1531" s="87"/>
      <c r="K1531" s="87"/>
      <c r="L1531" s="87"/>
      <c r="M1531" s="87"/>
      <c r="N1531" s="87"/>
      <c r="O1531" s="87"/>
      <c r="P1531" s="87"/>
      <c r="Q1531" s="87"/>
      <c r="R1531" s="87"/>
      <c r="S1531" s="87"/>
      <c r="T1531" s="87"/>
      <c r="U1531" s="87"/>
      <c r="V1531" s="87">
        <v>12</v>
      </c>
      <c r="W1531" s="87"/>
      <c r="X1531" s="87"/>
      <c r="Y1531" s="87"/>
      <c r="Z1531" s="87"/>
      <c r="AA1531" s="87"/>
      <c r="AB1531" s="87"/>
      <c r="AC1531" s="87"/>
      <c r="AD1531" s="87"/>
      <c r="AE1531" s="87"/>
      <c r="AF1531" s="87"/>
      <c r="AG1531" s="87">
        <v>4</v>
      </c>
      <c r="AH1531" s="87">
        <v>8</v>
      </c>
      <c r="AI1531" s="87"/>
      <c r="AJ1531" s="87"/>
      <c r="AK1531" s="87"/>
      <c r="AL1531" s="87"/>
      <c r="AM1531" s="87"/>
      <c r="AN1531" s="87"/>
      <c r="AO1531" s="87">
        <v>12</v>
      </c>
      <c r="AP1531" s="87"/>
      <c r="AQ1531" s="87"/>
      <c r="AR1531" s="87"/>
      <c r="AS1531" s="87"/>
      <c r="AT1531" s="87"/>
      <c r="AU1531" s="87"/>
      <c r="AV1531" s="87"/>
      <c r="AW1531" s="88" t="str">
        <f>HYPERLINK("http://www.openstreetmap.org/?mlat=32.6234&amp;mlon=44.0492&amp;zoom=12#map=12/32.6234/44.0492","Maplink1")</f>
        <v>Maplink1</v>
      </c>
      <c r="AX1531" s="88" t="str">
        <f>HYPERLINK("https://www.google.iq/maps/search/+32.6234,44.0492/@32.6234,44.0492,14z?hl=en","Maplink2")</f>
        <v>Maplink2</v>
      </c>
      <c r="AY1531" s="88" t="str">
        <f>HYPERLINK("http://www.bing.com/maps/?lvl=14&amp;sty=h&amp;cp=32.6234~44.0492&amp;sp=point.32.6234_44.0492","Maplink3")</f>
        <v>Maplink3</v>
      </c>
      <c r="AZ1531" s="76"/>
    </row>
    <row r="1532" spans="1:52" x14ac:dyDescent="0.25">
      <c r="A1532" s="86">
        <v>25905</v>
      </c>
      <c r="B1532" s="87" t="s">
        <v>19</v>
      </c>
      <c r="C1532" s="87" t="s">
        <v>19</v>
      </c>
      <c r="D1532" s="87" t="s">
        <v>2998</v>
      </c>
      <c r="E1532" s="87" t="s">
        <v>2999</v>
      </c>
      <c r="F1532" s="87">
        <v>32.576365699999997</v>
      </c>
      <c r="G1532" s="87">
        <v>44.001907500000002</v>
      </c>
      <c r="H1532" s="86">
        <v>8</v>
      </c>
      <c r="I1532" s="86">
        <v>48</v>
      </c>
      <c r="J1532" s="87">
        <v>1</v>
      </c>
      <c r="K1532" s="87"/>
      <c r="L1532" s="87"/>
      <c r="M1532" s="87"/>
      <c r="N1532" s="87"/>
      <c r="O1532" s="87">
        <v>2</v>
      </c>
      <c r="P1532" s="87"/>
      <c r="Q1532" s="87"/>
      <c r="R1532" s="87">
        <v>2</v>
      </c>
      <c r="S1532" s="87"/>
      <c r="T1532" s="87"/>
      <c r="U1532" s="87"/>
      <c r="V1532" s="87">
        <v>3</v>
      </c>
      <c r="W1532" s="87"/>
      <c r="X1532" s="87"/>
      <c r="Y1532" s="87"/>
      <c r="Z1532" s="87"/>
      <c r="AA1532" s="87"/>
      <c r="AB1532" s="87"/>
      <c r="AC1532" s="87"/>
      <c r="AD1532" s="87"/>
      <c r="AE1532" s="87"/>
      <c r="AF1532" s="87"/>
      <c r="AG1532" s="87"/>
      <c r="AH1532" s="87">
        <v>8</v>
      </c>
      <c r="AI1532" s="87"/>
      <c r="AJ1532" s="87"/>
      <c r="AK1532" s="87"/>
      <c r="AL1532" s="87"/>
      <c r="AM1532" s="87"/>
      <c r="AN1532" s="87">
        <v>1</v>
      </c>
      <c r="AO1532" s="87">
        <v>7</v>
      </c>
      <c r="AP1532" s="87"/>
      <c r="AQ1532" s="87"/>
      <c r="AR1532" s="87"/>
      <c r="AS1532" s="87"/>
      <c r="AT1532" s="87"/>
      <c r="AU1532" s="87"/>
      <c r="AV1532" s="87"/>
      <c r="AW1532" s="88" t="str">
        <f>HYPERLINK("http://www.openstreetmap.org/?mlat=32.5764&amp;mlon=44.0019&amp;zoom=12#map=12/32.5764/44.0019","Maplink1")</f>
        <v>Maplink1</v>
      </c>
      <c r="AX1532" s="88" t="str">
        <f>HYPERLINK("https://www.google.iq/maps/search/+32.5764,44.0019/@32.5764,44.0019,14z?hl=en","Maplink2")</f>
        <v>Maplink2</v>
      </c>
      <c r="AY1532" s="88" t="str">
        <f>HYPERLINK("http://www.bing.com/maps/?lvl=14&amp;sty=h&amp;cp=32.5764~44.0019&amp;sp=point.32.5764_44.0019","Maplink3")</f>
        <v>Maplink3</v>
      </c>
      <c r="AZ1532" s="76"/>
    </row>
    <row r="1533" spans="1:52" x14ac:dyDescent="0.25">
      <c r="A1533" s="86">
        <v>25273</v>
      </c>
      <c r="B1533" s="87" t="s">
        <v>19</v>
      </c>
      <c r="C1533" s="87" t="s">
        <v>19</v>
      </c>
      <c r="D1533" s="87" t="s">
        <v>3000</v>
      </c>
      <c r="E1533" s="87" t="s">
        <v>3001</v>
      </c>
      <c r="F1533" s="87">
        <v>32.640861800000003</v>
      </c>
      <c r="G1533" s="87">
        <v>43.9844632</v>
      </c>
      <c r="H1533" s="86">
        <v>16</v>
      </c>
      <c r="I1533" s="86">
        <v>96</v>
      </c>
      <c r="J1533" s="87"/>
      <c r="K1533" s="87"/>
      <c r="L1533" s="87"/>
      <c r="M1533" s="87"/>
      <c r="N1533" s="87"/>
      <c r="O1533" s="87"/>
      <c r="P1533" s="87"/>
      <c r="Q1533" s="87"/>
      <c r="R1533" s="87"/>
      <c r="S1533" s="87"/>
      <c r="T1533" s="87"/>
      <c r="U1533" s="87"/>
      <c r="V1533" s="87">
        <v>16</v>
      </c>
      <c r="W1533" s="87"/>
      <c r="X1533" s="87"/>
      <c r="Y1533" s="87"/>
      <c r="Z1533" s="87"/>
      <c r="AA1533" s="87"/>
      <c r="AB1533" s="87"/>
      <c r="AC1533" s="87"/>
      <c r="AD1533" s="87"/>
      <c r="AE1533" s="87"/>
      <c r="AF1533" s="87"/>
      <c r="AG1533" s="87"/>
      <c r="AH1533" s="87">
        <v>16</v>
      </c>
      <c r="AI1533" s="87"/>
      <c r="AJ1533" s="87"/>
      <c r="AK1533" s="87"/>
      <c r="AL1533" s="87"/>
      <c r="AM1533" s="87"/>
      <c r="AN1533" s="87"/>
      <c r="AO1533" s="87">
        <v>16</v>
      </c>
      <c r="AP1533" s="87"/>
      <c r="AQ1533" s="87"/>
      <c r="AR1533" s="87"/>
      <c r="AS1533" s="87"/>
      <c r="AT1533" s="87"/>
      <c r="AU1533" s="87"/>
      <c r="AV1533" s="87"/>
      <c r="AW1533" s="88" t="str">
        <f>HYPERLINK("http://www.openstreetmap.org/?mlat=32.6409&amp;mlon=43.9845&amp;zoom=12#map=12/32.6409/43.9845","Maplink1")</f>
        <v>Maplink1</v>
      </c>
      <c r="AX1533" s="88" t="str">
        <f>HYPERLINK("https://www.google.iq/maps/search/+32.6409,43.9845/@32.6409,43.9845,14z?hl=en","Maplink2")</f>
        <v>Maplink2</v>
      </c>
      <c r="AY1533" s="88" t="str">
        <f>HYPERLINK("http://www.bing.com/maps/?lvl=14&amp;sty=h&amp;cp=32.6409~43.9845&amp;sp=point.32.6409_43.9845","Maplink3")</f>
        <v>Maplink3</v>
      </c>
      <c r="AZ1533" s="76"/>
    </row>
    <row r="1534" spans="1:52" x14ac:dyDescent="0.25">
      <c r="A1534" s="86">
        <v>22532</v>
      </c>
      <c r="B1534" s="87" t="s">
        <v>19</v>
      </c>
      <c r="C1534" s="87" t="s">
        <v>19</v>
      </c>
      <c r="D1534" s="87" t="s">
        <v>3002</v>
      </c>
      <c r="E1534" s="87" t="s">
        <v>3003</v>
      </c>
      <c r="F1534" s="87">
        <v>32.642186899999999</v>
      </c>
      <c r="G1534" s="87">
        <v>43.983091899999998</v>
      </c>
      <c r="H1534" s="86">
        <v>14</v>
      </c>
      <c r="I1534" s="86">
        <v>84</v>
      </c>
      <c r="J1534" s="87"/>
      <c r="K1534" s="87"/>
      <c r="L1534" s="87"/>
      <c r="M1534" s="87"/>
      <c r="N1534" s="87"/>
      <c r="O1534" s="87"/>
      <c r="P1534" s="87"/>
      <c r="Q1534" s="87"/>
      <c r="R1534" s="87"/>
      <c r="S1534" s="87"/>
      <c r="T1534" s="87"/>
      <c r="U1534" s="87"/>
      <c r="V1534" s="87">
        <v>14</v>
      </c>
      <c r="W1534" s="87"/>
      <c r="X1534" s="87"/>
      <c r="Y1534" s="87"/>
      <c r="Z1534" s="87"/>
      <c r="AA1534" s="87"/>
      <c r="AB1534" s="87"/>
      <c r="AC1534" s="87"/>
      <c r="AD1534" s="87"/>
      <c r="AE1534" s="87"/>
      <c r="AF1534" s="87"/>
      <c r="AG1534" s="87"/>
      <c r="AH1534" s="87">
        <v>14</v>
      </c>
      <c r="AI1534" s="87"/>
      <c r="AJ1534" s="87"/>
      <c r="AK1534" s="87"/>
      <c r="AL1534" s="87"/>
      <c r="AM1534" s="87"/>
      <c r="AN1534" s="87"/>
      <c r="AO1534" s="87">
        <v>14</v>
      </c>
      <c r="AP1534" s="87"/>
      <c r="AQ1534" s="87"/>
      <c r="AR1534" s="87"/>
      <c r="AS1534" s="87"/>
      <c r="AT1534" s="87"/>
      <c r="AU1534" s="87"/>
      <c r="AV1534" s="87"/>
      <c r="AW1534" s="88" t="str">
        <f>HYPERLINK("http://www.openstreetmap.org/?mlat=32.6422&amp;mlon=43.9831&amp;zoom=12#map=12/32.6422/43.9831","Maplink1")</f>
        <v>Maplink1</v>
      </c>
      <c r="AX1534" s="88" t="str">
        <f>HYPERLINK("https://www.google.iq/maps/search/+32.6422,43.9831/@32.6422,43.9831,14z?hl=en","Maplink2")</f>
        <v>Maplink2</v>
      </c>
      <c r="AY1534" s="88" t="str">
        <f>HYPERLINK("http://www.bing.com/maps/?lvl=14&amp;sty=h&amp;cp=32.6422~43.9831&amp;sp=point.32.6422_43.9831","Maplink3")</f>
        <v>Maplink3</v>
      </c>
      <c r="AZ1534" s="76"/>
    </row>
    <row r="1535" spans="1:52" x14ac:dyDescent="0.25">
      <c r="A1535" s="86">
        <v>22786</v>
      </c>
      <c r="B1535" s="87" t="s">
        <v>19</v>
      </c>
      <c r="C1535" s="87" t="s">
        <v>19</v>
      </c>
      <c r="D1535" s="87" t="s">
        <v>3004</v>
      </c>
      <c r="E1535" s="87" t="s">
        <v>3005</v>
      </c>
      <c r="F1535" s="87">
        <v>32.620162499999999</v>
      </c>
      <c r="G1535" s="87">
        <v>44.0183933514</v>
      </c>
      <c r="H1535" s="86">
        <v>22</v>
      </c>
      <c r="I1535" s="86">
        <v>132</v>
      </c>
      <c r="J1535" s="87"/>
      <c r="K1535" s="87"/>
      <c r="L1535" s="87"/>
      <c r="M1535" s="87"/>
      <c r="N1535" s="87"/>
      <c r="O1535" s="87"/>
      <c r="P1535" s="87"/>
      <c r="Q1535" s="87"/>
      <c r="R1535" s="87"/>
      <c r="S1535" s="87"/>
      <c r="T1535" s="87"/>
      <c r="U1535" s="87"/>
      <c r="V1535" s="87">
        <v>22</v>
      </c>
      <c r="W1535" s="87"/>
      <c r="X1535" s="87"/>
      <c r="Y1535" s="87"/>
      <c r="Z1535" s="87"/>
      <c r="AA1535" s="87"/>
      <c r="AB1535" s="87"/>
      <c r="AC1535" s="87"/>
      <c r="AD1535" s="87"/>
      <c r="AE1535" s="87"/>
      <c r="AF1535" s="87"/>
      <c r="AG1535" s="87"/>
      <c r="AH1535" s="87">
        <v>22</v>
      </c>
      <c r="AI1535" s="87"/>
      <c r="AJ1535" s="87"/>
      <c r="AK1535" s="87"/>
      <c r="AL1535" s="87"/>
      <c r="AM1535" s="87"/>
      <c r="AN1535" s="87"/>
      <c r="AO1535" s="87">
        <v>22</v>
      </c>
      <c r="AP1535" s="87"/>
      <c r="AQ1535" s="87"/>
      <c r="AR1535" s="87"/>
      <c r="AS1535" s="87"/>
      <c r="AT1535" s="87"/>
      <c r="AU1535" s="87"/>
      <c r="AV1535" s="87"/>
      <c r="AW1535" s="88" t="str">
        <f>HYPERLINK("http://www.openstreetmap.org/?mlat=32.6202&amp;mlon=44.0184&amp;zoom=12#map=12/32.6202/44.0184","Maplink1")</f>
        <v>Maplink1</v>
      </c>
      <c r="AX1535" s="88" t="str">
        <f>HYPERLINK("https://www.google.iq/maps/search/+32.6202,44.0184/@32.6202,44.0184,14z?hl=en","Maplink2")</f>
        <v>Maplink2</v>
      </c>
      <c r="AY1535" s="88" t="str">
        <f>HYPERLINK("http://www.bing.com/maps/?lvl=14&amp;sty=h&amp;cp=32.6202~44.0184&amp;sp=point.32.6202_44.0184","Maplink3")</f>
        <v>Maplink3</v>
      </c>
      <c r="AZ1535" s="76"/>
    </row>
    <row r="1536" spans="1:52" x14ac:dyDescent="0.25">
      <c r="A1536" s="86">
        <v>14161</v>
      </c>
      <c r="B1536" s="87" t="s">
        <v>19</v>
      </c>
      <c r="C1536" s="87" t="s">
        <v>19</v>
      </c>
      <c r="D1536" s="87" t="s">
        <v>3006</v>
      </c>
      <c r="E1536" s="87" t="s">
        <v>3007</v>
      </c>
      <c r="F1536" s="87">
        <v>32.657933796199998</v>
      </c>
      <c r="G1536" s="87">
        <v>44.053029700000003</v>
      </c>
      <c r="H1536" s="86">
        <v>50</v>
      </c>
      <c r="I1536" s="86">
        <v>300</v>
      </c>
      <c r="J1536" s="87"/>
      <c r="K1536" s="87"/>
      <c r="L1536" s="87"/>
      <c r="M1536" s="87"/>
      <c r="N1536" s="87"/>
      <c r="O1536" s="87"/>
      <c r="P1536" s="87"/>
      <c r="Q1536" s="87"/>
      <c r="R1536" s="87"/>
      <c r="S1536" s="87"/>
      <c r="T1536" s="87"/>
      <c r="U1536" s="87"/>
      <c r="V1536" s="87">
        <v>50</v>
      </c>
      <c r="W1536" s="87"/>
      <c r="X1536" s="87"/>
      <c r="Y1536" s="87"/>
      <c r="Z1536" s="87"/>
      <c r="AA1536" s="87"/>
      <c r="AB1536" s="87"/>
      <c r="AC1536" s="87"/>
      <c r="AD1536" s="87"/>
      <c r="AE1536" s="87"/>
      <c r="AF1536" s="87"/>
      <c r="AG1536" s="87"/>
      <c r="AH1536" s="87">
        <v>50</v>
      </c>
      <c r="AI1536" s="87"/>
      <c r="AJ1536" s="87"/>
      <c r="AK1536" s="87"/>
      <c r="AL1536" s="87"/>
      <c r="AM1536" s="87"/>
      <c r="AN1536" s="87"/>
      <c r="AO1536" s="87">
        <v>50</v>
      </c>
      <c r="AP1536" s="87"/>
      <c r="AQ1536" s="87"/>
      <c r="AR1536" s="87"/>
      <c r="AS1536" s="87"/>
      <c r="AT1536" s="87"/>
      <c r="AU1536" s="87"/>
      <c r="AV1536" s="87"/>
      <c r="AW1536" s="88" t="str">
        <f>HYPERLINK("http://www.openstreetmap.org/?mlat=32.6579&amp;mlon=44.053&amp;zoom=12#map=12/32.6579/44.053","Maplink1")</f>
        <v>Maplink1</v>
      </c>
      <c r="AX1536" s="88" t="str">
        <f>HYPERLINK("https://www.google.iq/maps/search/+32.6579,44.053/@32.6579,44.053,14z?hl=en","Maplink2")</f>
        <v>Maplink2</v>
      </c>
      <c r="AY1536" s="88" t="str">
        <f>HYPERLINK("http://www.bing.com/maps/?lvl=14&amp;sty=h&amp;cp=32.6579~44.053&amp;sp=point.32.6579_44.053","Maplink3")</f>
        <v>Maplink3</v>
      </c>
      <c r="AZ1536" s="76"/>
    </row>
    <row r="1537" spans="1:52" x14ac:dyDescent="0.25">
      <c r="A1537" s="86">
        <v>25848</v>
      </c>
      <c r="B1537" s="87" t="s">
        <v>19</v>
      </c>
      <c r="C1537" s="87" t="s">
        <v>19</v>
      </c>
      <c r="D1537" s="87" t="s">
        <v>3008</v>
      </c>
      <c r="E1537" s="87" t="s">
        <v>3009</v>
      </c>
      <c r="F1537" s="87">
        <v>32.545030500000003</v>
      </c>
      <c r="G1537" s="87">
        <v>44.091248200000003</v>
      </c>
      <c r="H1537" s="86">
        <v>10</v>
      </c>
      <c r="I1537" s="86">
        <v>60</v>
      </c>
      <c r="J1537" s="87"/>
      <c r="K1537" s="87"/>
      <c r="L1537" s="87"/>
      <c r="M1537" s="87"/>
      <c r="N1537" s="87"/>
      <c r="O1537" s="87"/>
      <c r="P1537" s="87"/>
      <c r="Q1537" s="87"/>
      <c r="R1537" s="87"/>
      <c r="S1537" s="87"/>
      <c r="T1537" s="87"/>
      <c r="U1537" s="87"/>
      <c r="V1537" s="87">
        <v>10</v>
      </c>
      <c r="W1537" s="87"/>
      <c r="X1537" s="87"/>
      <c r="Y1537" s="87"/>
      <c r="Z1537" s="87"/>
      <c r="AA1537" s="87"/>
      <c r="AB1537" s="87"/>
      <c r="AC1537" s="87"/>
      <c r="AD1537" s="87"/>
      <c r="AE1537" s="87"/>
      <c r="AF1537" s="87"/>
      <c r="AG1537" s="87"/>
      <c r="AH1537" s="87">
        <v>10</v>
      </c>
      <c r="AI1537" s="87"/>
      <c r="AJ1537" s="87"/>
      <c r="AK1537" s="87"/>
      <c r="AL1537" s="87"/>
      <c r="AM1537" s="87"/>
      <c r="AN1537" s="87"/>
      <c r="AO1537" s="87">
        <v>10</v>
      </c>
      <c r="AP1537" s="87"/>
      <c r="AQ1537" s="87"/>
      <c r="AR1537" s="87"/>
      <c r="AS1537" s="87"/>
      <c r="AT1537" s="87"/>
      <c r="AU1537" s="87"/>
      <c r="AV1537" s="87"/>
      <c r="AW1537" s="88" t="str">
        <f>HYPERLINK("http://www.openstreetmap.org/?mlat=32.545&amp;mlon=44.0912&amp;zoom=12#map=12/32.545/44.0912","Maplink1")</f>
        <v>Maplink1</v>
      </c>
      <c r="AX1537" s="88" t="str">
        <f>HYPERLINK("https://www.google.iq/maps/search/+32.545,44.0912/@32.545,44.0912,14z?hl=en","Maplink2")</f>
        <v>Maplink2</v>
      </c>
      <c r="AY1537" s="88" t="str">
        <f>HYPERLINK("http://www.bing.com/maps/?lvl=14&amp;sty=h&amp;cp=32.545~44.0912&amp;sp=point.32.545_44.0912","Maplink3")</f>
        <v>Maplink3</v>
      </c>
      <c r="AZ1537" s="76"/>
    </row>
    <row r="1538" spans="1:52" x14ac:dyDescent="0.25">
      <c r="A1538" s="86">
        <v>25358</v>
      </c>
      <c r="B1538" s="87" t="s">
        <v>19</v>
      </c>
      <c r="C1538" s="87" t="s">
        <v>19</v>
      </c>
      <c r="D1538" s="87" t="s">
        <v>3010</v>
      </c>
      <c r="E1538" s="87" t="s">
        <v>3011</v>
      </c>
      <c r="F1538" s="87">
        <v>32.5876564</v>
      </c>
      <c r="G1538" s="87">
        <v>44.000717458399997</v>
      </c>
      <c r="H1538" s="86">
        <v>9</v>
      </c>
      <c r="I1538" s="86">
        <v>54</v>
      </c>
      <c r="J1538" s="87">
        <v>1</v>
      </c>
      <c r="K1538" s="87"/>
      <c r="L1538" s="87"/>
      <c r="M1538" s="87"/>
      <c r="N1538" s="87"/>
      <c r="O1538" s="87">
        <v>2</v>
      </c>
      <c r="P1538" s="87"/>
      <c r="Q1538" s="87"/>
      <c r="R1538" s="87"/>
      <c r="S1538" s="87"/>
      <c r="T1538" s="87"/>
      <c r="U1538" s="87"/>
      <c r="V1538" s="87">
        <v>6</v>
      </c>
      <c r="W1538" s="87"/>
      <c r="X1538" s="87"/>
      <c r="Y1538" s="87"/>
      <c r="Z1538" s="87"/>
      <c r="AA1538" s="87"/>
      <c r="AB1538" s="87"/>
      <c r="AC1538" s="87"/>
      <c r="AD1538" s="87"/>
      <c r="AE1538" s="87"/>
      <c r="AF1538" s="87"/>
      <c r="AG1538" s="87"/>
      <c r="AH1538" s="87">
        <v>9</v>
      </c>
      <c r="AI1538" s="87"/>
      <c r="AJ1538" s="87"/>
      <c r="AK1538" s="87"/>
      <c r="AL1538" s="87"/>
      <c r="AM1538" s="87"/>
      <c r="AN1538" s="87">
        <v>1</v>
      </c>
      <c r="AO1538" s="87">
        <v>8</v>
      </c>
      <c r="AP1538" s="87"/>
      <c r="AQ1538" s="87"/>
      <c r="AR1538" s="87"/>
      <c r="AS1538" s="87"/>
      <c r="AT1538" s="87"/>
      <c r="AU1538" s="87"/>
      <c r="AV1538" s="87"/>
      <c r="AW1538" s="88" t="str">
        <f>HYPERLINK("http://www.openstreetmap.org/?mlat=32.5877&amp;mlon=44.0007&amp;zoom=12#map=12/32.5877/44.0007","Maplink1")</f>
        <v>Maplink1</v>
      </c>
      <c r="AX1538" s="88" t="str">
        <f>HYPERLINK("https://www.google.iq/maps/search/+32.5877,44.0007/@32.5877,44.0007,14z?hl=en","Maplink2")</f>
        <v>Maplink2</v>
      </c>
      <c r="AY1538" s="88" t="str">
        <f>HYPERLINK("http://www.bing.com/maps/?lvl=14&amp;sty=h&amp;cp=32.5877~44.0007&amp;sp=point.32.5877_44.0007","Maplink3")</f>
        <v>Maplink3</v>
      </c>
      <c r="AZ1538" s="76"/>
    </row>
    <row r="1539" spans="1:52" x14ac:dyDescent="0.25">
      <c r="A1539" s="86">
        <v>25359</v>
      </c>
      <c r="B1539" s="87" t="s">
        <v>19</v>
      </c>
      <c r="C1539" s="87" t="s">
        <v>19</v>
      </c>
      <c r="D1539" s="87" t="s">
        <v>3012</v>
      </c>
      <c r="E1539" s="87" t="s">
        <v>3013</v>
      </c>
      <c r="F1539" s="87">
        <v>32.585974399999998</v>
      </c>
      <c r="G1539" s="87">
        <v>43.989406907599999</v>
      </c>
      <c r="H1539" s="86">
        <v>10</v>
      </c>
      <c r="I1539" s="86">
        <v>60</v>
      </c>
      <c r="J1539" s="87">
        <v>3</v>
      </c>
      <c r="K1539" s="87"/>
      <c r="L1539" s="87"/>
      <c r="M1539" s="87"/>
      <c r="N1539" s="87"/>
      <c r="O1539" s="87">
        <v>2</v>
      </c>
      <c r="P1539" s="87"/>
      <c r="Q1539" s="87"/>
      <c r="R1539" s="87"/>
      <c r="S1539" s="87"/>
      <c r="T1539" s="87"/>
      <c r="U1539" s="87"/>
      <c r="V1539" s="87">
        <v>5</v>
      </c>
      <c r="W1539" s="87"/>
      <c r="X1539" s="87"/>
      <c r="Y1539" s="87"/>
      <c r="Z1539" s="87"/>
      <c r="AA1539" s="87"/>
      <c r="AB1539" s="87"/>
      <c r="AC1539" s="87"/>
      <c r="AD1539" s="87"/>
      <c r="AE1539" s="87"/>
      <c r="AF1539" s="87"/>
      <c r="AG1539" s="87"/>
      <c r="AH1539" s="87">
        <v>10</v>
      </c>
      <c r="AI1539" s="87"/>
      <c r="AJ1539" s="87"/>
      <c r="AK1539" s="87"/>
      <c r="AL1539" s="87"/>
      <c r="AM1539" s="87"/>
      <c r="AN1539" s="87">
        <v>3</v>
      </c>
      <c r="AO1539" s="87">
        <v>5</v>
      </c>
      <c r="AP1539" s="87">
        <v>2</v>
      </c>
      <c r="AQ1539" s="87"/>
      <c r="AR1539" s="87"/>
      <c r="AS1539" s="87"/>
      <c r="AT1539" s="87"/>
      <c r="AU1539" s="87"/>
      <c r="AV1539" s="87"/>
      <c r="AW1539" s="88" t="str">
        <f>HYPERLINK("http://www.openstreetmap.org/?mlat=32.586&amp;mlon=43.9894&amp;zoom=12#map=12/32.586/43.9894","Maplink1")</f>
        <v>Maplink1</v>
      </c>
      <c r="AX1539" s="88" t="str">
        <f>HYPERLINK("https://www.google.iq/maps/search/+32.586,43.9894/@32.586,43.9894,14z?hl=en","Maplink2")</f>
        <v>Maplink2</v>
      </c>
      <c r="AY1539" s="88" t="str">
        <f>HYPERLINK("http://www.bing.com/maps/?lvl=14&amp;sty=h&amp;cp=32.586~43.9894&amp;sp=point.32.586_43.9894","Maplink3")</f>
        <v>Maplink3</v>
      </c>
      <c r="AZ1539" s="76"/>
    </row>
    <row r="1540" spans="1:52" x14ac:dyDescent="0.25">
      <c r="A1540" s="86">
        <v>25361</v>
      </c>
      <c r="B1540" s="87" t="s">
        <v>19</v>
      </c>
      <c r="C1540" s="87" t="s">
        <v>19</v>
      </c>
      <c r="D1540" s="87" t="s">
        <v>3014</v>
      </c>
      <c r="E1540" s="87" t="s">
        <v>3015</v>
      </c>
      <c r="F1540" s="87">
        <v>32.549577599999999</v>
      </c>
      <c r="G1540" s="87">
        <v>44.091208434999999</v>
      </c>
      <c r="H1540" s="86">
        <v>12</v>
      </c>
      <c r="I1540" s="86">
        <v>72</v>
      </c>
      <c r="J1540" s="87"/>
      <c r="K1540" s="87"/>
      <c r="L1540" s="87"/>
      <c r="M1540" s="87"/>
      <c r="N1540" s="87"/>
      <c r="O1540" s="87"/>
      <c r="P1540" s="87"/>
      <c r="Q1540" s="87"/>
      <c r="R1540" s="87"/>
      <c r="S1540" s="87"/>
      <c r="T1540" s="87"/>
      <c r="U1540" s="87"/>
      <c r="V1540" s="87">
        <v>12</v>
      </c>
      <c r="W1540" s="87"/>
      <c r="X1540" s="87"/>
      <c r="Y1540" s="87"/>
      <c r="Z1540" s="87"/>
      <c r="AA1540" s="87"/>
      <c r="AB1540" s="87"/>
      <c r="AC1540" s="87"/>
      <c r="AD1540" s="87"/>
      <c r="AE1540" s="87"/>
      <c r="AF1540" s="87"/>
      <c r="AG1540" s="87"/>
      <c r="AH1540" s="87">
        <v>12</v>
      </c>
      <c r="AI1540" s="87"/>
      <c r="AJ1540" s="87"/>
      <c r="AK1540" s="87"/>
      <c r="AL1540" s="87"/>
      <c r="AM1540" s="87"/>
      <c r="AN1540" s="87"/>
      <c r="AO1540" s="87">
        <v>12</v>
      </c>
      <c r="AP1540" s="87"/>
      <c r="AQ1540" s="87"/>
      <c r="AR1540" s="87"/>
      <c r="AS1540" s="87"/>
      <c r="AT1540" s="87"/>
      <c r="AU1540" s="87"/>
      <c r="AV1540" s="87"/>
      <c r="AW1540" s="88" t="str">
        <f>HYPERLINK("http://www.openstreetmap.org/?mlat=32.5496&amp;mlon=44.0912&amp;zoom=12#map=12/32.5496/44.0912","Maplink1")</f>
        <v>Maplink1</v>
      </c>
      <c r="AX1540" s="88" t="str">
        <f>HYPERLINK("https://www.google.iq/maps/search/+32.5496,44.0912/@32.5496,44.0912,14z?hl=en","Maplink2")</f>
        <v>Maplink2</v>
      </c>
      <c r="AY1540" s="88" t="str">
        <f>HYPERLINK("http://www.bing.com/maps/?lvl=14&amp;sty=h&amp;cp=32.5496~44.0912&amp;sp=point.32.5496_44.0912","Maplink3")</f>
        <v>Maplink3</v>
      </c>
      <c r="AZ1540" s="76"/>
    </row>
    <row r="1541" spans="1:52" x14ac:dyDescent="0.25">
      <c r="A1541" s="86">
        <v>25782</v>
      </c>
      <c r="B1541" s="87" t="s">
        <v>19</v>
      </c>
      <c r="C1541" s="87" t="s">
        <v>19</v>
      </c>
      <c r="D1541" s="87" t="s">
        <v>3016</v>
      </c>
      <c r="E1541" s="87" t="s">
        <v>3017</v>
      </c>
      <c r="F1541" s="87">
        <v>32.634111216100003</v>
      </c>
      <c r="G1541" s="87">
        <v>43.991851296299998</v>
      </c>
      <c r="H1541" s="86">
        <v>3</v>
      </c>
      <c r="I1541" s="86">
        <v>18</v>
      </c>
      <c r="J1541" s="87"/>
      <c r="K1541" s="87"/>
      <c r="L1541" s="87"/>
      <c r="M1541" s="87"/>
      <c r="N1541" s="87"/>
      <c r="O1541" s="87"/>
      <c r="P1541" s="87"/>
      <c r="Q1541" s="87"/>
      <c r="R1541" s="87"/>
      <c r="S1541" s="87"/>
      <c r="T1541" s="87"/>
      <c r="U1541" s="87"/>
      <c r="V1541" s="87">
        <v>3</v>
      </c>
      <c r="W1541" s="87"/>
      <c r="X1541" s="87"/>
      <c r="Y1541" s="87"/>
      <c r="Z1541" s="87"/>
      <c r="AA1541" s="87"/>
      <c r="AB1541" s="87"/>
      <c r="AC1541" s="87"/>
      <c r="AD1541" s="87"/>
      <c r="AE1541" s="87"/>
      <c r="AF1541" s="87"/>
      <c r="AG1541" s="87"/>
      <c r="AH1541" s="87">
        <v>3</v>
      </c>
      <c r="AI1541" s="87"/>
      <c r="AJ1541" s="87"/>
      <c r="AK1541" s="87"/>
      <c r="AL1541" s="87"/>
      <c r="AM1541" s="87"/>
      <c r="AN1541" s="87"/>
      <c r="AO1541" s="87">
        <v>3</v>
      </c>
      <c r="AP1541" s="87"/>
      <c r="AQ1541" s="87"/>
      <c r="AR1541" s="87"/>
      <c r="AS1541" s="87"/>
      <c r="AT1541" s="87"/>
      <c r="AU1541" s="87"/>
      <c r="AV1541" s="87"/>
      <c r="AW1541" s="88" t="str">
        <f>HYPERLINK("http://www.openstreetmap.org/?mlat=32.6341&amp;mlon=43.9919&amp;zoom=12#map=12/32.6341/43.9919","Maplink1")</f>
        <v>Maplink1</v>
      </c>
      <c r="AX1541" s="88" t="str">
        <f>HYPERLINK("https://www.google.iq/maps/search/+32.6341,43.9919/@32.6341,43.9919,14z?hl=en","Maplink2")</f>
        <v>Maplink2</v>
      </c>
      <c r="AY1541" s="88" t="str">
        <f>HYPERLINK("http://www.bing.com/maps/?lvl=14&amp;sty=h&amp;cp=32.6341~43.9919&amp;sp=point.32.6341_43.9919","Maplink3")</f>
        <v>Maplink3</v>
      </c>
      <c r="AZ1541" s="76"/>
    </row>
    <row r="1542" spans="1:52" x14ac:dyDescent="0.25">
      <c r="A1542" s="86">
        <v>25781</v>
      </c>
      <c r="B1542" s="87" t="s">
        <v>19</v>
      </c>
      <c r="C1542" s="87" t="s">
        <v>19</v>
      </c>
      <c r="D1542" s="87" t="s">
        <v>3018</v>
      </c>
      <c r="E1542" s="87" t="s">
        <v>3019</v>
      </c>
      <c r="F1542" s="87">
        <v>32.629640821800002</v>
      </c>
      <c r="G1542" s="87">
        <v>43.994046090499999</v>
      </c>
      <c r="H1542" s="86">
        <v>5</v>
      </c>
      <c r="I1542" s="86">
        <v>30</v>
      </c>
      <c r="J1542" s="87">
        <v>5</v>
      </c>
      <c r="K1542" s="87"/>
      <c r="L1542" s="87"/>
      <c r="M1542" s="87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87"/>
      <c r="AE1542" s="87"/>
      <c r="AF1542" s="87"/>
      <c r="AG1542" s="87"/>
      <c r="AH1542" s="87">
        <v>5</v>
      </c>
      <c r="AI1542" s="87"/>
      <c r="AJ1542" s="87"/>
      <c r="AK1542" s="87"/>
      <c r="AL1542" s="87"/>
      <c r="AM1542" s="87"/>
      <c r="AN1542" s="87">
        <v>5</v>
      </c>
      <c r="AO1542" s="87"/>
      <c r="AP1542" s="87"/>
      <c r="AQ1542" s="87"/>
      <c r="AR1542" s="87"/>
      <c r="AS1542" s="87"/>
      <c r="AT1542" s="87"/>
      <c r="AU1542" s="87"/>
      <c r="AV1542" s="87"/>
      <c r="AW1542" s="88" t="str">
        <f>HYPERLINK("http://www.openstreetmap.org/?mlat=32.6296&amp;mlon=43.994&amp;zoom=12#map=12/32.6296/43.994","Maplink1")</f>
        <v>Maplink1</v>
      </c>
      <c r="AX1542" s="88" t="str">
        <f>HYPERLINK("https://www.google.iq/maps/search/+32.6296,43.994/@32.6296,43.994,14z?hl=en","Maplink2")</f>
        <v>Maplink2</v>
      </c>
      <c r="AY1542" s="88" t="str">
        <f>HYPERLINK("http://www.bing.com/maps/?lvl=14&amp;sty=h&amp;cp=32.6296~43.994&amp;sp=point.32.6296_43.994","Maplink3")</f>
        <v>Maplink3</v>
      </c>
      <c r="AZ1542" s="76"/>
    </row>
    <row r="1543" spans="1:52" x14ac:dyDescent="0.25">
      <c r="A1543" s="86">
        <v>25938</v>
      </c>
      <c r="B1543" s="87" t="s">
        <v>19</v>
      </c>
      <c r="C1543" s="87" t="s">
        <v>19</v>
      </c>
      <c r="D1543" s="87" t="s">
        <v>3020</v>
      </c>
      <c r="E1543" s="87" t="s">
        <v>3021</v>
      </c>
      <c r="F1543" s="87">
        <v>32.723043727399997</v>
      </c>
      <c r="G1543" s="87">
        <v>44.194991008499997</v>
      </c>
      <c r="H1543" s="86">
        <v>16</v>
      </c>
      <c r="I1543" s="86">
        <v>96</v>
      </c>
      <c r="J1543" s="87"/>
      <c r="K1543" s="87">
        <v>11</v>
      </c>
      <c r="L1543" s="87"/>
      <c r="M1543" s="87"/>
      <c r="N1543" s="87"/>
      <c r="O1543" s="87"/>
      <c r="P1543" s="87"/>
      <c r="Q1543" s="87"/>
      <c r="R1543" s="87"/>
      <c r="S1543" s="87"/>
      <c r="T1543" s="87"/>
      <c r="U1543" s="87"/>
      <c r="V1543" s="87">
        <v>5</v>
      </c>
      <c r="W1543" s="87"/>
      <c r="X1543" s="87"/>
      <c r="Y1543" s="87"/>
      <c r="Z1543" s="87"/>
      <c r="AA1543" s="87"/>
      <c r="AB1543" s="87"/>
      <c r="AC1543" s="87"/>
      <c r="AD1543" s="87"/>
      <c r="AE1543" s="87"/>
      <c r="AF1543" s="87"/>
      <c r="AG1543" s="87">
        <v>10</v>
      </c>
      <c r="AH1543" s="87">
        <v>6</v>
      </c>
      <c r="AI1543" s="87"/>
      <c r="AJ1543" s="87"/>
      <c r="AK1543" s="87"/>
      <c r="AL1543" s="87"/>
      <c r="AM1543" s="87"/>
      <c r="AN1543" s="87">
        <v>11</v>
      </c>
      <c r="AO1543" s="87">
        <v>5</v>
      </c>
      <c r="AP1543" s="87"/>
      <c r="AQ1543" s="87"/>
      <c r="AR1543" s="87"/>
      <c r="AS1543" s="87"/>
      <c r="AT1543" s="87"/>
      <c r="AU1543" s="87"/>
      <c r="AV1543" s="87"/>
      <c r="AW1543" s="88" t="str">
        <f>HYPERLINK("http://www.openstreetmap.org/?mlat=32.723&amp;mlon=44.195&amp;zoom=12#map=12/32.723/44.195","Maplink1")</f>
        <v>Maplink1</v>
      </c>
      <c r="AX1543" s="88" t="str">
        <f>HYPERLINK("https://www.google.iq/maps/search/+32.723,44.195/@32.723,44.195,14z?hl=en","Maplink2")</f>
        <v>Maplink2</v>
      </c>
      <c r="AY1543" s="88" t="str">
        <f>HYPERLINK("http://www.bing.com/maps/?lvl=14&amp;sty=h&amp;cp=32.723~44.195&amp;sp=point.32.723_44.195","Maplink3")</f>
        <v>Maplink3</v>
      </c>
      <c r="AZ1543" s="76"/>
    </row>
    <row r="1544" spans="1:52" x14ac:dyDescent="0.25">
      <c r="A1544" s="86">
        <v>14167</v>
      </c>
      <c r="B1544" s="87" t="s">
        <v>19</v>
      </c>
      <c r="C1544" s="87" t="s">
        <v>19</v>
      </c>
      <c r="D1544" s="87" t="s">
        <v>3022</v>
      </c>
      <c r="E1544" s="87" t="s">
        <v>3023</v>
      </c>
      <c r="F1544" s="87">
        <v>32.660178430499997</v>
      </c>
      <c r="G1544" s="87">
        <v>44.140288723200001</v>
      </c>
      <c r="H1544" s="86">
        <v>63</v>
      </c>
      <c r="I1544" s="86">
        <v>378</v>
      </c>
      <c r="J1544" s="87"/>
      <c r="K1544" s="87"/>
      <c r="L1544" s="87"/>
      <c r="M1544" s="87"/>
      <c r="N1544" s="87"/>
      <c r="O1544" s="87"/>
      <c r="P1544" s="87"/>
      <c r="Q1544" s="87"/>
      <c r="R1544" s="87"/>
      <c r="S1544" s="87"/>
      <c r="T1544" s="87"/>
      <c r="U1544" s="87"/>
      <c r="V1544" s="87">
        <v>63</v>
      </c>
      <c r="W1544" s="87"/>
      <c r="X1544" s="87"/>
      <c r="Y1544" s="87"/>
      <c r="Z1544" s="87"/>
      <c r="AA1544" s="87"/>
      <c r="AB1544" s="87"/>
      <c r="AC1544" s="87"/>
      <c r="AD1544" s="87"/>
      <c r="AE1544" s="87"/>
      <c r="AF1544" s="87"/>
      <c r="AG1544" s="87"/>
      <c r="AH1544" s="87">
        <v>17</v>
      </c>
      <c r="AI1544" s="87"/>
      <c r="AJ1544" s="87"/>
      <c r="AK1544" s="87"/>
      <c r="AL1544" s="87">
        <v>46</v>
      </c>
      <c r="AM1544" s="87"/>
      <c r="AN1544" s="87"/>
      <c r="AO1544" s="87">
        <v>63</v>
      </c>
      <c r="AP1544" s="87"/>
      <c r="AQ1544" s="87"/>
      <c r="AR1544" s="87"/>
      <c r="AS1544" s="87"/>
      <c r="AT1544" s="87"/>
      <c r="AU1544" s="87"/>
      <c r="AV1544" s="87"/>
      <c r="AW1544" s="88" t="str">
        <f>HYPERLINK("http://www.openstreetmap.org/?mlat=32.6602&amp;mlon=44.1403&amp;zoom=12#map=12/32.6602/44.1403","Maplink1")</f>
        <v>Maplink1</v>
      </c>
      <c r="AX1544" s="88" t="str">
        <f>HYPERLINK("https://www.google.iq/maps/search/+32.6602,44.1403/@32.6602,44.1403,14z?hl=en","Maplink2")</f>
        <v>Maplink2</v>
      </c>
      <c r="AY1544" s="88" t="str">
        <f>HYPERLINK("http://www.bing.com/maps/?lvl=14&amp;sty=h&amp;cp=32.6602~44.1403&amp;sp=point.32.6602_44.1403","Maplink3")</f>
        <v>Maplink3</v>
      </c>
      <c r="AZ1544" s="76"/>
    </row>
    <row r="1545" spans="1:52" x14ac:dyDescent="0.25">
      <c r="A1545" s="86">
        <v>14302</v>
      </c>
      <c r="B1545" s="87" t="s">
        <v>19</v>
      </c>
      <c r="C1545" s="87" t="s">
        <v>19</v>
      </c>
      <c r="D1545" s="87" t="s">
        <v>3024</v>
      </c>
      <c r="E1545" s="87" t="s">
        <v>3025</v>
      </c>
      <c r="F1545" s="87">
        <v>32.622966916700001</v>
      </c>
      <c r="G1545" s="87">
        <v>43.9753799</v>
      </c>
      <c r="H1545" s="86">
        <v>7</v>
      </c>
      <c r="I1545" s="86">
        <v>42</v>
      </c>
      <c r="J1545" s="87"/>
      <c r="K1545" s="87"/>
      <c r="L1545" s="87"/>
      <c r="M1545" s="87"/>
      <c r="N1545" s="87"/>
      <c r="O1545" s="87"/>
      <c r="P1545" s="87"/>
      <c r="Q1545" s="87"/>
      <c r="R1545" s="87"/>
      <c r="S1545" s="87"/>
      <c r="T1545" s="87"/>
      <c r="U1545" s="87"/>
      <c r="V1545" s="87">
        <v>4</v>
      </c>
      <c r="W1545" s="87"/>
      <c r="X1545" s="87">
        <v>3</v>
      </c>
      <c r="Y1545" s="87"/>
      <c r="Z1545" s="87"/>
      <c r="AA1545" s="87"/>
      <c r="AB1545" s="87"/>
      <c r="AC1545" s="87"/>
      <c r="AD1545" s="87"/>
      <c r="AE1545" s="87"/>
      <c r="AF1545" s="87"/>
      <c r="AG1545" s="87"/>
      <c r="AH1545" s="87">
        <v>7</v>
      </c>
      <c r="AI1545" s="87"/>
      <c r="AJ1545" s="87"/>
      <c r="AK1545" s="87"/>
      <c r="AL1545" s="87"/>
      <c r="AM1545" s="87"/>
      <c r="AN1545" s="87"/>
      <c r="AO1545" s="87">
        <v>7</v>
      </c>
      <c r="AP1545" s="87"/>
      <c r="AQ1545" s="87"/>
      <c r="AR1545" s="87"/>
      <c r="AS1545" s="87"/>
      <c r="AT1545" s="87"/>
      <c r="AU1545" s="87"/>
      <c r="AV1545" s="87"/>
      <c r="AW1545" s="88" t="str">
        <f>HYPERLINK("http://www.openstreetmap.org/?mlat=32.623&amp;mlon=43.9754&amp;zoom=12#map=12/32.623/43.9754","Maplink1")</f>
        <v>Maplink1</v>
      </c>
      <c r="AX1545" s="88" t="str">
        <f>HYPERLINK("https://www.google.iq/maps/search/+32.623,43.9754/@32.623,43.9754,14z?hl=en","Maplink2")</f>
        <v>Maplink2</v>
      </c>
      <c r="AY1545" s="88" t="str">
        <f>HYPERLINK("http://www.bing.com/maps/?lvl=14&amp;sty=h&amp;cp=32.623~43.9754&amp;sp=point.32.623_43.9754","Maplink3")</f>
        <v>Maplink3</v>
      </c>
      <c r="AZ1545" s="76"/>
    </row>
    <row r="1546" spans="1:52" x14ac:dyDescent="0.25">
      <c r="A1546" s="86">
        <v>14282</v>
      </c>
      <c r="B1546" s="87" t="s">
        <v>19</v>
      </c>
      <c r="C1546" s="87" t="s">
        <v>19</v>
      </c>
      <c r="D1546" s="87" t="s">
        <v>3026</v>
      </c>
      <c r="E1546" s="87" t="s">
        <v>3027</v>
      </c>
      <c r="F1546" s="87">
        <v>32.617434775299998</v>
      </c>
      <c r="G1546" s="87">
        <v>43.975548600000003</v>
      </c>
      <c r="H1546" s="86">
        <v>7</v>
      </c>
      <c r="I1546" s="86">
        <v>42</v>
      </c>
      <c r="J1546" s="87"/>
      <c r="K1546" s="87"/>
      <c r="L1546" s="87"/>
      <c r="M1546" s="87"/>
      <c r="N1546" s="87"/>
      <c r="O1546" s="87"/>
      <c r="P1546" s="87"/>
      <c r="Q1546" s="87"/>
      <c r="R1546" s="87"/>
      <c r="S1546" s="87"/>
      <c r="T1546" s="87"/>
      <c r="U1546" s="87"/>
      <c r="V1546" s="87">
        <v>7</v>
      </c>
      <c r="W1546" s="87"/>
      <c r="X1546" s="87"/>
      <c r="Y1546" s="87"/>
      <c r="Z1546" s="87"/>
      <c r="AA1546" s="87"/>
      <c r="AB1546" s="87"/>
      <c r="AC1546" s="87"/>
      <c r="AD1546" s="87"/>
      <c r="AE1546" s="87"/>
      <c r="AF1546" s="87"/>
      <c r="AG1546" s="87"/>
      <c r="AH1546" s="87">
        <v>7</v>
      </c>
      <c r="AI1546" s="87"/>
      <c r="AJ1546" s="87"/>
      <c r="AK1546" s="87"/>
      <c r="AL1546" s="87"/>
      <c r="AM1546" s="87"/>
      <c r="AN1546" s="87"/>
      <c r="AO1546" s="87">
        <v>7</v>
      </c>
      <c r="AP1546" s="87"/>
      <c r="AQ1546" s="87"/>
      <c r="AR1546" s="87"/>
      <c r="AS1546" s="87"/>
      <c r="AT1546" s="87"/>
      <c r="AU1546" s="87"/>
      <c r="AV1546" s="87"/>
      <c r="AW1546" s="88" t="str">
        <f>HYPERLINK("http://www.openstreetmap.org/?mlat=32.6174&amp;mlon=43.9755&amp;zoom=12#map=12/32.6174/43.9755","Maplink1")</f>
        <v>Maplink1</v>
      </c>
      <c r="AX1546" s="88" t="str">
        <f>HYPERLINK("https://www.google.iq/maps/search/+32.6174,43.9755/@32.6174,43.9755,14z?hl=en","Maplink2")</f>
        <v>Maplink2</v>
      </c>
      <c r="AY1546" s="88" t="str">
        <f>HYPERLINK("http://www.bing.com/maps/?lvl=14&amp;sty=h&amp;cp=32.6174~43.9755&amp;sp=point.32.6174_43.9755","Maplink3")</f>
        <v>Maplink3</v>
      </c>
      <c r="AZ1546" s="76"/>
    </row>
    <row r="1547" spans="1:52" x14ac:dyDescent="0.25">
      <c r="A1547" s="86">
        <v>14254</v>
      </c>
      <c r="B1547" s="87" t="s">
        <v>19</v>
      </c>
      <c r="C1547" s="87" t="s">
        <v>19</v>
      </c>
      <c r="D1547" s="87" t="s">
        <v>3028</v>
      </c>
      <c r="E1547" s="87" t="s">
        <v>3029</v>
      </c>
      <c r="F1547" s="87">
        <v>32.706798398099998</v>
      </c>
      <c r="G1547" s="87">
        <v>44.188727566300003</v>
      </c>
      <c r="H1547" s="86">
        <v>3</v>
      </c>
      <c r="I1547" s="86">
        <v>18</v>
      </c>
      <c r="J1547" s="87"/>
      <c r="K1547" s="87">
        <v>3</v>
      </c>
      <c r="L1547" s="87"/>
      <c r="M1547" s="87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87"/>
      <c r="AE1547" s="87"/>
      <c r="AF1547" s="87"/>
      <c r="AG1547" s="87"/>
      <c r="AH1547" s="87">
        <v>3</v>
      </c>
      <c r="AI1547" s="87"/>
      <c r="AJ1547" s="87"/>
      <c r="AK1547" s="87"/>
      <c r="AL1547" s="87"/>
      <c r="AM1547" s="87"/>
      <c r="AN1547" s="87">
        <v>3</v>
      </c>
      <c r="AO1547" s="87"/>
      <c r="AP1547" s="87"/>
      <c r="AQ1547" s="87"/>
      <c r="AR1547" s="87"/>
      <c r="AS1547" s="87"/>
      <c r="AT1547" s="87"/>
      <c r="AU1547" s="87"/>
      <c r="AV1547" s="87"/>
      <c r="AW1547" s="88" t="str">
        <f>HYPERLINK("http://www.openstreetmap.org/?mlat=32.7068&amp;mlon=44.1887&amp;zoom=12#map=12/32.7068/44.1887","Maplink1")</f>
        <v>Maplink1</v>
      </c>
      <c r="AX1547" s="88" t="str">
        <f>HYPERLINK("https://www.google.iq/maps/search/+32.7068,44.1887/@32.7068,44.1887,14z?hl=en","Maplink2")</f>
        <v>Maplink2</v>
      </c>
      <c r="AY1547" s="88" t="str">
        <f>HYPERLINK("http://www.bing.com/maps/?lvl=14&amp;sty=h&amp;cp=32.7068~44.1887&amp;sp=point.32.7068_44.1887","Maplink3")</f>
        <v>Maplink3</v>
      </c>
      <c r="AZ1547" s="76"/>
    </row>
    <row r="1548" spans="1:52" x14ac:dyDescent="0.25">
      <c r="A1548" s="86">
        <v>14287</v>
      </c>
      <c r="B1548" s="87" t="s">
        <v>19</v>
      </c>
      <c r="C1548" s="87" t="s">
        <v>19</v>
      </c>
      <c r="D1548" s="87" t="s">
        <v>3030</v>
      </c>
      <c r="E1548" s="87" t="s">
        <v>3031</v>
      </c>
      <c r="F1548" s="87">
        <v>32.625255799999998</v>
      </c>
      <c r="G1548" s="87">
        <v>44.0261152</v>
      </c>
      <c r="H1548" s="86">
        <v>49</v>
      </c>
      <c r="I1548" s="86">
        <v>294</v>
      </c>
      <c r="J1548" s="87"/>
      <c r="K1548" s="87"/>
      <c r="L1548" s="87"/>
      <c r="M1548" s="87"/>
      <c r="N1548" s="87"/>
      <c r="O1548" s="87"/>
      <c r="P1548" s="87"/>
      <c r="Q1548" s="87"/>
      <c r="R1548" s="87"/>
      <c r="S1548" s="87"/>
      <c r="T1548" s="87"/>
      <c r="U1548" s="87"/>
      <c r="V1548" s="87">
        <v>49</v>
      </c>
      <c r="W1548" s="87"/>
      <c r="X1548" s="87"/>
      <c r="Y1548" s="87"/>
      <c r="Z1548" s="87"/>
      <c r="AA1548" s="87"/>
      <c r="AB1548" s="87"/>
      <c r="AC1548" s="87"/>
      <c r="AD1548" s="87"/>
      <c r="AE1548" s="87"/>
      <c r="AF1548" s="87"/>
      <c r="AG1548" s="87"/>
      <c r="AH1548" s="87">
        <v>49</v>
      </c>
      <c r="AI1548" s="87"/>
      <c r="AJ1548" s="87"/>
      <c r="AK1548" s="87"/>
      <c r="AL1548" s="87"/>
      <c r="AM1548" s="87"/>
      <c r="AN1548" s="87"/>
      <c r="AO1548" s="87">
        <v>49</v>
      </c>
      <c r="AP1548" s="87"/>
      <c r="AQ1548" s="87"/>
      <c r="AR1548" s="87"/>
      <c r="AS1548" s="87"/>
      <c r="AT1548" s="87"/>
      <c r="AU1548" s="87"/>
      <c r="AV1548" s="87"/>
      <c r="AW1548" s="88" t="str">
        <f>HYPERLINK("http://www.openstreetmap.org/?mlat=32.6253&amp;mlon=44.0261&amp;zoom=12#map=12/32.6253/44.0261","Maplink1")</f>
        <v>Maplink1</v>
      </c>
      <c r="AX1548" s="88" t="str">
        <f>HYPERLINK("https://www.google.iq/maps/search/+32.6253,44.0261/@32.6253,44.0261,14z?hl=en","Maplink2")</f>
        <v>Maplink2</v>
      </c>
      <c r="AY1548" s="88" t="str">
        <f>HYPERLINK("http://www.bing.com/maps/?lvl=14&amp;sty=h&amp;cp=32.6253~44.0261&amp;sp=point.32.6253_44.0261","Maplink3")</f>
        <v>Maplink3</v>
      </c>
      <c r="AZ1548" s="76"/>
    </row>
    <row r="1549" spans="1:52" x14ac:dyDescent="0.25">
      <c r="A1549" s="86">
        <v>25735</v>
      </c>
      <c r="B1549" s="87" t="s">
        <v>19</v>
      </c>
      <c r="C1549" s="87" t="s">
        <v>19</v>
      </c>
      <c r="D1549" s="87" t="s">
        <v>3032</v>
      </c>
      <c r="E1549" s="87" t="s">
        <v>3033</v>
      </c>
      <c r="F1549" s="87">
        <v>32.600657200000001</v>
      </c>
      <c r="G1549" s="87">
        <v>44.040420128900003</v>
      </c>
      <c r="H1549" s="86">
        <v>28</v>
      </c>
      <c r="I1549" s="86">
        <v>168</v>
      </c>
      <c r="J1549" s="87"/>
      <c r="K1549" s="87"/>
      <c r="L1549" s="87"/>
      <c r="M1549" s="87"/>
      <c r="N1549" s="87"/>
      <c r="O1549" s="87"/>
      <c r="P1549" s="87"/>
      <c r="Q1549" s="87"/>
      <c r="R1549" s="87"/>
      <c r="S1549" s="87"/>
      <c r="T1549" s="87"/>
      <c r="U1549" s="87"/>
      <c r="V1549" s="87">
        <v>28</v>
      </c>
      <c r="W1549" s="87"/>
      <c r="X1549" s="87"/>
      <c r="Y1549" s="87"/>
      <c r="Z1549" s="87"/>
      <c r="AA1549" s="87"/>
      <c r="AB1549" s="87"/>
      <c r="AC1549" s="87"/>
      <c r="AD1549" s="87"/>
      <c r="AE1549" s="87"/>
      <c r="AF1549" s="87"/>
      <c r="AG1549" s="87"/>
      <c r="AH1549" s="87">
        <v>28</v>
      </c>
      <c r="AI1549" s="87"/>
      <c r="AJ1549" s="87"/>
      <c r="AK1549" s="87"/>
      <c r="AL1549" s="87"/>
      <c r="AM1549" s="87"/>
      <c r="AN1549" s="87">
        <v>4</v>
      </c>
      <c r="AO1549" s="87">
        <v>24</v>
      </c>
      <c r="AP1549" s="87"/>
      <c r="AQ1549" s="87"/>
      <c r="AR1549" s="87"/>
      <c r="AS1549" s="87"/>
      <c r="AT1549" s="87"/>
      <c r="AU1549" s="87"/>
      <c r="AV1549" s="87"/>
      <c r="AW1549" s="88" t="str">
        <f>HYPERLINK("http://www.openstreetmap.org/?mlat=32.6007&amp;mlon=44.0404&amp;zoom=12#map=12/32.6007/44.0404","Maplink1")</f>
        <v>Maplink1</v>
      </c>
      <c r="AX1549" s="88" t="str">
        <f>HYPERLINK("https://www.google.iq/maps/search/+32.6007,44.0404/@32.6007,44.0404,14z?hl=en","Maplink2")</f>
        <v>Maplink2</v>
      </c>
      <c r="AY1549" s="88" t="str">
        <f>HYPERLINK("http://www.bing.com/maps/?lvl=14&amp;sty=h&amp;cp=32.6007~44.0404&amp;sp=point.32.6007_44.0404","Maplink3")</f>
        <v>Maplink3</v>
      </c>
      <c r="AZ1549" s="76"/>
    </row>
    <row r="1550" spans="1:52" x14ac:dyDescent="0.25">
      <c r="A1550" s="86">
        <v>25060</v>
      </c>
      <c r="B1550" s="87" t="s">
        <v>19</v>
      </c>
      <c r="C1550" s="87" t="s">
        <v>19</v>
      </c>
      <c r="D1550" s="87" t="s">
        <v>3034</v>
      </c>
      <c r="E1550" s="87" t="s">
        <v>3035</v>
      </c>
      <c r="F1550" s="87">
        <v>32.643104199200003</v>
      </c>
      <c r="G1550" s="87">
        <v>43.991820300000001</v>
      </c>
      <c r="H1550" s="86">
        <v>13</v>
      </c>
      <c r="I1550" s="86">
        <v>78</v>
      </c>
      <c r="J1550" s="87"/>
      <c r="K1550" s="87"/>
      <c r="L1550" s="87"/>
      <c r="M1550" s="87"/>
      <c r="N1550" s="87"/>
      <c r="O1550" s="87"/>
      <c r="P1550" s="87"/>
      <c r="Q1550" s="87"/>
      <c r="R1550" s="87"/>
      <c r="S1550" s="87"/>
      <c r="T1550" s="87"/>
      <c r="U1550" s="87"/>
      <c r="V1550" s="87">
        <v>13</v>
      </c>
      <c r="W1550" s="87"/>
      <c r="X1550" s="87"/>
      <c r="Y1550" s="87"/>
      <c r="Z1550" s="87"/>
      <c r="AA1550" s="87"/>
      <c r="AB1550" s="87"/>
      <c r="AC1550" s="87"/>
      <c r="AD1550" s="87"/>
      <c r="AE1550" s="87"/>
      <c r="AF1550" s="87"/>
      <c r="AG1550" s="87"/>
      <c r="AH1550" s="87">
        <v>13</v>
      </c>
      <c r="AI1550" s="87"/>
      <c r="AJ1550" s="87"/>
      <c r="AK1550" s="87"/>
      <c r="AL1550" s="87"/>
      <c r="AM1550" s="87"/>
      <c r="AN1550" s="87"/>
      <c r="AO1550" s="87">
        <v>13</v>
      </c>
      <c r="AP1550" s="87"/>
      <c r="AQ1550" s="87"/>
      <c r="AR1550" s="87"/>
      <c r="AS1550" s="87"/>
      <c r="AT1550" s="87"/>
      <c r="AU1550" s="87"/>
      <c r="AV1550" s="87"/>
      <c r="AW1550" s="88" t="str">
        <f>HYPERLINK("http://www.openstreetmap.org/?mlat=32.6431&amp;mlon=43.9918&amp;zoom=12#map=12/32.6431/43.9918","Maplink1")</f>
        <v>Maplink1</v>
      </c>
      <c r="AX1550" s="88" t="str">
        <f>HYPERLINK("https://www.google.iq/maps/search/+32.6431,43.9918/@32.6431,43.9918,14z?hl=en","Maplink2")</f>
        <v>Maplink2</v>
      </c>
      <c r="AY1550" s="88" t="str">
        <f>HYPERLINK("http://www.bing.com/maps/?lvl=14&amp;sty=h&amp;cp=32.6431~43.9918&amp;sp=point.32.6431_43.9918","Maplink3")</f>
        <v>Maplink3</v>
      </c>
      <c r="AZ1550" s="76"/>
    </row>
    <row r="1551" spans="1:52" x14ac:dyDescent="0.25">
      <c r="A1551" s="86">
        <v>21587</v>
      </c>
      <c r="B1551" s="87" t="s">
        <v>19</v>
      </c>
      <c r="C1551" s="87" t="s">
        <v>19</v>
      </c>
      <c r="D1551" s="87" t="s">
        <v>3036</v>
      </c>
      <c r="E1551" s="87" t="s">
        <v>3037</v>
      </c>
      <c r="F1551" s="87">
        <v>32.679608616400003</v>
      </c>
      <c r="G1551" s="87">
        <v>44.1639425101</v>
      </c>
      <c r="H1551" s="86">
        <v>65</v>
      </c>
      <c r="I1551" s="86">
        <v>390</v>
      </c>
      <c r="J1551" s="87"/>
      <c r="K1551" s="87">
        <v>65</v>
      </c>
      <c r="L1551" s="87"/>
      <c r="M1551" s="87"/>
      <c r="N1551" s="87"/>
      <c r="O1551" s="87"/>
      <c r="P1551" s="87"/>
      <c r="Q1551" s="87"/>
      <c r="R1551" s="87"/>
      <c r="S1551" s="87"/>
      <c r="T1551" s="87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87"/>
      <c r="AE1551" s="87"/>
      <c r="AF1551" s="87"/>
      <c r="AG1551" s="87"/>
      <c r="AH1551" s="87">
        <v>65</v>
      </c>
      <c r="AI1551" s="87"/>
      <c r="AJ1551" s="87"/>
      <c r="AK1551" s="87"/>
      <c r="AL1551" s="87"/>
      <c r="AM1551" s="87"/>
      <c r="AN1551" s="87">
        <v>65</v>
      </c>
      <c r="AO1551" s="87"/>
      <c r="AP1551" s="87"/>
      <c r="AQ1551" s="87"/>
      <c r="AR1551" s="87"/>
      <c r="AS1551" s="87"/>
      <c r="AT1551" s="87"/>
      <c r="AU1551" s="87"/>
      <c r="AV1551" s="87"/>
      <c r="AW1551" s="88" t="str">
        <f>HYPERLINK("http://www.openstreetmap.org/?mlat=32.6796&amp;mlon=44.1639&amp;zoom=12#map=12/32.6796/44.1639","Maplink1")</f>
        <v>Maplink1</v>
      </c>
      <c r="AX1551" s="88" t="str">
        <f>HYPERLINK("https://www.google.iq/maps/search/+32.6796,44.1639/@32.6796,44.1639,14z?hl=en","Maplink2")</f>
        <v>Maplink2</v>
      </c>
      <c r="AY1551" s="88" t="str">
        <f>HYPERLINK("http://www.bing.com/maps/?lvl=14&amp;sty=h&amp;cp=32.6796~44.1639&amp;sp=point.32.6796_44.1639","Maplink3")</f>
        <v>Maplink3</v>
      </c>
      <c r="AZ1551" s="76"/>
    </row>
    <row r="1552" spans="1:52" x14ac:dyDescent="0.25">
      <c r="A1552" s="86">
        <v>21682</v>
      </c>
      <c r="B1552" s="87" t="s">
        <v>19</v>
      </c>
      <c r="C1552" s="87" t="s">
        <v>19</v>
      </c>
      <c r="D1552" s="87" t="s">
        <v>3038</v>
      </c>
      <c r="E1552" s="87" t="s">
        <v>3039</v>
      </c>
      <c r="F1552" s="87">
        <v>32.684036658799997</v>
      </c>
      <c r="G1552" s="87">
        <v>44.166796442699997</v>
      </c>
      <c r="H1552" s="86">
        <v>62</v>
      </c>
      <c r="I1552" s="86">
        <v>372</v>
      </c>
      <c r="J1552" s="87"/>
      <c r="K1552" s="87">
        <v>62</v>
      </c>
      <c r="L1552" s="87"/>
      <c r="M1552" s="87"/>
      <c r="N1552" s="87"/>
      <c r="O1552" s="87"/>
      <c r="P1552" s="87"/>
      <c r="Q1552" s="87"/>
      <c r="R1552" s="87"/>
      <c r="S1552" s="87"/>
      <c r="T1552" s="87"/>
      <c r="U1552" s="87"/>
      <c r="V1552" s="87"/>
      <c r="W1552" s="87"/>
      <c r="X1552" s="87"/>
      <c r="Y1552" s="87"/>
      <c r="Z1552" s="87"/>
      <c r="AA1552" s="87"/>
      <c r="AB1552" s="87"/>
      <c r="AC1552" s="87"/>
      <c r="AD1552" s="87"/>
      <c r="AE1552" s="87"/>
      <c r="AF1552" s="87"/>
      <c r="AG1552" s="87"/>
      <c r="AH1552" s="87">
        <v>62</v>
      </c>
      <c r="AI1552" s="87"/>
      <c r="AJ1552" s="87"/>
      <c r="AK1552" s="87"/>
      <c r="AL1552" s="87"/>
      <c r="AM1552" s="87"/>
      <c r="AN1552" s="87">
        <v>62</v>
      </c>
      <c r="AO1552" s="87"/>
      <c r="AP1552" s="87"/>
      <c r="AQ1552" s="87"/>
      <c r="AR1552" s="87"/>
      <c r="AS1552" s="87"/>
      <c r="AT1552" s="87"/>
      <c r="AU1552" s="87"/>
      <c r="AV1552" s="87"/>
      <c r="AW1552" s="88" t="str">
        <f>HYPERLINK("http://www.openstreetmap.org/?mlat=32.684&amp;mlon=44.1668&amp;zoom=12#map=12/32.684/44.1668","Maplink1")</f>
        <v>Maplink1</v>
      </c>
      <c r="AX1552" s="88" t="str">
        <f>HYPERLINK("https://www.google.iq/maps/search/+32.684,44.1668/@32.684,44.1668,14z?hl=en","Maplink2")</f>
        <v>Maplink2</v>
      </c>
      <c r="AY1552" s="88" t="str">
        <f>HYPERLINK("http://www.bing.com/maps/?lvl=14&amp;sty=h&amp;cp=32.684~44.1668&amp;sp=point.32.684_44.1668","Maplink3")</f>
        <v>Maplink3</v>
      </c>
      <c r="AZ1552" s="76"/>
    </row>
    <row r="1553" spans="1:52" x14ac:dyDescent="0.25">
      <c r="A1553" s="86">
        <v>24140</v>
      </c>
      <c r="B1553" s="87" t="s">
        <v>19</v>
      </c>
      <c r="C1553" s="87" t="s">
        <v>19</v>
      </c>
      <c r="D1553" s="87" t="s">
        <v>3040</v>
      </c>
      <c r="E1553" s="87" t="s">
        <v>3041</v>
      </c>
      <c r="F1553" s="87">
        <v>32.678959771899997</v>
      </c>
      <c r="G1553" s="87">
        <v>44.165166469399999</v>
      </c>
      <c r="H1553" s="86">
        <v>15</v>
      </c>
      <c r="I1553" s="86">
        <v>90</v>
      </c>
      <c r="J1553" s="87"/>
      <c r="K1553" s="87">
        <v>15</v>
      </c>
      <c r="L1553" s="87"/>
      <c r="M1553" s="87"/>
      <c r="N1553" s="87"/>
      <c r="O1553" s="87"/>
      <c r="P1553" s="87"/>
      <c r="Q1553" s="87"/>
      <c r="R1553" s="87"/>
      <c r="S1553" s="87"/>
      <c r="T1553" s="87"/>
      <c r="U1553" s="87"/>
      <c r="V1553" s="87"/>
      <c r="W1553" s="87"/>
      <c r="X1553" s="87"/>
      <c r="Y1553" s="87"/>
      <c r="Z1553" s="87"/>
      <c r="AA1553" s="87"/>
      <c r="AB1553" s="87"/>
      <c r="AC1553" s="87"/>
      <c r="AD1553" s="87"/>
      <c r="AE1553" s="87"/>
      <c r="AF1553" s="87"/>
      <c r="AG1553" s="87"/>
      <c r="AH1553" s="87">
        <v>15</v>
      </c>
      <c r="AI1553" s="87"/>
      <c r="AJ1553" s="87"/>
      <c r="AK1553" s="87"/>
      <c r="AL1553" s="87"/>
      <c r="AM1553" s="87"/>
      <c r="AN1553" s="87">
        <v>15</v>
      </c>
      <c r="AO1553" s="87"/>
      <c r="AP1553" s="87"/>
      <c r="AQ1553" s="87"/>
      <c r="AR1553" s="87"/>
      <c r="AS1553" s="87"/>
      <c r="AT1553" s="87"/>
      <c r="AU1553" s="87"/>
      <c r="AV1553" s="87"/>
      <c r="AW1553" s="88" t="str">
        <f>HYPERLINK("http://www.openstreetmap.org/?mlat=32.679&amp;mlon=44.1652&amp;zoom=12#map=12/32.679/44.1652","Maplink1")</f>
        <v>Maplink1</v>
      </c>
      <c r="AX1553" s="88" t="str">
        <f>HYPERLINK("https://www.google.iq/maps/search/+32.679,44.1652/@32.679,44.1652,14z?hl=en","Maplink2")</f>
        <v>Maplink2</v>
      </c>
      <c r="AY1553" s="88" t="str">
        <f>HYPERLINK("http://www.bing.com/maps/?lvl=14&amp;sty=h&amp;cp=32.679~44.1652&amp;sp=point.32.679_44.1652","Maplink3")</f>
        <v>Maplink3</v>
      </c>
      <c r="AZ1553" s="76"/>
    </row>
    <row r="1554" spans="1:52" x14ac:dyDescent="0.25">
      <c r="A1554" s="86">
        <v>14120</v>
      </c>
      <c r="B1554" s="87" t="s">
        <v>19</v>
      </c>
      <c r="C1554" s="87" t="s">
        <v>19</v>
      </c>
      <c r="D1554" s="87" t="s">
        <v>3042</v>
      </c>
      <c r="E1554" s="87" t="s">
        <v>3043</v>
      </c>
      <c r="F1554" s="87">
        <v>32.684531758799999</v>
      </c>
      <c r="G1554" s="87">
        <v>44.166087551399997</v>
      </c>
      <c r="H1554" s="86">
        <v>5</v>
      </c>
      <c r="I1554" s="86">
        <v>30</v>
      </c>
      <c r="J1554" s="87"/>
      <c r="K1554" s="87">
        <v>5</v>
      </c>
      <c r="L1554" s="87"/>
      <c r="M1554" s="87"/>
      <c r="N1554" s="87"/>
      <c r="O1554" s="87"/>
      <c r="P1554" s="87"/>
      <c r="Q1554" s="87"/>
      <c r="R1554" s="87"/>
      <c r="S1554" s="87"/>
      <c r="T1554" s="87"/>
      <c r="U1554" s="87"/>
      <c r="V1554" s="87"/>
      <c r="W1554" s="87"/>
      <c r="X1554" s="87"/>
      <c r="Y1554" s="87"/>
      <c r="Z1554" s="87"/>
      <c r="AA1554" s="87"/>
      <c r="AB1554" s="87"/>
      <c r="AC1554" s="87"/>
      <c r="AD1554" s="87"/>
      <c r="AE1554" s="87"/>
      <c r="AF1554" s="87"/>
      <c r="AG1554" s="87"/>
      <c r="AH1554" s="87">
        <v>5</v>
      </c>
      <c r="AI1554" s="87"/>
      <c r="AJ1554" s="87"/>
      <c r="AK1554" s="87"/>
      <c r="AL1554" s="87"/>
      <c r="AM1554" s="87"/>
      <c r="AN1554" s="87">
        <v>5</v>
      </c>
      <c r="AO1554" s="87"/>
      <c r="AP1554" s="87"/>
      <c r="AQ1554" s="87"/>
      <c r="AR1554" s="87"/>
      <c r="AS1554" s="87"/>
      <c r="AT1554" s="87"/>
      <c r="AU1554" s="87"/>
      <c r="AV1554" s="87"/>
      <c r="AW1554" s="88" t="str">
        <f>HYPERLINK("http://www.openstreetmap.org/?mlat=32.6845&amp;mlon=44.1661&amp;zoom=12#map=12/32.6845/44.1661","Maplink1")</f>
        <v>Maplink1</v>
      </c>
      <c r="AX1554" s="88" t="str">
        <f>HYPERLINK("https://www.google.iq/maps/search/+32.6845,44.1661/@32.6845,44.1661,14z?hl=en","Maplink2")</f>
        <v>Maplink2</v>
      </c>
      <c r="AY1554" s="88" t="str">
        <f>HYPERLINK("http://www.bing.com/maps/?lvl=14&amp;sty=h&amp;cp=32.6845~44.1661&amp;sp=point.32.6845_44.1661","Maplink3")</f>
        <v>Maplink3</v>
      </c>
      <c r="AZ1554" s="76"/>
    </row>
    <row r="1555" spans="1:52" x14ac:dyDescent="0.25">
      <c r="A1555" s="86">
        <v>14191</v>
      </c>
      <c r="B1555" s="87" t="s">
        <v>19</v>
      </c>
      <c r="C1555" s="87" t="s">
        <v>19</v>
      </c>
      <c r="D1555" s="87" t="s">
        <v>3044</v>
      </c>
      <c r="E1555" s="87" t="s">
        <v>3045</v>
      </c>
      <c r="F1555" s="87">
        <v>32.697704160299999</v>
      </c>
      <c r="G1555" s="87">
        <v>44.143172418900001</v>
      </c>
      <c r="H1555" s="86">
        <v>20</v>
      </c>
      <c r="I1555" s="86">
        <v>120</v>
      </c>
      <c r="J1555" s="87"/>
      <c r="K1555" s="87">
        <v>4</v>
      </c>
      <c r="L1555" s="87"/>
      <c r="M1555" s="87"/>
      <c r="N1555" s="87"/>
      <c r="O1555" s="87"/>
      <c r="P1555" s="87"/>
      <c r="Q1555" s="87"/>
      <c r="R1555" s="87"/>
      <c r="S1555" s="87"/>
      <c r="T1555" s="87"/>
      <c r="U1555" s="87"/>
      <c r="V1555" s="87">
        <v>16</v>
      </c>
      <c r="W1555" s="87"/>
      <c r="X1555" s="87"/>
      <c r="Y1555" s="87"/>
      <c r="Z1555" s="87"/>
      <c r="AA1555" s="87"/>
      <c r="AB1555" s="87"/>
      <c r="AC1555" s="87"/>
      <c r="AD1555" s="87"/>
      <c r="AE1555" s="87"/>
      <c r="AF1555" s="87"/>
      <c r="AG1555" s="87"/>
      <c r="AH1555" s="87">
        <v>20</v>
      </c>
      <c r="AI1555" s="87"/>
      <c r="AJ1555" s="87"/>
      <c r="AK1555" s="87"/>
      <c r="AL1555" s="87"/>
      <c r="AM1555" s="87"/>
      <c r="AN1555" s="87">
        <v>4</v>
      </c>
      <c r="AO1555" s="87">
        <v>16</v>
      </c>
      <c r="AP1555" s="87"/>
      <c r="AQ1555" s="87"/>
      <c r="AR1555" s="87"/>
      <c r="AS1555" s="87"/>
      <c r="AT1555" s="87"/>
      <c r="AU1555" s="87"/>
      <c r="AV1555" s="87"/>
      <c r="AW1555" s="88" t="str">
        <f>HYPERLINK("http://www.openstreetmap.org/?mlat=32.6977&amp;mlon=44.1432&amp;zoom=12#map=12/32.6977/44.1432","Maplink1")</f>
        <v>Maplink1</v>
      </c>
      <c r="AX1555" s="88" t="str">
        <f>HYPERLINK("https://www.google.iq/maps/search/+32.6977,44.1432/@32.6977,44.1432,14z?hl=en","Maplink2")</f>
        <v>Maplink2</v>
      </c>
      <c r="AY1555" s="88" t="str">
        <f>HYPERLINK("http://www.bing.com/maps/?lvl=14&amp;sty=h&amp;cp=32.6977~44.1432&amp;sp=point.32.6977_44.1432","Maplink3")</f>
        <v>Maplink3</v>
      </c>
      <c r="AZ1555" s="76"/>
    </row>
    <row r="1556" spans="1:52" x14ac:dyDescent="0.25">
      <c r="A1556" s="86">
        <v>14286</v>
      </c>
      <c r="B1556" s="87" t="s">
        <v>19</v>
      </c>
      <c r="C1556" s="87" t="s">
        <v>19</v>
      </c>
      <c r="D1556" s="87" t="s">
        <v>3046</v>
      </c>
      <c r="E1556" s="87" t="s">
        <v>3047</v>
      </c>
      <c r="F1556" s="87">
        <v>32.605146376599997</v>
      </c>
      <c r="G1556" s="87">
        <v>43.9671995</v>
      </c>
      <c r="H1556" s="86">
        <v>18</v>
      </c>
      <c r="I1556" s="86">
        <v>108</v>
      </c>
      <c r="J1556" s="87"/>
      <c r="K1556" s="87"/>
      <c r="L1556" s="87"/>
      <c r="M1556" s="87"/>
      <c r="N1556" s="87"/>
      <c r="O1556" s="87">
        <v>2</v>
      </c>
      <c r="P1556" s="87"/>
      <c r="Q1556" s="87"/>
      <c r="R1556" s="87"/>
      <c r="S1556" s="87"/>
      <c r="T1556" s="87"/>
      <c r="U1556" s="87"/>
      <c r="V1556" s="87">
        <v>16</v>
      </c>
      <c r="W1556" s="87"/>
      <c r="X1556" s="87"/>
      <c r="Y1556" s="87"/>
      <c r="Z1556" s="87"/>
      <c r="AA1556" s="87"/>
      <c r="AB1556" s="87"/>
      <c r="AC1556" s="87"/>
      <c r="AD1556" s="87"/>
      <c r="AE1556" s="87"/>
      <c r="AF1556" s="87"/>
      <c r="AG1556" s="87"/>
      <c r="AH1556" s="87">
        <v>18</v>
      </c>
      <c r="AI1556" s="87"/>
      <c r="AJ1556" s="87"/>
      <c r="AK1556" s="87"/>
      <c r="AL1556" s="87"/>
      <c r="AM1556" s="87"/>
      <c r="AN1556" s="87"/>
      <c r="AO1556" s="87">
        <v>18</v>
      </c>
      <c r="AP1556" s="87"/>
      <c r="AQ1556" s="87"/>
      <c r="AR1556" s="87"/>
      <c r="AS1556" s="87"/>
      <c r="AT1556" s="87"/>
      <c r="AU1556" s="87"/>
      <c r="AV1556" s="87"/>
      <c r="AW1556" s="88" t="str">
        <f>HYPERLINK("http://www.openstreetmap.org/?mlat=32.6051&amp;mlon=43.9672&amp;zoom=12#map=12/32.6051/43.9672","Maplink1")</f>
        <v>Maplink1</v>
      </c>
      <c r="AX1556" s="88" t="str">
        <f>HYPERLINK("https://www.google.iq/maps/search/+32.6051,43.9672/@32.6051,43.9672,14z?hl=en","Maplink2")</f>
        <v>Maplink2</v>
      </c>
      <c r="AY1556" s="88" t="str">
        <f>HYPERLINK("http://www.bing.com/maps/?lvl=14&amp;sty=h&amp;cp=32.6051~43.9672&amp;sp=point.32.6051_43.9672","Maplink3")</f>
        <v>Maplink3</v>
      </c>
      <c r="AZ1556" s="76"/>
    </row>
    <row r="1557" spans="1:52" x14ac:dyDescent="0.25">
      <c r="A1557" s="86">
        <v>24285</v>
      </c>
      <c r="B1557" s="87" t="s">
        <v>19</v>
      </c>
      <c r="C1557" s="87" t="s">
        <v>19</v>
      </c>
      <c r="D1557" s="87" t="s">
        <v>3048</v>
      </c>
      <c r="E1557" s="87" t="s">
        <v>3049</v>
      </c>
      <c r="F1557" s="87">
        <v>32.657023645400002</v>
      </c>
      <c r="G1557" s="87">
        <v>44.050954500000003</v>
      </c>
      <c r="H1557" s="86">
        <v>490</v>
      </c>
      <c r="I1557" s="86">
        <v>2940</v>
      </c>
      <c r="J1557" s="87"/>
      <c r="K1557" s="87"/>
      <c r="L1557" s="87"/>
      <c r="M1557" s="87"/>
      <c r="N1557" s="87"/>
      <c r="O1557" s="87"/>
      <c r="P1557" s="87"/>
      <c r="Q1557" s="87"/>
      <c r="R1557" s="87"/>
      <c r="S1557" s="87"/>
      <c r="T1557" s="87"/>
      <c r="U1557" s="87"/>
      <c r="V1557" s="87">
        <v>490</v>
      </c>
      <c r="W1557" s="87"/>
      <c r="X1557" s="87"/>
      <c r="Y1557" s="87"/>
      <c r="Z1557" s="87"/>
      <c r="AA1557" s="87"/>
      <c r="AB1557" s="87"/>
      <c r="AC1557" s="87"/>
      <c r="AD1557" s="87"/>
      <c r="AE1557" s="87"/>
      <c r="AF1557" s="87"/>
      <c r="AG1557" s="87"/>
      <c r="AH1557" s="87">
        <v>140</v>
      </c>
      <c r="AI1557" s="87"/>
      <c r="AJ1557" s="87"/>
      <c r="AK1557" s="87"/>
      <c r="AL1557" s="87">
        <v>350</v>
      </c>
      <c r="AM1557" s="87"/>
      <c r="AN1557" s="87"/>
      <c r="AO1557" s="87">
        <v>490</v>
      </c>
      <c r="AP1557" s="87"/>
      <c r="AQ1557" s="87"/>
      <c r="AR1557" s="87"/>
      <c r="AS1557" s="87"/>
      <c r="AT1557" s="87"/>
      <c r="AU1557" s="87"/>
      <c r="AV1557" s="87"/>
      <c r="AW1557" s="88" t="str">
        <f>HYPERLINK("http://www.openstreetmap.org/?mlat=32.657&amp;mlon=44.051&amp;zoom=12#map=12/32.657/44.051","Maplink1")</f>
        <v>Maplink1</v>
      </c>
      <c r="AX1557" s="88" t="str">
        <f>HYPERLINK("https://www.google.iq/maps/search/+32.657,44.051/@32.657,44.051,14z?hl=en","Maplink2")</f>
        <v>Maplink2</v>
      </c>
      <c r="AY1557" s="88" t="str">
        <f>HYPERLINK("http://www.bing.com/maps/?lvl=14&amp;sty=h&amp;cp=32.657~44.051&amp;sp=point.32.657_44.051","Maplink3")</f>
        <v>Maplink3</v>
      </c>
      <c r="AZ1557" s="76"/>
    </row>
    <row r="1558" spans="1:52" x14ac:dyDescent="0.25">
      <c r="A1558" s="86">
        <v>21683</v>
      </c>
      <c r="B1558" s="87" t="s">
        <v>19</v>
      </c>
      <c r="C1558" s="87" t="s">
        <v>19</v>
      </c>
      <c r="D1558" s="87" t="s">
        <v>3050</v>
      </c>
      <c r="E1558" s="87" t="s">
        <v>3051</v>
      </c>
      <c r="F1558" s="87">
        <v>32.596522299999997</v>
      </c>
      <c r="G1558" s="87">
        <v>44.054530100000001</v>
      </c>
      <c r="H1558" s="86">
        <v>9</v>
      </c>
      <c r="I1558" s="86">
        <v>54</v>
      </c>
      <c r="J1558" s="87"/>
      <c r="K1558" s="87"/>
      <c r="L1558" s="87"/>
      <c r="M1558" s="87"/>
      <c r="N1558" s="87"/>
      <c r="O1558" s="87"/>
      <c r="P1558" s="87"/>
      <c r="Q1558" s="87"/>
      <c r="R1558" s="87"/>
      <c r="S1558" s="87"/>
      <c r="T1558" s="87"/>
      <c r="U1558" s="87"/>
      <c r="V1558" s="87">
        <v>9</v>
      </c>
      <c r="W1558" s="87"/>
      <c r="X1558" s="87"/>
      <c r="Y1558" s="87"/>
      <c r="Z1558" s="87"/>
      <c r="AA1558" s="87"/>
      <c r="AB1558" s="87"/>
      <c r="AC1558" s="87"/>
      <c r="AD1558" s="87"/>
      <c r="AE1558" s="87"/>
      <c r="AF1558" s="87"/>
      <c r="AG1558" s="87"/>
      <c r="AH1558" s="87">
        <v>9</v>
      </c>
      <c r="AI1558" s="87"/>
      <c r="AJ1558" s="87"/>
      <c r="AK1558" s="87"/>
      <c r="AL1558" s="87"/>
      <c r="AM1558" s="87"/>
      <c r="AN1558" s="87"/>
      <c r="AO1558" s="87">
        <v>9</v>
      </c>
      <c r="AP1558" s="87"/>
      <c r="AQ1558" s="87"/>
      <c r="AR1558" s="87"/>
      <c r="AS1558" s="87"/>
      <c r="AT1558" s="87"/>
      <c r="AU1558" s="87"/>
      <c r="AV1558" s="87"/>
      <c r="AW1558" s="88" t="str">
        <f>HYPERLINK("http://www.openstreetmap.org/?mlat=32.5965&amp;mlon=44.0545&amp;zoom=12#map=12/32.5965/44.0545","Maplink1")</f>
        <v>Maplink1</v>
      </c>
      <c r="AX1558" s="88" t="str">
        <f>HYPERLINK("https://www.google.iq/maps/search/+32.5965,44.0545/@32.5965,44.0545,14z?hl=en","Maplink2")</f>
        <v>Maplink2</v>
      </c>
      <c r="AY1558" s="88" t="str">
        <f>HYPERLINK("http://www.bing.com/maps/?lvl=14&amp;sty=h&amp;cp=32.5965~44.0545&amp;sp=point.32.5965_44.0545","Maplink3")</f>
        <v>Maplink3</v>
      </c>
      <c r="AZ1558" s="76"/>
    </row>
    <row r="1559" spans="1:52" x14ac:dyDescent="0.25">
      <c r="A1559" s="86">
        <v>14186</v>
      </c>
      <c r="B1559" s="87" t="s">
        <v>19</v>
      </c>
      <c r="C1559" s="87" t="s">
        <v>19</v>
      </c>
      <c r="D1559" s="87" t="s">
        <v>3052</v>
      </c>
      <c r="E1559" s="87" t="s">
        <v>3053</v>
      </c>
      <c r="F1559" s="87">
        <v>32.661206499999999</v>
      </c>
      <c r="G1559" s="87">
        <v>43.986597400000001</v>
      </c>
      <c r="H1559" s="86">
        <v>20</v>
      </c>
      <c r="I1559" s="86">
        <v>120</v>
      </c>
      <c r="J1559" s="87">
        <v>8</v>
      </c>
      <c r="K1559" s="87"/>
      <c r="L1559" s="87"/>
      <c r="M1559" s="87"/>
      <c r="N1559" s="87"/>
      <c r="O1559" s="87"/>
      <c r="P1559" s="87"/>
      <c r="Q1559" s="87"/>
      <c r="R1559" s="87"/>
      <c r="S1559" s="87"/>
      <c r="T1559" s="87"/>
      <c r="U1559" s="87"/>
      <c r="V1559" s="87">
        <v>12</v>
      </c>
      <c r="W1559" s="87"/>
      <c r="X1559" s="87"/>
      <c r="Y1559" s="87"/>
      <c r="Z1559" s="87"/>
      <c r="AA1559" s="87"/>
      <c r="AB1559" s="87"/>
      <c r="AC1559" s="87"/>
      <c r="AD1559" s="87"/>
      <c r="AE1559" s="87"/>
      <c r="AF1559" s="87"/>
      <c r="AG1559" s="87"/>
      <c r="AH1559" s="87">
        <v>20</v>
      </c>
      <c r="AI1559" s="87"/>
      <c r="AJ1559" s="87"/>
      <c r="AK1559" s="87"/>
      <c r="AL1559" s="87"/>
      <c r="AM1559" s="87"/>
      <c r="AN1559" s="87">
        <v>8</v>
      </c>
      <c r="AO1559" s="87">
        <v>12</v>
      </c>
      <c r="AP1559" s="87"/>
      <c r="AQ1559" s="87"/>
      <c r="AR1559" s="87"/>
      <c r="AS1559" s="87"/>
      <c r="AT1559" s="87"/>
      <c r="AU1559" s="87"/>
      <c r="AV1559" s="87"/>
      <c r="AW1559" s="88" t="str">
        <f>HYPERLINK("http://www.openstreetmap.org/?mlat=32.6612&amp;mlon=43.9866&amp;zoom=12#map=12/32.6612/43.9866","Maplink1")</f>
        <v>Maplink1</v>
      </c>
      <c r="AX1559" s="88" t="str">
        <f>HYPERLINK("https://www.google.iq/maps/search/+32.6612,43.9866/@32.6612,43.9866,14z?hl=en","Maplink2")</f>
        <v>Maplink2</v>
      </c>
      <c r="AY1559" s="88" t="str">
        <f>HYPERLINK("http://www.bing.com/maps/?lvl=14&amp;sty=h&amp;cp=32.6612~43.9866&amp;sp=point.32.6612_43.9866","Maplink3")</f>
        <v>Maplink3</v>
      </c>
      <c r="AZ1559" s="76"/>
    </row>
    <row r="1560" spans="1:52" x14ac:dyDescent="0.25">
      <c r="A1560" s="86">
        <v>21142</v>
      </c>
      <c r="B1560" s="87" t="s">
        <v>19</v>
      </c>
      <c r="C1560" s="87" t="s">
        <v>19</v>
      </c>
      <c r="D1560" s="87" t="s">
        <v>3054</v>
      </c>
      <c r="E1560" s="87" t="s">
        <v>3055</v>
      </c>
      <c r="F1560" s="87">
        <v>32.609442446300001</v>
      </c>
      <c r="G1560" s="87">
        <v>44.008002300000001</v>
      </c>
      <c r="H1560" s="86">
        <v>8</v>
      </c>
      <c r="I1560" s="86">
        <v>48</v>
      </c>
      <c r="J1560" s="87">
        <v>4</v>
      </c>
      <c r="K1560" s="87"/>
      <c r="L1560" s="87"/>
      <c r="M1560" s="87"/>
      <c r="N1560" s="87"/>
      <c r="O1560" s="87"/>
      <c r="P1560" s="87"/>
      <c r="Q1560" s="87"/>
      <c r="R1560" s="87"/>
      <c r="S1560" s="87"/>
      <c r="T1560" s="87"/>
      <c r="U1560" s="87"/>
      <c r="V1560" s="87">
        <v>4</v>
      </c>
      <c r="W1560" s="87"/>
      <c r="X1560" s="87"/>
      <c r="Y1560" s="87"/>
      <c r="Z1560" s="87"/>
      <c r="AA1560" s="87"/>
      <c r="AB1560" s="87"/>
      <c r="AC1560" s="87"/>
      <c r="AD1560" s="87"/>
      <c r="AE1560" s="87"/>
      <c r="AF1560" s="87"/>
      <c r="AG1560" s="87"/>
      <c r="AH1560" s="87">
        <v>8</v>
      </c>
      <c r="AI1560" s="87"/>
      <c r="AJ1560" s="87"/>
      <c r="AK1560" s="87"/>
      <c r="AL1560" s="87"/>
      <c r="AM1560" s="87"/>
      <c r="AN1560" s="87">
        <v>4</v>
      </c>
      <c r="AO1560" s="87">
        <v>4</v>
      </c>
      <c r="AP1560" s="87"/>
      <c r="AQ1560" s="87"/>
      <c r="AR1560" s="87"/>
      <c r="AS1560" s="87"/>
      <c r="AT1560" s="87"/>
      <c r="AU1560" s="87"/>
      <c r="AV1560" s="87"/>
      <c r="AW1560" s="88" t="str">
        <f>HYPERLINK("http://www.openstreetmap.org/?mlat=32.6094&amp;mlon=44.008&amp;zoom=12#map=12/32.6094/44.008","Maplink1")</f>
        <v>Maplink1</v>
      </c>
      <c r="AX1560" s="88" t="str">
        <f>HYPERLINK("https://www.google.iq/maps/search/+32.6094,44.008/@32.6094,44.008,14z?hl=en","Maplink2")</f>
        <v>Maplink2</v>
      </c>
      <c r="AY1560" s="88" t="str">
        <f>HYPERLINK("http://www.bing.com/maps/?lvl=14&amp;sty=h&amp;cp=32.6094~44.008&amp;sp=point.32.6094_44.008","Maplink3")</f>
        <v>Maplink3</v>
      </c>
      <c r="AZ1560" s="76"/>
    </row>
    <row r="1561" spans="1:52" x14ac:dyDescent="0.25">
      <c r="A1561" s="86">
        <v>14023</v>
      </c>
      <c r="B1561" s="87" t="s">
        <v>19</v>
      </c>
      <c r="C1561" s="87" t="s">
        <v>19</v>
      </c>
      <c r="D1561" s="87" t="s">
        <v>3056</v>
      </c>
      <c r="E1561" s="87" t="s">
        <v>3057</v>
      </c>
      <c r="F1561" s="87">
        <v>32.581277900000003</v>
      </c>
      <c r="G1561" s="87">
        <v>44.0191467</v>
      </c>
      <c r="H1561" s="86">
        <v>5</v>
      </c>
      <c r="I1561" s="86">
        <v>30</v>
      </c>
      <c r="J1561" s="87"/>
      <c r="K1561" s="87"/>
      <c r="L1561" s="87"/>
      <c r="M1561" s="87"/>
      <c r="N1561" s="87"/>
      <c r="O1561" s="87"/>
      <c r="P1561" s="87"/>
      <c r="Q1561" s="87"/>
      <c r="R1561" s="87"/>
      <c r="S1561" s="87"/>
      <c r="T1561" s="87"/>
      <c r="U1561" s="87"/>
      <c r="V1561" s="87">
        <v>5</v>
      </c>
      <c r="W1561" s="87"/>
      <c r="X1561" s="87"/>
      <c r="Y1561" s="87"/>
      <c r="Z1561" s="87"/>
      <c r="AA1561" s="87"/>
      <c r="AB1561" s="87"/>
      <c r="AC1561" s="87"/>
      <c r="AD1561" s="87"/>
      <c r="AE1561" s="87"/>
      <c r="AF1561" s="87"/>
      <c r="AG1561" s="87"/>
      <c r="AH1561" s="87">
        <v>5</v>
      </c>
      <c r="AI1561" s="87"/>
      <c r="AJ1561" s="87"/>
      <c r="AK1561" s="87"/>
      <c r="AL1561" s="87"/>
      <c r="AM1561" s="87"/>
      <c r="AN1561" s="87"/>
      <c r="AO1561" s="87">
        <v>5</v>
      </c>
      <c r="AP1561" s="87"/>
      <c r="AQ1561" s="87"/>
      <c r="AR1561" s="87"/>
      <c r="AS1561" s="87"/>
      <c r="AT1561" s="87"/>
      <c r="AU1561" s="87"/>
      <c r="AV1561" s="87"/>
      <c r="AW1561" s="88" t="str">
        <f>HYPERLINK("http://www.openstreetmap.org/?mlat=32.5813&amp;mlon=44.0191&amp;zoom=12#map=12/32.5813/44.0191","Maplink1")</f>
        <v>Maplink1</v>
      </c>
      <c r="AX1561" s="88" t="str">
        <f>HYPERLINK("https://www.google.iq/maps/search/+32.5813,44.0191/@32.5813,44.0191,14z?hl=en","Maplink2")</f>
        <v>Maplink2</v>
      </c>
      <c r="AY1561" s="88" t="str">
        <f>HYPERLINK("http://www.bing.com/maps/?lvl=14&amp;sty=h&amp;cp=32.5813~44.0191&amp;sp=point.32.5813_44.0191","Maplink3")</f>
        <v>Maplink3</v>
      </c>
      <c r="AZ1561" s="76"/>
    </row>
    <row r="1562" spans="1:52" x14ac:dyDescent="0.25">
      <c r="A1562" s="86">
        <v>21111</v>
      </c>
      <c r="B1562" s="87" t="s">
        <v>19</v>
      </c>
      <c r="C1562" s="87" t="s">
        <v>19</v>
      </c>
      <c r="D1562" s="87" t="s">
        <v>3058</v>
      </c>
      <c r="E1562" s="87" t="s">
        <v>3059</v>
      </c>
      <c r="F1562" s="87">
        <v>32.636514099999999</v>
      </c>
      <c r="G1562" s="87">
        <v>43.968800100000003</v>
      </c>
      <c r="H1562" s="86">
        <v>10</v>
      </c>
      <c r="I1562" s="86">
        <v>60</v>
      </c>
      <c r="J1562" s="87"/>
      <c r="K1562" s="87"/>
      <c r="L1562" s="87"/>
      <c r="M1562" s="87"/>
      <c r="N1562" s="87"/>
      <c r="O1562" s="87"/>
      <c r="P1562" s="87"/>
      <c r="Q1562" s="87"/>
      <c r="R1562" s="87"/>
      <c r="S1562" s="87"/>
      <c r="T1562" s="87"/>
      <c r="U1562" s="87"/>
      <c r="V1562" s="87">
        <v>10</v>
      </c>
      <c r="W1562" s="87"/>
      <c r="X1562" s="87"/>
      <c r="Y1562" s="87"/>
      <c r="Z1562" s="87"/>
      <c r="AA1562" s="87"/>
      <c r="AB1562" s="87"/>
      <c r="AC1562" s="87"/>
      <c r="AD1562" s="87"/>
      <c r="AE1562" s="87"/>
      <c r="AF1562" s="87"/>
      <c r="AG1562" s="87"/>
      <c r="AH1562" s="87">
        <v>10</v>
      </c>
      <c r="AI1562" s="87"/>
      <c r="AJ1562" s="87"/>
      <c r="AK1562" s="87"/>
      <c r="AL1562" s="87"/>
      <c r="AM1562" s="87"/>
      <c r="AN1562" s="87"/>
      <c r="AO1562" s="87">
        <v>10</v>
      </c>
      <c r="AP1562" s="87"/>
      <c r="AQ1562" s="87"/>
      <c r="AR1562" s="87"/>
      <c r="AS1562" s="87"/>
      <c r="AT1562" s="87"/>
      <c r="AU1562" s="87"/>
      <c r="AV1562" s="87"/>
      <c r="AW1562" s="88" t="str">
        <f>HYPERLINK("http://www.openstreetmap.org/?mlat=32.6365&amp;mlon=43.9688&amp;zoom=12#map=12/32.6365/43.9688","Maplink1")</f>
        <v>Maplink1</v>
      </c>
      <c r="AX1562" s="88" t="str">
        <f>HYPERLINK("https://www.google.iq/maps/search/+32.6365,43.9688/@32.6365,43.9688,14z?hl=en","Maplink2")</f>
        <v>Maplink2</v>
      </c>
      <c r="AY1562" s="88" t="str">
        <f>HYPERLINK("http://www.bing.com/maps/?lvl=14&amp;sty=h&amp;cp=32.6365~43.9688&amp;sp=point.32.6365_43.9688","Maplink3")</f>
        <v>Maplink3</v>
      </c>
      <c r="AZ1562" s="76"/>
    </row>
    <row r="1563" spans="1:52" x14ac:dyDescent="0.25">
      <c r="A1563" s="86">
        <v>14037</v>
      </c>
      <c r="B1563" s="87" t="s">
        <v>19</v>
      </c>
      <c r="C1563" s="87" t="s">
        <v>19</v>
      </c>
      <c r="D1563" s="87" t="s">
        <v>3060</v>
      </c>
      <c r="E1563" s="87" t="s">
        <v>3061</v>
      </c>
      <c r="F1563" s="87">
        <v>32.600694157200003</v>
      </c>
      <c r="G1563" s="87">
        <v>44.104039195600002</v>
      </c>
      <c r="H1563" s="86">
        <v>60</v>
      </c>
      <c r="I1563" s="86">
        <v>360</v>
      </c>
      <c r="J1563" s="87"/>
      <c r="K1563" s="87"/>
      <c r="L1563" s="87"/>
      <c r="M1563" s="87"/>
      <c r="N1563" s="87"/>
      <c r="O1563" s="87"/>
      <c r="P1563" s="87"/>
      <c r="Q1563" s="87"/>
      <c r="R1563" s="87"/>
      <c r="S1563" s="87"/>
      <c r="T1563" s="87"/>
      <c r="U1563" s="87"/>
      <c r="V1563" s="87">
        <v>60</v>
      </c>
      <c r="W1563" s="87"/>
      <c r="X1563" s="87"/>
      <c r="Y1563" s="87"/>
      <c r="Z1563" s="87"/>
      <c r="AA1563" s="87"/>
      <c r="AB1563" s="87"/>
      <c r="AC1563" s="87"/>
      <c r="AD1563" s="87"/>
      <c r="AE1563" s="87"/>
      <c r="AF1563" s="87"/>
      <c r="AG1563" s="87"/>
      <c r="AH1563" s="87">
        <v>60</v>
      </c>
      <c r="AI1563" s="87"/>
      <c r="AJ1563" s="87"/>
      <c r="AK1563" s="87"/>
      <c r="AL1563" s="87"/>
      <c r="AM1563" s="87"/>
      <c r="AN1563" s="87"/>
      <c r="AO1563" s="87">
        <v>60</v>
      </c>
      <c r="AP1563" s="87"/>
      <c r="AQ1563" s="87"/>
      <c r="AR1563" s="87"/>
      <c r="AS1563" s="87"/>
      <c r="AT1563" s="87"/>
      <c r="AU1563" s="87"/>
      <c r="AV1563" s="87"/>
      <c r="AW1563" s="88" t="str">
        <f>HYPERLINK("http://www.openstreetmap.org/?mlat=32.6007&amp;mlon=44.104&amp;zoom=12#map=12/32.6007/44.104","Maplink1")</f>
        <v>Maplink1</v>
      </c>
      <c r="AX1563" s="88" t="str">
        <f>HYPERLINK("https://www.google.iq/maps/search/+32.6007,44.104/@32.6007,44.104,14z?hl=en","Maplink2")</f>
        <v>Maplink2</v>
      </c>
      <c r="AY1563" s="88" t="str">
        <f>HYPERLINK("http://www.bing.com/maps/?lvl=14&amp;sty=h&amp;cp=32.6007~44.104&amp;sp=point.32.6007_44.104","Maplink3")</f>
        <v>Maplink3</v>
      </c>
      <c r="AZ1563" s="76"/>
    </row>
    <row r="1564" spans="1:52" x14ac:dyDescent="0.25">
      <c r="A1564" s="86">
        <v>13785</v>
      </c>
      <c r="B1564" s="87" t="s">
        <v>19</v>
      </c>
      <c r="C1564" s="87" t="s">
        <v>19</v>
      </c>
      <c r="D1564" s="87" t="s">
        <v>3062</v>
      </c>
      <c r="E1564" s="87" t="s">
        <v>1353</v>
      </c>
      <c r="F1564" s="87">
        <v>32.643219799999997</v>
      </c>
      <c r="G1564" s="87">
        <v>44.049852799999996</v>
      </c>
      <c r="H1564" s="86">
        <v>25</v>
      </c>
      <c r="I1564" s="86">
        <v>150</v>
      </c>
      <c r="J1564" s="87"/>
      <c r="K1564" s="87"/>
      <c r="L1564" s="87"/>
      <c r="M1564" s="87"/>
      <c r="N1564" s="87"/>
      <c r="O1564" s="87"/>
      <c r="P1564" s="87"/>
      <c r="Q1564" s="87"/>
      <c r="R1564" s="87"/>
      <c r="S1564" s="87"/>
      <c r="T1564" s="87"/>
      <c r="U1564" s="87"/>
      <c r="V1564" s="87">
        <v>25</v>
      </c>
      <c r="W1564" s="87"/>
      <c r="X1564" s="87"/>
      <c r="Y1564" s="87"/>
      <c r="Z1564" s="87"/>
      <c r="AA1564" s="87"/>
      <c r="AB1564" s="87"/>
      <c r="AC1564" s="87"/>
      <c r="AD1564" s="87"/>
      <c r="AE1564" s="87"/>
      <c r="AF1564" s="87"/>
      <c r="AG1564" s="87"/>
      <c r="AH1564" s="87">
        <v>25</v>
      </c>
      <c r="AI1564" s="87"/>
      <c r="AJ1564" s="87"/>
      <c r="AK1564" s="87"/>
      <c r="AL1564" s="87"/>
      <c r="AM1564" s="87"/>
      <c r="AN1564" s="87"/>
      <c r="AO1564" s="87">
        <v>25</v>
      </c>
      <c r="AP1564" s="87"/>
      <c r="AQ1564" s="87"/>
      <c r="AR1564" s="87"/>
      <c r="AS1564" s="87"/>
      <c r="AT1564" s="87"/>
      <c r="AU1564" s="87"/>
      <c r="AV1564" s="87"/>
      <c r="AW1564" s="88" t="str">
        <f>HYPERLINK("http://www.openstreetmap.org/?mlat=32.6432&amp;mlon=44.0499&amp;zoom=12#map=12/32.6432/44.0499","Maplink1")</f>
        <v>Maplink1</v>
      </c>
      <c r="AX1564" s="88" t="str">
        <f>HYPERLINK("https://www.google.iq/maps/search/+32.6432,44.0499/@32.6432,44.0499,14z?hl=en","Maplink2")</f>
        <v>Maplink2</v>
      </c>
      <c r="AY1564" s="88" t="str">
        <f>HYPERLINK("http://www.bing.com/maps/?lvl=14&amp;sty=h&amp;cp=32.6432~44.0499&amp;sp=point.32.6432_44.0499","Maplink3")</f>
        <v>Maplink3</v>
      </c>
      <c r="AZ1564" s="76"/>
    </row>
    <row r="1565" spans="1:52" x14ac:dyDescent="0.25">
      <c r="A1565" s="86">
        <v>26068</v>
      </c>
      <c r="B1565" s="87" t="s">
        <v>19</v>
      </c>
      <c r="C1565" s="87" t="s">
        <v>19</v>
      </c>
      <c r="D1565" s="87" t="s">
        <v>3063</v>
      </c>
      <c r="E1565" s="87" t="s">
        <v>3064</v>
      </c>
      <c r="F1565" s="87">
        <v>32.656821684299999</v>
      </c>
      <c r="G1565" s="87">
        <v>44.064133131299997</v>
      </c>
      <c r="H1565" s="86">
        <v>10</v>
      </c>
      <c r="I1565" s="86">
        <v>60</v>
      </c>
      <c r="J1565" s="87"/>
      <c r="K1565" s="87"/>
      <c r="L1565" s="87"/>
      <c r="M1565" s="87"/>
      <c r="N1565" s="87"/>
      <c r="O1565" s="87"/>
      <c r="P1565" s="87"/>
      <c r="Q1565" s="87"/>
      <c r="R1565" s="87"/>
      <c r="S1565" s="87"/>
      <c r="T1565" s="87"/>
      <c r="U1565" s="87"/>
      <c r="V1565" s="87">
        <v>10</v>
      </c>
      <c r="W1565" s="87"/>
      <c r="X1565" s="87"/>
      <c r="Y1565" s="87"/>
      <c r="Z1565" s="87"/>
      <c r="AA1565" s="87"/>
      <c r="AB1565" s="87"/>
      <c r="AC1565" s="87"/>
      <c r="AD1565" s="87"/>
      <c r="AE1565" s="87"/>
      <c r="AF1565" s="87"/>
      <c r="AG1565" s="87"/>
      <c r="AH1565" s="87">
        <v>10</v>
      </c>
      <c r="AI1565" s="87"/>
      <c r="AJ1565" s="87"/>
      <c r="AK1565" s="87"/>
      <c r="AL1565" s="87"/>
      <c r="AM1565" s="87"/>
      <c r="AN1565" s="87"/>
      <c r="AO1565" s="87">
        <v>10</v>
      </c>
      <c r="AP1565" s="87"/>
      <c r="AQ1565" s="87"/>
      <c r="AR1565" s="87"/>
      <c r="AS1565" s="87"/>
      <c r="AT1565" s="87"/>
      <c r="AU1565" s="87"/>
      <c r="AV1565" s="87"/>
      <c r="AW1565" s="88" t="str">
        <f>HYPERLINK("http://www.openstreetmap.org/?mlat=32.6568&amp;mlon=44.0641&amp;zoom=12#map=12/32.6568/44.0641","Maplink1")</f>
        <v>Maplink1</v>
      </c>
      <c r="AX1565" s="88" t="str">
        <f>HYPERLINK("https://www.google.iq/maps/search/+32.6568,44.0641/@32.6568,44.0641,14z?hl=en","Maplink2")</f>
        <v>Maplink2</v>
      </c>
      <c r="AY1565" s="88" t="str">
        <f>HYPERLINK("http://www.bing.com/maps/?lvl=14&amp;sty=h&amp;cp=32.6568~44.0641&amp;sp=point.32.6568_44.0641","Maplink3")</f>
        <v>Maplink3</v>
      </c>
      <c r="AZ1565" s="76"/>
    </row>
    <row r="1566" spans="1:52" x14ac:dyDescent="0.25">
      <c r="A1566" s="86">
        <v>26065</v>
      </c>
      <c r="B1566" s="87" t="s">
        <v>19</v>
      </c>
      <c r="C1566" s="87" t="s">
        <v>19</v>
      </c>
      <c r="D1566" s="87" t="s">
        <v>3065</v>
      </c>
      <c r="E1566" s="87" t="s">
        <v>3066</v>
      </c>
      <c r="F1566" s="87">
        <v>32.682792514500001</v>
      </c>
      <c r="G1566" s="87">
        <v>44.076880156500003</v>
      </c>
      <c r="H1566" s="86">
        <v>45</v>
      </c>
      <c r="I1566" s="86">
        <v>270</v>
      </c>
      <c r="J1566" s="87"/>
      <c r="K1566" s="87">
        <v>3</v>
      </c>
      <c r="L1566" s="87"/>
      <c r="M1566" s="87"/>
      <c r="N1566" s="87"/>
      <c r="O1566" s="87"/>
      <c r="P1566" s="87"/>
      <c r="Q1566" s="87"/>
      <c r="R1566" s="87"/>
      <c r="S1566" s="87"/>
      <c r="T1566" s="87"/>
      <c r="U1566" s="87"/>
      <c r="V1566" s="87">
        <v>42</v>
      </c>
      <c r="W1566" s="87"/>
      <c r="X1566" s="87"/>
      <c r="Y1566" s="87"/>
      <c r="Z1566" s="87"/>
      <c r="AA1566" s="87"/>
      <c r="AB1566" s="87"/>
      <c r="AC1566" s="87"/>
      <c r="AD1566" s="87"/>
      <c r="AE1566" s="87"/>
      <c r="AF1566" s="87"/>
      <c r="AG1566" s="87">
        <v>4</v>
      </c>
      <c r="AH1566" s="87">
        <v>32</v>
      </c>
      <c r="AI1566" s="87"/>
      <c r="AJ1566" s="87"/>
      <c r="AK1566" s="87"/>
      <c r="AL1566" s="87">
        <v>9</v>
      </c>
      <c r="AM1566" s="87"/>
      <c r="AN1566" s="87">
        <v>3</v>
      </c>
      <c r="AO1566" s="87">
        <v>42</v>
      </c>
      <c r="AP1566" s="87"/>
      <c r="AQ1566" s="87"/>
      <c r="AR1566" s="87"/>
      <c r="AS1566" s="87"/>
      <c r="AT1566" s="87"/>
      <c r="AU1566" s="87"/>
      <c r="AV1566" s="87"/>
      <c r="AW1566" s="88" t="str">
        <f>HYPERLINK("http://www.openstreetmap.org/?mlat=32.6828&amp;mlon=44.0769&amp;zoom=12#map=12/32.6828/44.0769","Maplink1")</f>
        <v>Maplink1</v>
      </c>
      <c r="AX1566" s="88" t="str">
        <f>HYPERLINK("https://www.google.iq/maps/search/+32.6828,44.0769/@32.6828,44.0769,14z?hl=en","Maplink2")</f>
        <v>Maplink2</v>
      </c>
      <c r="AY1566" s="88" t="str">
        <f>HYPERLINK("http://www.bing.com/maps/?lvl=14&amp;sty=h&amp;cp=32.6828~44.0769&amp;sp=point.32.6828_44.0769","Maplink3")</f>
        <v>Maplink3</v>
      </c>
      <c r="AZ1566" s="76"/>
    </row>
    <row r="1567" spans="1:52" x14ac:dyDescent="0.25">
      <c r="A1567" s="86">
        <v>25901</v>
      </c>
      <c r="B1567" s="87" t="s">
        <v>19</v>
      </c>
      <c r="C1567" s="87" t="s">
        <v>19</v>
      </c>
      <c r="D1567" s="87" t="s">
        <v>3067</v>
      </c>
      <c r="E1567" s="87" t="s">
        <v>3068</v>
      </c>
      <c r="F1567" s="87">
        <v>32.658011447</v>
      </c>
      <c r="G1567" s="87">
        <v>44.064510740899998</v>
      </c>
      <c r="H1567" s="86">
        <v>4</v>
      </c>
      <c r="I1567" s="86">
        <v>24</v>
      </c>
      <c r="J1567" s="87"/>
      <c r="K1567" s="87">
        <v>4</v>
      </c>
      <c r="L1567" s="87"/>
      <c r="M1567" s="87"/>
      <c r="N1567" s="87"/>
      <c r="O1567" s="87"/>
      <c r="P1567" s="87"/>
      <c r="Q1567" s="87"/>
      <c r="R1567" s="87"/>
      <c r="S1567" s="87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>
        <v>4</v>
      </c>
      <c r="AD1567" s="87"/>
      <c r="AE1567" s="87"/>
      <c r="AF1567" s="87"/>
      <c r="AG1567" s="87"/>
      <c r="AH1567" s="87"/>
      <c r="AI1567" s="87"/>
      <c r="AJ1567" s="87"/>
      <c r="AK1567" s="87"/>
      <c r="AL1567" s="87"/>
      <c r="AM1567" s="87"/>
      <c r="AN1567" s="87">
        <v>4</v>
      </c>
      <c r="AO1567" s="87"/>
      <c r="AP1567" s="87"/>
      <c r="AQ1567" s="87"/>
      <c r="AR1567" s="87"/>
      <c r="AS1567" s="87"/>
      <c r="AT1567" s="87"/>
      <c r="AU1567" s="87"/>
      <c r="AV1567" s="87"/>
      <c r="AW1567" s="88" t="str">
        <f>HYPERLINK("http://www.openstreetmap.org/?mlat=32.658&amp;mlon=44.0645&amp;zoom=12#map=12/32.658/44.0645","Maplink1")</f>
        <v>Maplink1</v>
      </c>
      <c r="AX1567" s="88" t="str">
        <f>HYPERLINK("https://www.google.iq/maps/search/+32.658,44.0645/@32.658,44.0645,14z?hl=en","Maplink2")</f>
        <v>Maplink2</v>
      </c>
      <c r="AY1567" s="88" t="str">
        <f>HYPERLINK("http://www.bing.com/maps/?lvl=14&amp;sty=h&amp;cp=32.658~44.0645&amp;sp=point.32.658_44.0645","Maplink3")</f>
        <v>Maplink3</v>
      </c>
      <c r="AZ1567" s="76"/>
    </row>
    <row r="1568" spans="1:52" x14ac:dyDescent="0.25">
      <c r="A1568" s="86">
        <v>26061</v>
      </c>
      <c r="B1568" s="87" t="s">
        <v>19</v>
      </c>
      <c r="C1568" s="87" t="s">
        <v>19</v>
      </c>
      <c r="D1568" s="87" t="s">
        <v>3069</v>
      </c>
      <c r="E1568" s="87" t="s">
        <v>3070</v>
      </c>
      <c r="F1568" s="87">
        <v>32.669128300099999</v>
      </c>
      <c r="G1568" s="87">
        <v>44.071044441700003</v>
      </c>
      <c r="H1568" s="86">
        <v>75</v>
      </c>
      <c r="I1568" s="86">
        <v>450</v>
      </c>
      <c r="J1568" s="87"/>
      <c r="K1568" s="87"/>
      <c r="L1568" s="87"/>
      <c r="M1568" s="87"/>
      <c r="N1568" s="87"/>
      <c r="O1568" s="87"/>
      <c r="P1568" s="87"/>
      <c r="Q1568" s="87"/>
      <c r="R1568" s="87"/>
      <c r="S1568" s="87"/>
      <c r="T1568" s="87"/>
      <c r="U1568" s="87"/>
      <c r="V1568" s="87">
        <v>75</v>
      </c>
      <c r="W1568" s="87"/>
      <c r="X1568" s="87"/>
      <c r="Y1568" s="87"/>
      <c r="Z1568" s="87"/>
      <c r="AA1568" s="87"/>
      <c r="AB1568" s="87"/>
      <c r="AC1568" s="87"/>
      <c r="AD1568" s="87"/>
      <c r="AE1568" s="87"/>
      <c r="AF1568" s="87"/>
      <c r="AG1568" s="87"/>
      <c r="AH1568" s="87">
        <v>10</v>
      </c>
      <c r="AI1568" s="87"/>
      <c r="AJ1568" s="87"/>
      <c r="AK1568" s="87"/>
      <c r="AL1568" s="87">
        <v>65</v>
      </c>
      <c r="AM1568" s="87"/>
      <c r="AN1568" s="87"/>
      <c r="AO1568" s="87">
        <v>75</v>
      </c>
      <c r="AP1568" s="87"/>
      <c r="AQ1568" s="87"/>
      <c r="AR1568" s="87"/>
      <c r="AS1568" s="87"/>
      <c r="AT1568" s="87"/>
      <c r="AU1568" s="87"/>
      <c r="AV1568" s="87"/>
      <c r="AW1568" s="88" t="str">
        <f>HYPERLINK("http://www.openstreetmap.org/?mlat=32.6691&amp;mlon=44.071&amp;zoom=12#map=12/32.6691/44.071","Maplink1")</f>
        <v>Maplink1</v>
      </c>
      <c r="AX1568" s="88" t="str">
        <f>HYPERLINK("https://www.google.iq/maps/search/+32.6691,44.071/@32.6691,44.071,14z?hl=en","Maplink2")</f>
        <v>Maplink2</v>
      </c>
      <c r="AY1568" s="88" t="str">
        <f>HYPERLINK("http://www.bing.com/maps/?lvl=14&amp;sty=h&amp;cp=32.6691~44.071&amp;sp=point.32.6691_44.071","Maplink3")</f>
        <v>Maplink3</v>
      </c>
      <c r="AZ1568" s="76"/>
    </row>
    <row r="1569" spans="1:52" x14ac:dyDescent="0.25">
      <c r="A1569" s="86">
        <v>14133</v>
      </c>
      <c r="B1569" s="87" t="s">
        <v>19</v>
      </c>
      <c r="C1569" s="87" t="s">
        <v>19</v>
      </c>
      <c r="D1569" s="87" t="s">
        <v>3071</v>
      </c>
      <c r="E1569" s="87" t="s">
        <v>3072</v>
      </c>
      <c r="F1569" s="87">
        <v>32.621548900000001</v>
      </c>
      <c r="G1569" s="87">
        <v>44.031098100000001</v>
      </c>
      <c r="H1569" s="86">
        <v>17</v>
      </c>
      <c r="I1569" s="86">
        <v>102</v>
      </c>
      <c r="J1569" s="87"/>
      <c r="K1569" s="87"/>
      <c r="L1569" s="87"/>
      <c r="M1569" s="87"/>
      <c r="N1569" s="87"/>
      <c r="O1569" s="87"/>
      <c r="P1569" s="87"/>
      <c r="Q1569" s="87"/>
      <c r="R1569" s="87"/>
      <c r="S1569" s="87"/>
      <c r="T1569" s="87"/>
      <c r="U1569" s="87"/>
      <c r="V1569" s="87">
        <v>17</v>
      </c>
      <c r="W1569" s="87"/>
      <c r="X1569" s="87"/>
      <c r="Y1569" s="87"/>
      <c r="Z1569" s="87"/>
      <c r="AA1569" s="87"/>
      <c r="AB1569" s="87"/>
      <c r="AC1569" s="87"/>
      <c r="AD1569" s="87"/>
      <c r="AE1569" s="87"/>
      <c r="AF1569" s="87"/>
      <c r="AG1569" s="87"/>
      <c r="AH1569" s="87">
        <v>17</v>
      </c>
      <c r="AI1569" s="87"/>
      <c r="AJ1569" s="87"/>
      <c r="AK1569" s="87"/>
      <c r="AL1569" s="87"/>
      <c r="AM1569" s="87"/>
      <c r="AN1569" s="87"/>
      <c r="AO1569" s="87">
        <v>17</v>
      </c>
      <c r="AP1569" s="87"/>
      <c r="AQ1569" s="87"/>
      <c r="AR1569" s="87"/>
      <c r="AS1569" s="87"/>
      <c r="AT1569" s="87"/>
      <c r="AU1569" s="87"/>
      <c r="AV1569" s="87"/>
      <c r="AW1569" s="88" t="str">
        <f>HYPERLINK("http://www.openstreetmap.org/?mlat=32.6215&amp;mlon=44.0311&amp;zoom=12#map=12/32.6215/44.0311","Maplink1")</f>
        <v>Maplink1</v>
      </c>
      <c r="AX1569" s="88" t="str">
        <f>HYPERLINK("https://www.google.iq/maps/search/+32.6215,44.0311/@32.6215,44.0311,14z?hl=en","Maplink2")</f>
        <v>Maplink2</v>
      </c>
      <c r="AY1569" s="88" t="str">
        <f>HYPERLINK("http://www.bing.com/maps/?lvl=14&amp;sty=h&amp;cp=32.6215~44.0311&amp;sp=point.32.6215_44.0311","Maplink3")</f>
        <v>Maplink3</v>
      </c>
      <c r="AZ1569" s="76"/>
    </row>
    <row r="1570" spans="1:52" x14ac:dyDescent="0.25">
      <c r="A1570" s="86">
        <v>25850</v>
      </c>
      <c r="B1570" s="87" t="s">
        <v>19</v>
      </c>
      <c r="C1570" s="87" t="s">
        <v>19</v>
      </c>
      <c r="D1570" s="87" t="s">
        <v>3073</v>
      </c>
      <c r="E1570" s="87" t="s">
        <v>3074</v>
      </c>
      <c r="F1570" s="87">
        <v>32.6071940478</v>
      </c>
      <c r="G1570" s="87">
        <v>44.020152099999997</v>
      </c>
      <c r="H1570" s="86">
        <v>5</v>
      </c>
      <c r="I1570" s="86">
        <v>30</v>
      </c>
      <c r="J1570" s="87"/>
      <c r="K1570" s="87"/>
      <c r="L1570" s="87"/>
      <c r="M1570" s="87"/>
      <c r="N1570" s="87"/>
      <c r="O1570" s="87"/>
      <c r="P1570" s="87"/>
      <c r="Q1570" s="87"/>
      <c r="R1570" s="87"/>
      <c r="S1570" s="87"/>
      <c r="T1570" s="87"/>
      <c r="U1570" s="87"/>
      <c r="V1570" s="87">
        <v>5</v>
      </c>
      <c r="W1570" s="87"/>
      <c r="X1570" s="87"/>
      <c r="Y1570" s="87"/>
      <c r="Z1570" s="87"/>
      <c r="AA1570" s="87"/>
      <c r="AB1570" s="87"/>
      <c r="AC1570" s="87"/>
      <c r="AD1570" s="87"/>
      <c r="AE1570" s="87"/>
      <c r="AF1570" s="87"/>
      <c r="AG1570" s="87"/>
      <c r="AH1570" s="87">
        <v>5</v>
      </c>
      <c r="AI1570" s="87"/>
      <c r="AJ1570" s="87"/>
      <c r="AK1570" s="87"/>
      <c r="AL1570" s="87"/>
      <c r="AM1570" s="87"/>
      <c r="AN1570" s="87"/>
      <c r="AO1570" s="87">
        <v>5</v>
      </c>
      <c r="AP1570" s="87"/>
      <c r="AQ1570" s="87"/>
      <c r="AR1570" s="87"/>
      <c r="AS1570" s="87"/>
      <c r="AT1570" s="87"/>
      <c r="AU1570" s="87"/>
      <c r="AV1570" s="87"/>
      <c r="AW1570" s="88" t="str">
        <f>HYPERLINK("http://www.openstreetmap.org/?mlat=32.6072&amp;mlon=44.0202&amp;zoom=12#map=12/32.6072/44.0202","Maplink1")</f>
        <v>Maplink1</v>
      </c>
      <c r="AX1570" s="88" t="str">
        <f>HYPERLINK("https://www.google.iq/maps/search/+32.6072,44.0202/@32.6072,44.0202,14z?hl=en","Maplink2")</f>
        <v>Maplink2</v>
      </c>
      <c r="AY1570" s="88" t="str">
        <f>HYPERLINK("http://www.bing.com/maps/?lvl=14&amp;sty=h&amp;cp=32.6072~44.0202&amp;sp=point.32.6072_44.0202","Maplink3")</f>
        <v>Maplink3</v>
      </c>
      <c r="AZ1570" s="76"/>
    </row>
    <row r="1571" spans="1:52" x14ac:dyDescent="0.25">
      <c r="A1571" s="86">
        <v>13740</v>
      </c>
      <c r="B1571" s="87" t="s">
        <v>19</v>
      </c>
      <c r="C1571" s="87" t="s">
        <v>19</v>
      </c>
      <c r="D1571" s="87" t="s">
        <v>5796</v>
      </c>
      <c r="E1571" s="87" t="s">
        <v>5797</v>
      </c>
      <c r="F1571" s="87">
        <v>32.65137</v>
      </c>
      <c r="G1571" s="87">
        <v>44.113202000000001</v>
      </c>
      <c r="H1571" s="86">
        <v>4</v>
      </c>
      <c r="I1571" s="86">
        <v>24</v>
      </c>
      <c r="J1571" s="87"/>
      <c r="K1571" s="87">
        <v>4</v>
      </c>
      <c r="L1571" s="87"/>
      <c r="M1571" s="87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87"/>
      <c r="AE1571" s="87"/>
      <c r="AF1571" s="87"/>
      <c r="AG1571" s="87"/>
      <c r="AH1571" s="87">
        <v>4</v>
      </c>
      <c r="AI1571" s="87"/>
      <c r="AJ1571" s="87"/>
      <c r="AK1571" s="87"/>
      <c r="AL1571" s="87"/>
      <c r="AM1571" s="87"/>
      <c r="AN1571" s="87">
        <v>4</v>
      </c>
      <c r="AO1571" s="87"/>
      <c r="AP1571" s="87"/>
      <c r="AQ1571" s="87"/>
      <c r="AR1571" s="87"/>
      <c r="AS1571" s="87"/>
      <c r="AT1571" s="87"/>
      <c r="AU1571" s="87"/>
      <c r="AV1571" s="87"/>
      <c r="AW1571" s="88" t="str">
        <f>HYPERLINK("http://www.openstreetmap.org/?mlat=32.6514&amp;mlon=44.1132&amp;zoom=12#map=12/32.6514/44.1132","Maplink1")</f>
        <v>Maplink1</v>
      </c>
      <c r="AX1571" s="88" t="str">
        <f>HYPERLINK("https://www.google.iq/maps/search/+32.6514,44.1132/@32.6514,44.1132,14z?hl=en","Maplink2")</f>
        <v>Maplink2</v>
      </c>
      <c r="AY1571" s="88" t="str">
        <f>HYPERLINK("http://www.bing.com/maps/?lvl=14&amp;sty=h&amp;cp=32.6514~44.1132&amp;sp=point.32.6514_44.1132","Maplink3")</f>
        <v>Maplink3</v>
      </c>
      <c r="AZ1571" s="76"/>
    </row>
    <row r="1572" spans="1:52" x14ac:dyDescent="0.25">
      <c r="A1572" s="86">
        <v>22396</v>
      </c>
      <c r="B1572" s="87" t="s">
        <v>19</v>
      </c>
      <c r="C1572" s="87" t="s">
        <v>19</v>
      </c>
      <c r="D1572" s="87" t="s">
        <v>3075</v>
      </c>
      <c r="E1572" s="87" t="s">
        <v>3076</v>
      </c>
      <c r="F1572" s="87">
        <v>32.6115183</v>
      </c>
      <c r="G1572" s="87">
        <v>43.987877099999999</v>
      </c>
      <c r="H1572" s="86">
        <v>8</v>
      </c>
      <c r="I1572" s="86">
        <v>48</v>
      </c>
      <c r="J1572" s="87"/>
      <c r="K1572" s="87"/>
      <c r="L1572" s="87"/>
      <c r="M1572" s="87"/>
      <c r="N1572" s="87"/>
      <c r="O1572" s="87"/>
      <c r="P1572" s="87"/>
      <c r="Q1572" s="87"/>
      <c r="R1572" s="87"/>
      <c r="S1572" s="87"/>
      <c r="T1572" s="87"/>
      <c r="U1572" s="87"/>
      <c r="V1572" s="87">
        <v>8</v>
      </c>
      <c r="W1572" s="87"/>
      <c r="X1572" s="87"/>
      <c r="Y1572" s="87"/>
      <c r="Z1572" s="87"/>
      <c r="AA1572" s="87"/>
      <c r="AB1572" s="87"/>
      <c r="AC1572" s="87"/>
      <c r="AD1572" s="87"/>
      <c r="AE1572" s="87"/>
      <c r="AF1572" s="87"/>
      <c r="AG1572" s="87"/>
      <c r="AH1572" s="87">
        <v>8</v>
      </c>
      <c r="AI1572" s="87"/>
      <c r="AJ1572" s="87"/>
      <c r="AK1572" s="87"/>
      <c r="AL1572" s="87"/>
      <c r="AM1572" s="87"/>
      <c r="AN1572" s="87"/>
      <c r="AO1572" s="87">
        <v>8</v>
      </c>
      <c r="AP1572" s="87"/>
      <c r="AQ1572" s="87"/>
      <c r="AR1572" s="87"/>
      <c r="AS1572" s="87"/>
      <c r="AT1572" s="87"/>
      <c r="AU1572" s="87"/>
      <c r="AV1572" s="87"/>
      <c r="AW1572" s="88" t="str">
        <f>HYPERLINK("http://www.openstreetmap.org/?mlat=32.6115&amp;mlon=43.9879&amp;zoom=12#map=12/32.6115/43.9879","Maplink1")</f>
        <v>Maplink1</v>
      </c>
      <c r="AX1572" s="88" t="str">
        <f>HYPERLINK("https://www.google.iq/maps/search/+32.6115,43.9879/@32.6115,43.9879,14z?hl=en","Maplink2")</f>
        <v>Maplink2</v>
      </c>
      <c r="AY1572" s="88" t="str">
        <f>HYPERLINK("http://www.bing.com/maps/?lvl=14&amp;sty=h&amp;cp=32.6115~43.9879&amp;sp=point.32.6115_43.9879","Maplink3")</f>
        <v>Maplink3</v>
      </c>
      <c r="AZ1572" s="76"/>
    </row>
    <row r="1573" spans="1:52" x14ac:dyDescent="0.25">
      <c r="A1573" s="86">
        <v>25351</v>
      </c>
      <c r="B1573" s="87" t="s">
        <v>19</v>
      </c>
      <c r="C1573" s="87" t="s">
        <v>19</v>
      </c>
      <c r="D1573" s="87" t="s">
        <v>3077</v>
      </c>
      <c r="E1573" s="87" t="s">
        <v>3078</v>
      </c>
      <c r="F1573" s="87">
        <v>32.624517099999998</v>
      </c>
      <c r="G1573" s="87">
        <v>43.989294899800001</v>
      </c>
      <c r="H1573" s="86">
        <v>7</v>
      </c>
      <c r="I1573" s="86">
        <v>42</v>
      </c>
      <c r="J1573" s="87">
        <v>3</v>
      </c>
      <c r="K1573" s="87"/>
      <c r="L1573" s="87"/>
      <c r="M1573" s="87"/>
      <c r="N1573" s="87"/>
      <c r="O1573" s="87"/>
      <c r="P1573" s="87"/>
      <c r="Q1573" s="87"/>
      <c r="R1573" s="87"/>
      <c r="S1573" s="87"/>
      <c r="T1573" s="87"/>
      <c r="U1573" s="87"/>
      <c r="V1573" s="87">
        <v>4</v>
      </c>
      <c r="W1573" s="87"/>
      <c r="X1573" s="87"/>
      <c r="Y1573" s="87"/>
      <c r="Z1573" s="87"/>
      <c r="AA1573" s="87"/>
      <c r="AB1573" s="87"/>
      <c r="AC1573" s="87"/>
      <c r="AD1573" s="87"/>
      <c r="AE1573" s="87"/>
      <c r="AF1573" s="87"/>
      <c r="AG1573" s="87"/>
      <c r="AH1573" s="87">
        <v>7</v>
      </c>
      <c r="AI1573" s="87"/>
      <c r="AJ1573" s="87"/>
      <c r="AK1573" s="87"/>
      <c r="AL1573" s="87"/>
      <c r="AM1573" s="87"/>
      <c r="AN1573" s="87"/>
      <c r="AO1573" s="87">
        <v>4</v>
      </c>
      <c r="AP1573" s="87">
        <v>3</v>
      </c>
      <c r="AQ1573" s="87"/>
      <c r="AR1573" s="87"/>
      <c r="AS1573" s="87"/>
      <c r="AT1573" s="87"/>
      <c r="AU1573" s="87"/>
      <c r="AV1573" s="87"/>
      <c r="AW1573" s="88" t="str">
        <f>HYPERLINK("http://www.openstreetmap.org/?mlat=32.6245&amp;mlon=43.9893&amp;zoom=12#map=12/32.6245/43.9893","Maplink1")</f>
        <v>Maplink1</v>
      </c>
      <c r="AX1573" s="88" t="str">
        <f>HYPERLINK("https://www.google.iq/maps/search/+32.6245,43.9893/@32.6245,43.9893,14z?hl=en","Maplink2")</f>
        <v>Maplink2</v>
      </c>
      <c r="AY1573" s="88" t="str">
        <f>HYPERLINK("http://www.bing.com/maps/?lvl=14&amp;sty=h&amp;cp=32.6245~43.9893&amp;sp=point.32.6245_43.9893","Maplink3")</f>
        <v>Maplink3</v>
      </c>
      <c r="AZ1573" s="76"/>
    </row>
    <row r="1574" spans="1:52" x14ac:dyDescent="0.25">
      <c r="A1574" s="86">
        <v>25353</v>
      </c>
      <c r="B1574" s="87" t="s">
        <v>19</v>
      </c>
      <c r="C1574" s="87" t="s">
        <v>19</v>
      </c>
      <c r="D1574" s="87" t="s">
        <v>3079</v>
      </c>
      <c r="E1574" s="87" t="s">
        <v>3080</v>
      </c>
      <c r="F1574" s="87">
        <v>32.629354599999999</v>
      </c>
      <c r="G1574" s="87">
        <v>43.985471599999997</v>
      </c>
      <c r="H1574" s="86">
        <v>3</v>
      </c>
      <c r="I1574" s="86">
        <v>18</v>
      </c>
      <c r="J1574" s="87"/>
      <c r="K1574" s="87"/>
      <c r="L1574" s="87"/>
      <c r="M1574" s="87"/>
      <c r="N1574" s="87"/>
      <c r="O1574" s="87"/>
      <c r="P1574" s="87"/>
      <c r="Q1574" s="87"/>
      <c r="R1574" s="87"/>
      <c r="S1574" s="87"/>
      <c r="T1574" s="87"/>
      <c r="U1574" s="87"/>
      <c r="V1574" s="87">
        <v>3</v>
      </c>
      <c r="W1574" s="87"/>
      <c r="X1574" s="87"/>
      <c r="Y1574" s="87"/>
      <c r="Z1574" s="87"/>
      <c r="AA1574" s="87"/>
      <c r="AB1574" s="87"/>
      <c r="AC1574" s="87"/>
      <c r="AD1574" s="87"/>
      <c r="AE1574" s="87"/>
      <c r="AF1574" s="87"/>
      <c r="AG1574" s="87"/>
      <c r="AH1574" s="87">
        <v>3</v>
      </c>
      <c r="AI1574" s="87"/>
      <c r="AJ1574" s="87"/>
      <c r="AK1574" s="87"/>
      <c r="AL1574" s="87"/>
      <c r="AM1574" s="87"/>
      <c r="AN1574" s="87"/>
      <c r="AO1574" s="87">
        <v>3</v>
      </c>
      <c r="AP1574" s="87"/>
      <c r="AQ1574" s="87"/>
      <c r="AR1574" s="87"/>
      <c r="AS1574" s="87"/>
      <c r="AT1574" s="87"/>
      <c r="AU1574" s="87"/>
      <c r="AV1574" s="87"/>
      <c r="AW1574" s="88" t="str">
        <f>HYPERLINK("http://www.openstreetmap.org/?mlat=32.6294&amp;mlon=43.9855&amp;zoom=12#map=12/32.6294/43.9855","Maplink1")</f>
        <v>Maplink1</v>
      </c>
      <c r="AX1574" s="88" t="str">
        <f>HYPERLINK("https://www.google.iq/maps/search/+32.6294,43.9855/@32.6294,43.9855,14z?hl=en","Maplink2")</f>
        <v>Maplink2</v>
      </c>
      <c r="AY1574" s="88" t="str">
        <f>HYPERLINK("http://www.bing.com/maps/?lvl=14&amp;sty=h&amp;cp=32.6294~43.9855&amp;sp=point.32.6294_43.9855","Maplink3")</f>
        <v>Maplink3</v>
      </c>
      <c r="AZ1574" s="76"/>
    </row>
    <row r="1575" spans="1:52" x14ac:dyDescent="0.25">
      <c r="A1575" s="86">
        <v>23594</v>
      </c>
      <c r="B1575" s="87" t="s">
        <v>19</v>
      </c>
      <c r="C1575" s="87" t="s">
        <v>19</v>
      </c>
      <c r="D1575" s="87" t="s">
        <v>3081</v>
      </c>
      <c r="E1575" s="87" t="s">
        <v>3082</v>
      </c>
      <c r="F1575" s="87">
        <v>32.581438442</v>
      </c>
      <c r="G1575" s="87">
        <v>44.000284725</v>
      </c>
      <c r="H1575" s="86">
        <v>7</v>
      </c>
      <c r="I1575" s="86">
        <v>42</v>
      </c>
      <c r="J1575" s="87"/>
      <c r="K1575" s="87"/>
      <c r="L1575" s="87"/>
      <c r="M1575" s="87"/>
      <c r="N1575" s="87"/>
      <c r="O1575" s="87"/>
      <c r="P1575" s="87"/>
      <c r="Q1575" s="87"/>
      <c r="R1575" s="87"/>
      <c r="S1575" s="87"/>
      <c r="T1575" s="87"/>
      <c r="U1575" s="87"/>
      <c r="V1575" s="87">
        <v>7</v>
      </c>
      <c r="W1575" s="87"/>
      <c r="X1575" s="87"/>
      <c r="Y1575" s="87"/>
      <c r="Z1575" s="87"/>
      <c r="AA1575" s="87"/>
      <c r="AB1575" s="87"/>
      <c r="AC1575" s="87"/>
      <c r="AD1575" s="87"/>
      <c r="AE1575" s="87"/>
      <c r="AF1575" s="87"/>
      <c r="AG1575" s="87"/>
      <c r="AH1575" s="87">
        <v>5</v>
      </c>
      <c r="AI1575" s="87"/>
      <c r="AJ1575" s="87"/>
      <c r="AK1575" s="87"/>
      <c r="AL1575" s="87">
        <v>2</v>
      </c>
      <c r="AM1575" s="87"/>
      <c r="AN1575" s="87"/>
      <c r="AO1575" s="87">
        <v>7</v>
      </c>
      <c r="AP1575" s="87"/>
      <c r="AQ1575" s="87"/>
      <c r="AR1575" s="87"/>
      <c r="AS1575" s="87"/>
      <c r="AT1575" s="87"/>
      <c r="AU1575" s="87"/>
      <c r="AV1575" s="87"/>
      <c r="AW1575" s="88" t="str">
        <f>HYPERLINK("http://www.openstreetmap.org/?mlat=32.5814&amp;mlon=44.0003&amp;zoom=12#map=12/32.5814/44.0003","Maplink1")</f>
        <v>Maplink1</v>
      </c>
      <c r="AX1575" s="88" t="str">
        <f>HYPERLINK("https://www.google.iq/maps/search/+32.5814,44.0003/@32.5814,44.0003,14z?hl=en","Maplink2")</f>
        <v>Maplink2</v>
      </c>
      <c r="AY1575" s="88" t="str">
        <f>HYPERLINK("http://www.bing.com/maps/?lvl=14&amp;sty=h&amp;cp=32.5814~44.0003&amp;sp=point.32.5814_44.0003","Maplink3")</f>
        <v>Maplink3</v>
      </c>
      <c r="AZ1575" s="76"/>
    </row>
    <row r="1576" spans="1:52" x14ac:dyDescent="0.25">
      <c r="A1576" s="86">
        <v>25063</v>
      </c>
      <c r="B1576" s="87" t="s">
        <v>19</v>
      </c>
      <c r="C1576" s="87" t="s">
        <v>19</v>
      </c>
      <c r="D1576" s="87" t="s">
        <v>3083</v>
      </c>
      <c r="E1576" s="87" t="s">
        <v>307</v>
      </c>
      <c r="F1576" s="87">
        <v>32.5963090678</v>
      </c>
      <c r="G1576" s="87">
        <v>44.014390768299997</v>
      </c>
      <c r="H1576" s="86">
        <v>10</v>
      </c>
      <c r="I1576" s="86">
        <v>60</v>
      </c>
      <c r="J1576" s="87">
        <v>2</v>
      </c>
      <c r="K1576" s="87"/>
      <c r="L1576" s="87"/>
      <c r="M1576" s="87"/>
      <c r="N1576" s="87"/>
      <c r="O1576" s="87"/>
      <c r="P1576" s="87"/>
      <c r="Q1576" s="87"/>
      <c r="R1576" s="87"/>
      <c r="S1576" s="87"/>
      <c r="T1576" s="87"/>
      <c r="U1576" s="87"/>
      <c r="V1576" s="87">
        <v>8</v>
      </c>
      <c r="W1576" s="87"/>
      <c r="X1576" s="87"/>
      <c r="Y1576" s="87"/>
      <c r="Z1576" s="87"/>
      <c r="AA1576" s="87"/>
      <c r="AB1576" s="87"/>
      <c r="AC1576" s="87"/>
      <c r="AD1576" s="87"/>
      <c r="AE1576" s="87"/>
      <c r="AF1576" s="87"/>
      <c r="AG1576" s="87"/>
      <c r="AH1576" s="87">
        <v>10</v>
      </c>
      <c r="AI1576" s="87"/>
      <c r="AJ1576" s="87"/>
      <c r="AK1576" s="87"/>
      <c r="AL1576" s="87"/>
      <c r="AM1576" s="87"/>
      <c r="AN1576" s="87"/>
      <c r="AO1576" s="87">
        <v>8</v>
      </c>
      <c r="AP1576" s="87">
        <v>2</v>
      </c>
      <c r="AQ1576" s="87"/>
      <c r="AR1576" s="87"/>
      <c r="AS1576" s="87"/>
      <c r="AT1576" s="87"/>
      <c r="AU1576" s="87"/>
      <c r="AV1576" s="87"/>
      <c r="AW1576" s="88" t="str">
        <f>HYPERLINK("http://www.openstreetmap.org/?mlat=32.5963&amp;mlon=44.0144&amp;zoom=12#map=12/32.5963/44.0144","Maplink1")</f>
        <v>Maplink1</v>
      </c>
      <c r="AX1576" s="88" t="str">
        <f>HYPERLINK("https://www.google.iq/maps/search/+32.5963,44.0144/@32.5963,44.0144,14z?hl=en","Maplink2")</f>
        <v>Maplink2</v>
      </c>
      <c r="AY1576" s="88" t="str">
        <f>HYPERLINK("http://www.bing.com/maps/?lvl=14&amp;sty=h&amp;cp=32.5963~44.0144&amp;sp=point.32.5963_44.0144","Maplink3")</f>
        <v>Maplink3</v>
      </c>
      <c r="AZ1576" s="76"/>
    </row>
    <row r="1577" spans="1:52" x14ac:dyDescent="0.25">
      <c r="A1577" s="86">
        <v>25266</v>
      </c>
      <c r="B1577" s="87" t="s">
        <v>19</v>
      </c>
      <c r="C1577" s="87" t="s">
        <v>19</v>
      </c>
      <c r="D1577" s="87" t="s">
        <v>3084</v>
      </c>
      <c r="E1577" s="87" t="s">
        <v>1865</v>
      </c>
      <c r="F1577" s="87">
        <v>32.620130305700002</v>
      </c>
      <c r="G1577" s="87">
        <v>44.048378144899999</v>
      </c>
      <c r="H1577" s="86">
        <v>25</v>
      </c>
      <c r="I1577" s="86">
        <v>150</v>
      </c>
      <c r="J1577" s="87"/>
      <c r="K1577" s="87"/>
      <c r="L1577" s="87"/>
      <c r="M1577" s="87"/>
      <c r="N1577" s="87"/>
      <c r="O1577" s="87"/>
      <c r="P1577" s="87"/>
      <c r="Q1577" s="87"/>
      <c r="R1577" s="87"/>
      <c r="S1577" s="87"/>
      <c r="T1577" s="87"/>
      <c r="U1577" s="87"/>
      <c r="V1577" s="87">
        <v>25</v>
      </c>
      <c r="W1577" s="87"/>
      <c r="X1577" s="87"/>
      <c r="Y1577" s="87"/>
      <c r="Z1577" s="87"/>
      <c r="AA1577" s="87"/>
      <c r="AB1577" s="87"/>
      <c r="AC1577" s="87"/>
      <c r="AD1577" s="87"/>
      <c r="AE1577" s="87"/>
      <c r="AF1577" s="87"/>
      <c r="AG1577" s="87"/>
      <c r="AH1577" s="87">
        <v>25</v>
      </c>
      <c r="AI1577" s="87"/>
      <c r="AJ1577" s="87"/>
      <c r="AK1577" s="87"/>
      <c r="AL1577" s="87"/>
      <c r="AM1577" s="87"/>
      <c r="AN1577" s="87"/>
      <c r="AO1577" s="87">
        <v>25</v>
      </c>
      <c r="AP1577" s="87"/>
      <c r="AQ1577" s="87"/>
      <c r="AR1577" s="87"/>
      <c r="AS1577" s="87"/>
      <c r="AT1577" s="87"/>
      <c r="AU1577" s="87"/>
      <c r="AV1577" s="87"/>
      <c r="AW1577" s="88" t="str">
        <f>HYPERLINK("http://www.openstreetmap.org/?mlat=32.6201&amp;mlon=44.0484&amp;zoom=12#map=12/32.6201/44.0484","Maplink1")</f>
        <v>Maplink1</v>
      </c>
      <c r="AX1577" s="88" t="str">
        <f>HYPERLINK("https://www.google.iq/maps/search/+32.6201,44.0484/@32.6201,44.0484,14z?hl=en","Maplink2")</f>
        <v>Maplink2</v>
      </c>
      <c r="AY1577" s="88" t="str">
        <f>HYPERLINK("http://www.bing.com/maps/?lvl=14&amp;sty=h&amp;cp=32.6201~44.0484&amp;sp=point.32.6201_44.0484","Maplink3")</f>
        <v>Maplink3</v>
      </c>
      <c r="AZ1577" s="76"/>
    </row>
    <row r="1578" spans="1:52" x14ac:dyDescent="0.25">
      <c r="A1578" s="86">
        <v>22087</v>
      </c>
      <c r="B1578" s="87" t="s">
        <v>19</v>
      </c>
      <c r="C1578" s="87" t="s">
        <v>19</v>
      </c>
      <c r="D1578" s="87" t="s">
        <v>3085</v>
      </c>
      <c r="E1578" s="87" t="s">
        <v>296</v>
      </c>
      <c r="F1578" s="87">
        <v>32.590165800000001</v>
      </c>
      <c r="G1578" s="87">
        <v>44.045096937899999</v>
      </c>
      <c r="H1578" s="86">
        <v>15</v>
      </c>
      <c r="I1578" s="86">
        <v>90</v>
      </c>
      <c r="J1578" s="87"/>
      <c r="K1578" s="87"/>
      <c r="L1578" s="87"/>
      <c r="M1578" s="87"/>
      <c r="N1578" s="87"/>
      <c r="O1578" s="87"/>
      <c r="P1578" s="87"/>
      <c r="Q1578" s="87"/>
      <c r="R1578" s="87"/>
      <c r="S1578" s="87"/>
      <c r="T1578" s="87"/>
      <c r="U1578" s="87"/>
      <c r="V1578" s="87">
        <v>15</v>
      </c>
      <c r="W1578" s="87"/>
      <c r="X1578" s="87"/>
      <c r="Y1578" s="87"/>
      <c r="Z1578" s="87"/>
      <c r="AA1578" s="87"/>
      <c r="AB1578" s="87"/>
      <c r="AC1578" s="87"/>
      <c r="AD1578" s="87"/>
      <c r="AE1578" s="87"/>
      <c r="AF1578" s="87"/>
      <c r="AG1578" s="87"/>
      <c r="AH1578" s="87">
        <v>15</v>
      </c>
      <c r="AI1578" s="87"/>
      <c r="AJ1578" s="87"/>
      <c r="AK1578" s="87"/>
      <c r="AL1578" s="87"/>
      <c r="AM1578" s="87"/>
      <c r="AN1578" s="87"/>
      <c r="AO1578" s="87">
        <v>15</v>
      </c>
      <c r="AP1578" s="87"/>
      <c r="AQ1578" s="87"/>
      <c r="AR1578" s="87"/>
      <c r="AS1578" s="87"/>
      <c r="AT1578" s="87"/>
      <c r="AU1578" s="87"/>
      <c r="AV1578" s="87"/>
      <c r="AW1578" s="88" t="str">
        <f>HYPERLINK("http://www.openstreetmap.org/?mlat=32.5902&amp;mlon=44.0451&amp;zoom=12#map=12/32.5902/44.0451","Maplink1")</f>
        <v>Maplink1</v>
      </c>
      <c r="AX1578" s="88" t="str">
        <f>HYPERLINK("https://www.google.iq/maps/search/+32.5902,44.0451/@32.5902,44.0451,14z?hl=en","Maplink2")</f>
        <v>Maplink2</v>
      </c>
      <c r="AY1578" s="88" t="str">
        <f>HYPERLINK("http://www.bing.com/maps/?lvl=14&amp;sty=h&amp;cp=32.5902~44.0451&amp;sp=point.32.5902_44.0451","Maplink3")</f>
        <v>Maplink3</v>
      </c>
      <c r="AZ1578" s="76"/>
    </row>
    <row r="1579" spans="1:52" x14ac:dyDescent="0.25">
      <c r="A1579" s="86">
        <v>22716</v>
      </c>
      <c r="B1579" s="87" t="s">
        <v>19</v>
      </c>
      <c r="C1579" s="87" t="s">
        <v>19</v>
      </c>
      <c r="D1579" s="87" t="s">
        <v>1302</v>
      </c>
      <c r="E1579" s="87" t="s">
        <v>1303</v>
      </c>
      <c r="F1579" s="87">
        <v>32.637197919999998</v>
      </c>
      <c r="G1579" s="87">
        <v>43.991745229999999</v>
      </c>
      <c r="H1579" s="86">
        <v>4</v>
      </c>
      <c r="I1579" s="86">
        <v>24</v>
      </c>
      <c r="J1579" s="87">
        <v>1</v>
      </c>
      <c r="K1579" s="87"/>
      <c r="L1579" s="87"/>
      <c r="M1579" s="87"/>
      <c r="N1579" s="87"/>
      <c r="O1579" s="87"/>
      <c r="P1579" s="87"/>
      <c r="Q1579" s="87"/>
      <c r="R1579" s="87"/>
      <c r="S1579" s="87"/>
      <c r="T1579" s="87"/>
      <c r="U1579" s="87"/>
      <c r="V1579" s="87">
        <v>3</v>
      </c>
      <c r="W1579" s="87"/>
      <c r="X1579" s="87"/>
      <c r="Y1579" s="87"/>
      <c r="Z1579" s="87"/>
      <c r="AA1579" s="87"/>
      <c r="AB1579" s="87"/>
      <c r="AC1579" s="87"/>
      <c r="AD1579" s="87"/>
      <c r="AE1579" s="87"/>
      <c r="AF1579" s="87"/>
      <c r="AG1579" s="87"/>
      <c r="AH1579" s="87">
        <v>4</v>
      </c>
      <c r="AI1579" s="87"/>
      <c r="AJ1579" s="87"/>
      <c r="AK1579" s="87"/>
      <c r="AL1579" s="87"/>
      <c r="AM1579" s="87"/>
      <c r="AN1579" s="87">
        <v>1</v>
      </c>
      <c r="AO1579" s="87">
        <v>3</v>
      </c>
      <c r="AP1579" s="87"/>
      <c r="AQ1579" s="87"/>
      <c r="AR1579" s="87"/>
      <c r="AS1579" s="87"/>
      <c r="AT1579" s="87"/>
      <c r="AU1579" s="87"/>
      <c r="AV1579" s="87"/>
      <c r="AW1579" s="88" t="str">
        <f>HYPERLINK("http://www.openstreetmap.org/?mlat=32.6372&amp;mlon=43.9917&amp;zoom=12#map=12/32.6372/43.9917","Maplink1")</f>
        <v>Maplink1</v>
      </c>
      <c r="AX1579" s="88" t="str">
        <f>HYPERLINK("https://www.google.iq/maps/search/+32.6372,43.9917/@32.6372,43.9917,14z?hl=en","Maplink2")</f>
        <v>Maplink2</v>
      </c>
      <c r="AY1579" s="88" t="str">
        <f>HYPERLINK("http://www.bing.com/maps/?lvl=14&amp;sty=h&amp;cp=32.6372~43.9917&amp;sp=point.32.6372_43.9917","Maplink3")</f>
        <v>Maplink3</v>
      </c>
      <c r="AZ1579" s="76"/>
    </row>
    <row r="1580" spans="1:52" x14ac:dyDescent="0.25">
      <c r="A1580" s="86">
        <v>25888</v>
      </c>
      <c r="B1580" s="87" t="s">
        <v>19</v>
      </c>
      <c r="C1580" s="87" t="s">
        <v>19</v>
      </c>
      <c r="D1580" s="87" t="s">
        <v>3086</v>
      </c>
      <c r="E1580" s="87" t="s">
        <v>3087</v>
      </c>
      <c r="F1580" s="87">
        <v>32.603160000000003</v>
      </c>
      <c r="G1580" s="87">
        <v>43.980155000000003</v>
      </c>
      <c r="H1580" s="86">
        <v>8</v>
      </c>
      <c r="I1580" s="86">
        <v>48</v>
      </c>
      <c r="J1580" s="87">
        <v>1</v>
      </c>
      <c r="K1580" s="87"/>
      <c r="L1580" s="87"/>
      <c r="M1580" s="87"/>
      <c r="N1580" s="87"/>
      <c r="O1580" s="87"/>
      <c r="P1580" s="87"/>
      <c r="Q1580" s="87"/>
      <c r="R1580" s="87">
        <v>1</v>
      </c>
      <c r="S1580" s="87"/>
      <c r="T1580" s="87"/>
      <c r="U1580" s="87"/>
      <c r="V1580" s="87">
        <v>5</v>
      </c>
      <c r="W1580" s="87"/>
      <c r="X1580" s="87">
        <v>1</v>
      </c>
      <c r="Y1580" s="87"/>
      <c r="Z1580" s="87"/>
      <c r="AA1580" s="87"/>
      <c r="AB1580" s="87"/>
      <c r="AC1580" s="87"/>
      <c r="AD1580" s="87"/>
      <c r="AE1580" s="87">
        <v>2</v>
      </c>
      <c r="AF1580" s="87"/>
      <c r="AG1580" s="87"/>
      <c r="AH1580" s="87">
        <v>6</v>
      </c>
      <c r="AI1580" s="87"/>
      <c r="AJ1580" s="87"/>
      <c r="AK1580" s="87"/>
      <c r="AL1580" s="87"/>
      <c r="AM1580" s="87"/>
      <c r="AN1580" s="87">
        <v>1</v>
      </c>
      <c r="AO1580" s="87">
        <v>5</v>
      </c>
      <c r="AP1580" s="87">
        <v>2</v>
      </c>
      <c r="AQ1580" s="87"/>
      <c r="AR1580" s="87"/>
      <c r="AS1580" s="87"/>
      <c r="AT1580" s="87"/>
      <c r="AU1580" s="87"/>
      <c r="AV1580" s="87"/>
      <c r="AW1580" s="88" t="str">
        <f>HYPERLINK("http://www.openstreetmap.org/?mlat=32.6032&amp;mlon=43.9802&amp;zoom=12#map=12/32.6032/43.9802","Maplink1")</f>
        <v>Maplink1</v>
      </c>
      <c r="AX1580" s="88" t="str">
        <f>HYPERLINK("https://www.google.iq/maps/search/+32.6032,43.9802/@32.6032,43.9802,14z?hl=en","Maplink2")</f>
        <v>Maplink2</v>
      </c>
      <c r="AY1580" s="88" t="str">
        <f>HYPERLINK("http://www.bing.com/maps/?lvl=14&amp;sty=h&amp;cp=32.6032~43.9802&amp;sp=point.32.6032_43.9802","Maplink3")</f>
        <v>Maplink3</v>
      </c>
      <c r="AZ1580" s="76"/>
    </row>
    <row r="1581" spans="1:52" x14ac:dyDescent="0.25">
      <c r="A1581" s="86">
        <v>25062</v>
      </c>
      <c r="B1581" s="87" t="s">
        <v>19</v>
      </c>
      <c r="C1581" s="87" t="s">
        <v>19</v>
      </c>
      <c r="D1581" s="87" t="s">
        <v>3088</v>
      </c>
      <c r="E1581" s="87" t="s">
        <v>225</v>
      </c>
      <c r="F1581" s="87">
        <v>32.649793500000001</v>
      </c>
      <c r="G1581" s="87">
        <v>43.987431399999998</v>
      </c>
      <c r="H1581" s="86">
        <v>10</v>
      </c>
      <c r="I1581" s="86">
        <v>60</v>
      </c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  <c r="T1581" s="87"/>
      <c r="U1581" s="87"/>
      <c r="V1581" s="87">
        <v>10</v>
      </c>
      <c r="W1581" s="87"/>
      <c r="X1581" s="87"/>
      <c r="Y1581" s="87"/>
      <c r="Z1581" s="87"/>
      <c r="AA1581" s="87"/>
      <c r="AB1581" s="87"/>
      <c r="AC1581" s="87"/>
      <c r="AD1581" s="87"/>
      <c r="AE1581" s="87"/>
      <c r="AF1581" s="87"/>
      <c r="AG1581" s="87"/>
      <c r="AH1581" s="87">
        <v>10</v>
      </c>
      <c r="AI1581" s="87"/>
      <c r="AJ1581" s="87"/>
      <c r="AK1581" s="87"/>
      <c r="AL1581" s="87"/>
      <c r="AM1581" s="87"/>
      <c r="AN1581" s="87"/>
      <c r="AO1581" s="87">
        <v>10</v>
      </c>
      <c r="AP1581" s="87"/>
      <c r="AQ1581" s="87"/>
      <c r="AR1581" s="87"/>
      <c r="AS1581" s="87"/>
      <c r="AT1581" s="87"/>
      <c r="AU1581" s="87"/>
      <c r="AV1581" s="87"/>
      <c r="AW1581" s="88" t="str">
        <f>HYPERLINK("http://www.openstreetmap.org/?mlat=32.6498&amp;mlon=43.9874&amp;zoom=12#map=12/32.6498/43.9874","Maplink1")</f>
        <v>Maplink1</v>
      </c>
      <c r="AX1581" s="88" t="str">
        <f>HYPERLINK("https://www.google.iq/maps/search/+32.6498,43.9874/@32.6498,43.9874,14z?hl=en","Maplink2")</f>
        <v>Maplink2</v>
      </c>
      <c r="AY1581" s="88" t="str">
        <f>HYPERLINK("http://www.bing.com/maps/?lvl=14&amp;sty=h&amp;cp=32.6498~43.9874&amp;sp=point.32.6498_43.9874","Maplink3")</f>
        <v>Maplink3</v>
      </c>
      <c r="AZ1581" s="76"/>
    </row>
    <row r="1582" spans="1:52" x14ac:dyDescent="0.25">
      <c r="A1582" s="86">
        <v>25555</v>
      </c>
      <c r="B1582" s="87" t="s">
        <v>19</v>
      </c>
      <c r="C1582" s="87" t="s">
        <v>19</v>
      </c>
      <c r="D1582" s="87" t="s">
        <v>3089</v>
      </c>
      <c r="E1582" s="87" t="s">
        <v>3090</v>
      </c>
      <c r="F1582" s="87">
        <v>32.607877131099997</v>
      </c>
      <c r="G1582" s="87">
        <v>43.965018200000003</v>
      </c>
      <c r="H1582" s="86">
        <v>13</v>
      </c>
      <c r="I1582" s="86">
        <v>78</v>
      </c>
      <c r="J1582" s="87">
        <v>1</v>
      </c>
      <c r="K1582" s="87"/>
      <c r="L1582" s="87"/>
      <c r="M1582" s="87"/>
      <c r="N1582" s="87"/>
      <c r="O1582" s="87"/>
      <c r="P1582" s="87"/>
      <c r="Q1582" s="87"/>
      <c r="R1582" s="87">
        <v>8</v>
      </c>
      <c r="S1582" s="87"/>
      <c r="T1582" s="87"/>
      <c r="U1582" s="87"/>
      <c r="V1582" s="87">
        <v>3</v>
      </c>
      <c r="W1582" s="87"/>
      <c r="X1582" s="87">
        <v>1</v>
      </c>
      <c r="Y1582" s="87"/>
      <c r="Z1582" s="87"/>
      <c r="AA1582" s="87"/>
      <c r="AB1582" s="87"/>
      <c r="AC1582" s="87"/>
      <c r="AD1582" s="87"/>
      <c r="AE1582" s="87"/>
      <c r="AF1582" s="87"/>
      <c r="AG1582" s="87"/>
      <c r="AH1582" s="87">
        <v>13</v>
      </c>
      <c r="AI1582" s="87"/>
      <c r="AJ1582" s="87"/>
      <c r="AK1582" s="87"/>
      <c r="AL1582" s="87"/>
      <c r="AM1582" s="87"/>
      <c r="AN1582" s="87">
        <v>1</v>
      </c>
      <c r="AO1582" s="87">
        <v>12</v>
      </c>
      <c r="AP1582" s="87"/>
      <c r="AQ1582" s="87"/>
      <c r="AR1582" s="87"/>
      <c r="AS1582" s="87"/>
      <c r="AT1582" s="87"/>
      <c r="AU1582" s="87"/>
      <c r="AV1582" s="87"/>
      <c r="AW1582" s="88" t="str">
        <f>HYPERLINK("http://www.openstreetmap.org/?mlat=32.6079&amp;mlon=43.965&amp;zoom=12#map=12/32.6079/43.965","Maplink1")</f>
        <v>Maplink1</v>
      </c>
      <c r="AX1582" s="88" t="str">
        <f>HYPERLINK("https://www.google.iq/maps/search/+32.6079,43.965/@32.6079,43.965,14z?hl=en","Maplink2")</f>
        <v>Maplink2</v>
      </c>
      <c r="AY1582" s="88" t="str">
        <f>HYPERLINK("http://www.bing.com/maps/?lvl=14&amp;sty=h&amp;cp=32.6079~43.965&amp;sp=point.32.6079_43.965","Maplink3")</f>
        <v>Maplink3</v>
      </c>
      <c r="AZ1582" s="76"/>
    </row>
    <row r="1583" spans="1:52" x14ac:dyDescent="0.25">
      <c r="A1583" s="86">
        <v>14134</v>
      </c>
      <c r="B1583" s="87" t="s">
        <v>19</v>
      </c>
      <c r="C1583" s="87" t="s">
        <v>19</v>
      </c>
      <c r="D1583" s="87" t="s">
        <v>3091</v>
      </c>
      <c r="E1583" s="87" t="s">
        <v>424</v>
      </c>
      <c r="F1583" s="87">
        <v>32.637034399999997</v>
      </c>
      <c r="G1583" s="87">
        <v>44.047671600000001</v>
      </c>
      <c r="H1583" s="86">
        <v>25</v>
      </c>
      <c r="I1583" s="86">
        <v>150</v>
      </c>
      <c r="J1583" s="87"/>
      <c r="K1583" s="87"/>
      <c r="L1583" s="87"/>
      <c r="M1583" s="87"/>
      <c r="N1583" s="87"/>
      <c r="O1583" s="87"/>
      <c r="P1583" s="87"/>
      <c r="Q1583" s="87"/>
      <c r="R1583" s="87"/>
      <c r="S1583" s="87"/>
      <c r="T1583" s="87"/>
      <c r="U1583" s="87"/>
      <c r="V1583" s="87">
        <v>20</v>
      </c>
      <c r="W1583" s="87"/>
      <c r="X1583" s="87">
        <v>5</v>
      </c>
      <c r="Y1583" s="87"/>
      <c r="Z1583" s="87"/>
      <c r="AA1583" s="87"/>
      <c r="AB1583" s="87"/>
      <c r="AC1583" s="87"/>
      <c r="AD1583" s="87"/>
      <c r="AE1583" s="87"/>
      <c r="AF1583" s="87"/>
      <c r="AG1583" s="87"/>
      <c r="AH1583" s="87">
        <v>25</v>
      </c>
      <c r="AI1583" s="87"/>
      <c r="AJ1583" s="87"/>
      <c r="AK1583" s="87"/>
      <c r="AL1583" s="87"/>
      <c r="AM1583" s="87"/>
      <c r="AN1583" s="87"/>
      <c r="AO1583" s="87">
        <v>25</v>
      </c>
      <c r="AP1583" s="87"/>
      <c r="AQ1583" s="87"/>
      <c r="AR1583" s="87"/>
      <c r="AS1583" s="87"/>
      <c r="AT1583" s="87"/>
      <c r="AU1583" s="87"/>
      <c r="AV1583" s="87"/>
      <c r="AW1583" s="88" t="str">
        <f>HYPERLINK("http://www.openstreetmap.org/?mlat=32.637&amp;mlon=44.0477&amp;zoom=12#map=12/32.637/44.0477","Maplink1")</f>
        <v>Maplink1</v>
      </c>
      <c r="AX1583" s="88" t="str">
        <f>HYPERLINK("https://www.google.iq/maps/search/+32.637,44.0477/@32.637,44.0477,14z?hl=en","Maplink2")</f>
        <v>Maplink2</v>
      </c>
      <c r="AY1583" s="88" t="str">
        <f>HYPERLINK("http://www.bing.com/maps/?lvl=14&amp;sty=h&amp;cp=32.637~44.0477&amp;sp=point.32.637_44.0477","Maplink3")</f>
        <v>Maplink3</v>
      </c>
      <c r="AZ1583" s="76"/>
    </row>
    <row r="1584" spans="1:52" x14ac:dyDescent="0.25">
      <c r="A1584" s="86">
        <v>14138</v>
      </c>
      <c r="B1584" s="87" t="s">
        <v>19</v>
      </c>
      <c r="C1584" s="87" t="s">
        <v>19</v>
      </c>
      <c r="D1584" s="87" t="s">
        <v>3092</v>
      </c>
      <c r="E1584" s="87" t="s">
        <v>3093</v>
      </c>
      <c r="F1584" s="87">
        <v>32.612818911600002</v>
      </c>
      <c r="G1584" s="87">
        <v>43.974307500000002</v>
      </c>
      <c r="H1584" s="86">
        <v>13</v>
      </c>
      <c r="I1584" s="86">
        <v>78</v>
      </c>
      <c r="J1584" s="87">
        <v>2</v>
      </c>
      <c r="K1584" s="87"/>
      <c r="L1584" s="87"/>
      <c r="M1584" s="87"/>
      <c r="N1584" s="87"/>
      <c r="O1584" s="87"/>
      <c r="P1584" s="87"/>
      <c r="Q1584" s="87"/>
      <c r="R1584" s="87">
        <v>5</v>
      </c>
      <c r="S1584" s="87"/>
      <c r="T1584" s="87"/>
      <c r="U1584" s="87"/>
      <c r="V1584" s="87">
        <v>6</v>
      </c>
      <c r="W1584" s="87"/>
      <c r="X1584" s="87"/>
      <c r="Y1584" s="87"/>
      <c r="Z1584" s="87"/>
      <c r="AA1584" s="87"/>
      <c r="AB1584" s="87"/>
      <c r="AC1584" s="87"/>
      <c r="AD1584" s="87"/>
      <c r="AE1584" s="87"/>
      <c r="AF1584" s="87"/>
      <c r="AG1584" s="87"/>
      <c r="AH1584" s="87">
        <v>13</v>
      </c>
      <c r="AI1584" s="87"/>
      <c r="AJ1584" s="87"/>
      <c r="AK1584" s="87"/>
      <c r="AL1584" s="87"/>
      <c r="AM1584" s="87"/>
      <c r="AN1584" s="87">
        <v>1</v>
      </c>
      <c r="AO1584" s="87">
        <v>6</v>
      </c>
      <c r="AP1584" s="87">
        <v>6</v>
      </c>
      <c r="AQ1584" s="87"/>
      <c r="AR1584" s="87"/>
      <c r="AS1584" s="87"/>
      <c r="AT1584" s="87"/>
      <c r="AU1584" s="87"/>
      <c r="AV1584" s="87"/>
      <c r="AW1584" s="88" t="str">
        <f>HYPERLINK("http://www.openstreetmap.org/?mlat=32.6128&amp;mlon=43.9743&amp;zoom=12#map=12/32.6128/43.9743","Maplink1")</f>
        <v>Maplink1</v>
      </c>
      <c r="AX1584" s="88" t="str">
        <f>HYPERLINK("https://www.google.iq/maps/search/+32.6128,43.9743/@32.6128,43.9743,14z?hl=en","Maplink2")</f>
        <v>Maplink2</v>
      </c>
      <c r="AY1584" s="88" t="str">
        <f>HYPERLINK("http://www.bing.com/maps/?lvl=14&amp;sty=h&amp;cp=32.6128~43.9743&amp;sp=point.32.6128_43.9743","Maplink3")</f>
        <v>Maplink3</v>
      </c>
      <c r="AZ1584" s="76"/>
    </row>
    <row r="1585" spans="1:52" x14ac:dyDescent="0.25">
      <c r="A1585" s="86">
        <v>24138</v>
      </c>
      <c r="B1585" s="87" t="s">
        <v>19</v>
      </c>
      <c r="C1585" s="87" t="s">
        <v>19</v>
      </c>
      <c r="D1585" s="87" t="s">
        <v>3094</v>
      </c>
      <c r="E1585" s="87" t="s">
        <v>410</v>
      </c>
      <c r="F1585" s="87">
        <v>32.603967500000003</v>
      </c>
      <c r="G1585" s="87">
        <v>43.9950197</v>
      </c>
      <c r="H1585" s="86">
        <v>7</v>
      </c>
      <c r="I1585" s="86">
        <v>42</v>
      </c>
      <c r="J1585" s="87"/>
      <c r="K1585" s="87"/>
      <c r="L1585" s="87"/>
      <c r="M1585" s="87"/>
      <c r="N1585" s="87"/>
      <c r="O1585" s="87"/>
      <c r="P1585" s="87"/>
      <c r="Q1585" s="87"/>
      <c r="R1585" s="87"/>
      <c r="S1585" s="87"/>
      <c r="T1585" s="87"/>
      <c r="U1585" s="87"/>
      <c r="V1585" s="87">
        <v>7</v>
      </c>
      <c r="W1585" s="87"/>
      <c r="X1585" s="87"/>
      <c r="Y1585" s="87"/>
      <c r="Z1585" s="87"/>
      <c r="AA1585" s="87"/>
      <c r="AB1585" s="87"/>
      <c r="AC1585" s="87"/>
      <c r="AD1585" s="87"/>
      <c r="AE1585" s="87"/>
      <c r="AF1585" s="87"/>
      <c r="AG1585" s="87"/>
      <c r="AH1585" s="87">
        <v>7</v>
      </c>
      <c r="AI1585" s="87"/>
      <c r="AJ1585" s="87"/>
      <c r="AK1585" s="87"/>
      <c r="AL1585" s="87"/>
      <c r="AM1585" s="87"/>
      <c r="AN1585" s="87"/>
      <c r="AO1585" s="87">
        <v>7</v>
      </c>
      <c r="AP1585" s="87"/>
      <c r="AQ1585" s="87"/>
      <c r="AR1585" s="87"/>
      <c r="AS1585" s="87"/>
      <c r="AT1585" s="87"/>
      <c r="AU1585" s="87"/>
      <c r="AV1585" s="87"/>
      <c r="AW1585" s="88" t="str">
        <f>HYPERLINK("http://www.openstreetmap.org/?mlat=32.604&amp;mlon=43.995&amp;zoom=12#map=12/32.604/43.995","Maplink1")</f>
        <v>Maplink1</v>
      </c>
      <c r="AX1585" s="88" t="str">
        <f>HYPERLINK("https://www.google.iq/maps/search/+32.604,43.995/@32.604,43.995,14z?hl=en","Maplink2")</f>
        <v>Maplink2</v>
      </c>
      <c r="AY1585" s="88" t="str">
        <f>HYPERLINK("http://www.bing.com/maps/?lvl=14&amp;sty=h&amp;cp=32.604~43.995&amp;sp=point.32.604_43.995","Maplink3")</f>
        <v>Maplink3</v>
      </c>
      <c r="AZ1585" s="76"/>
    </row>
    <row r="1586" spans="1:52" x14ac:dyDescent="0.25">
      <c r="A1586" s="86">
        <v>25344</v>
      </c>
      <c r="B1586" s="87" t="s">
        <v>19</v>
      </c>
      <c r="C1586" s="87" t="s">
        <v>19</v>
      </c>
      <c r="D1586" s="87" t="s">
        <v>3095</v>
      </c>
      <c r="E1586" s="87" t="s">
        <v>3096</v>
      </c>
      <c r="F1586" s="87">
        <v>32.604779299999997</v>
      </c>
      <c r="G1586" s="87">
        <v>43.9878141672</v>
      </c>
      <c r="H1586" s="86">
        <v>5</v>
      </c>
      <c r="I1586" s="86">
        <v>30</v>
      </c>
      <c r="J1586" s="87"/>
      <c r="K1586" s="87"/>
      <c r="L1586" s="87"/>
      <c r="M1586" s="87"/>
      <c r="N1586" s="87"/>
      <c r="O1586" s="87"/>
      <c r="P1586" s="87"/>
      <c r="Q1586" s="87"/>
      <c r="R1586" s="87"/>
      <c r="S1586" s="87"/>
      <c r="T1586" s="87"/>
      <c r="U1586" s="87"/>
      <c r="V1586" s="87">
        <v>5</v>
      </c>
      <c r="W1586" s="87"/>
      <c r="X1586" s="87"/>
      <c r="Y1586" s="87"/>
      <c r="Z1586" s="87"/>
      <c r="AA1586" s="87"/>
      <c r="AB1586" s="87"/>
      <c r="AC1586" s="87"/>
      <c r="AD1586" s="87"/>
      <c r="AE1586" s="87"/>
      <c r="AF1586" s="87"/>
      <c r="AG1586" s="87"/>
      <c r="AH1586" s="87">
        <v>5</v>
      </c>
      <c r="AI1586" s="87"/>
      <c r="AJ1586" s="87"/>
      <c r="AK1586" s="87"/>
      <c r="AL1586" s="87"/>
      <c r="AM1586" s="87"/>
      <c r="AN1586" s="87"/>
      <c r="AO1586" s="87">
        <v>5</v>
      </c>
      <c r="AP1586" s="87"/>
      <c r="AQ1586" s="87"/>
      <c r="AR1586" s="87"/>
      <c r="AS1586" s="87"/>
      <c r="AT1586" s="87"/>
      <c r="AU1586" s="87"/>
      <c r="AV1586" s="87"/>
      <c r="AW1586" s="88" t="str">
        <f>HYPERLINK("http://www.openstreetmap.org/?mlat=32.6048&amp;mlon=43.9878&amp;zoom=12#map=12/32.6048/43.9878","Maplink1")</f>
        <v>Maplink1</v>
      </c>
      <c r="AX1586" s="88" t="str">
        <f>HYPERLINK("https://www.google.iq/maps/search/+32.6048,43.9878/@32.6048,43.9878,14z?hl=en","Maplink2")</f>
        <v>Maplink2</v>
      </c>
      <c r="AY1586" s="88" t="str">
        <f>HYPERLINK("http://www.bing.com/maps/?lvl=14&amp;sty=h&amp;cp=32.6048~43.9878&amp;sp=point.32.6048_43.9878","Maplink3")</f>
        <v>Maplink3</v>
      </c>
      <c r="AZ1586" s="76"/>
    </row>
    <row r="1587" spans="1:52" x14ac:dyDescent="0.25">
      <c r="A1587" s="86">
        <v>25345</v>
      </c>
      <c r="B1587" s="87" t="s">
        <v>19</v>
      </c>
      <c r="C1587" s="87" t="s">
        <v>19</v>
      </c>
      <c r="D1587" s="87" t="s">
        <v>3097</v>
      </c>
      <c r="E1587" s="87" t="s">
        <v>3098</v>
      </c>
      <c r="F1587" s="87">
        <v>32.607289299999998</v>
      </c>
      <c r="G1587" s="87">
        <v>43.987809727200002</v>
      </c>
      <c r="H1587" s="86">
        <v>10</v>
      </c>
      <c r="I1587" s="86">
        <v>60</v>
      </c>
      <c r="J1587" s="87"/>
      <c r="K1587" s="87"/>
      <c r="L1587" s="87">
        <v>1</v>
      </c>
      <c r="M1587" s="87"/>
      <c r="N1587" s="87"/>
      <c r="O1587" s="87"/>
      <c r="P1587" s="87"/>
      <c r="Q1587" s="87"/>
      <c r="R1587" s="87"/>
      <c r="S1587" s="87"/>
      <c r="T1587" s="87"/>
      <c r="U1587" s="87"/>
      <c r="V1587" s="87">
        <v>9</v>
      </c>
      <c r="W1587" s="87"/>
      <c r="X1587" s="87"/>
      <c r="Y1587" s="87"/>
      <c r="Z1587" s="87"/>
      <c r="AA1587" s="87"/>
      <c r="AB1587" s="87"/>
      <c r="AC1587" s="87"/>
      <c r="AD1587" s="87"/>
      <c r="AE1587" s="87"/>
      <c r="AF1587" s="87"/>
      <c r="AG1587" s="87"/>
      <c r="AH1587" s="87">
        <v>10</v>
      </c>
      <c r="AI1587" s="87"/>
      <c r="AJ1587" s="87"/>
      <c r="AK1587" s="87"/>
      <c r="AL1587" s="87"/>
      <c r="AM1587" s="87"/>
      <c r="AN1587" s="87"/>
      <c r="AO1587" s="87">
        <v>10</v>
      </c>
      <c r="AP1587" s="87"/>
      <c r="AQ1587" s="87"/>
      <c r="AR1587" s="87"/>
      <c r="AS1587" s="87"/>
      <c r="AT1587" s="87"/>
      <c r="AU1587" s="87"/>
      <c r="AV1587" s="87"/>
      <c r="AW1587" s="88" t="str">
        <f>HYPERLINK("http://www.openstreetmap.org/?mlat=32.6073&amp;mlon=43.9878&amp;zoom=12#map=12/32.6073/43.9878","Maplink1")</f>
        <v>Maplink1</v>
      </c>
      <c r="AX1587" s="88" t="str">
        <f>HYPERLINK("https://www.google.iq/maps/search/+32.6073,43.9878/@32.6073,43.9878,14z?hl=en","Maplink2")</f>
        <v>Maplink2</v>
      </c>
      <c r="AY1587" s="88" t="str">
        <f>HYPERLINK("http://www.bing.com/maps/?lvl=14&amp;sty=h&amp;cp=32.6073~43.9878&amp;sp=point.32.6073_43.9878","Maplink3")</f>
        <v>Maplink3</v>
      </c>
      <c r="AZ1587" s="76"/>
    </row>
    <row r="1588" spans="1:52" x14ac:dyDescent="0.25">
      <c r="A1588" s="86">
        <v>14018</v>
      </c>
      <c r="B1588" s="87" t="s">
        <v>19</v>
      </c>
      <c r="C1588" s="87" t="s">
        <v>19</v>
      </c>
      <c r="D1588" s="87" t="s">
        <v>3099</v>
      </c>
      <c r="E1588" s="87" t="s">
        <v>3100</v>
      </c>
      <c r="F1588" s="87">
        <v>32.577773283600003</v>
      </c>
      <c r="G1588" s="87">
        <v>44.0022594</v>
      </c>
      <c r="H1588" s="86">
        <v>12</v>
      </c>
      <c r="I1588" s="86">
        <v>72</v>
      </c>
      <c r="J1588" s="87">
        <v>3</v>
      </c>
      <c r="K1588" s="87"/>
      <c r="L1588" s="87"/>
      <c r="M1588" s="87"/>
      <c r="N1588" s="87"/>
      <c r="O1588" s="87"/>
      <c r="P1588" s="87"/>
      <c r="Q1588" s="87"/>
      <c r="R1588" s="87"/>
      <c r="S1588" s="87"/>
      <c r="T1588" s="87"/>
      <c r="U1588" s="87"/>
      <c r="V1588" s="87">
        <v>9</v>
      </c>
      <c r="W1588" s="87"/>
      <c r="X1588" s="87"/>
      <c r="Y1588" s="87"/>
      <c r="Z1588" s="87"/>
      <c r="AA1588" s="87"/>
      <c r="AB1588" s="87"/>
      <c r="AC1588" s="87"/>
      <c r="AD1588" s="87"/>
      <c r="AE1588" s="87"/>
      <c r="AF1588" s="87"/>
      <c r="AG1588" s="87"/>
      <c r="AH1588" s="87">
        <v>12</v>
      </c>
      <c r="AI1588" s="87"/>
      <c r="AJ1588" s="87"/>
      <c r="AK1588" s="87"/>
      <c r="AL1588" s="87"/>
      <c r="AM1588" s="87"/>
      <c r="AN1588" s="87">
        <v>3</v>
      </c>
      <c r="AO1588" s="87">
        <v>9</v>
      </c>
      <c r="AP1588" s="87"/>
      <c r="AQ1588" s="87"/>
      <c r="AR1588" s="87"/>
      <c r="AS1588" s="87"/>
      <c r="AT1588" s="87"/>
      <c r="AU1588" s="87"/>
      <c r="AV1588" s="87"/>
      <c r="AW1588" s="88" t="str">
        <f>HYPERLINK("http://www.openstreetmap.org/?mlat=32.5778&amp;mlon=44.0023&amp;zoom=12#map=12/32.5778/44.0023","Maplink1")</f>
        <v>Maplink1</v>
      </c>
      <c r="AX1588" s="88" t="str">
        <f>HYPERLINK("https://www.google.iq/maps/search/+32.5778,44.0023/@32.5778,44.0023,14z?hl=en","Maplink2")</f>
        <v>Maplink2</v>
      </c>
      <c r="AY1588" s="88" t="str">
        <f>HYPERLINK("http://www.bing.com/maps/?lvl=14&amp;sty=h&amp;cp=32.5778~44.0023&amp;sp=point.32.5778_44.0023","Maplink3")</f>
        <v>Maplink3</v>
      </c>
      <c r="AZ1588" s="76"/>
    </row>
    <row r="1589" spans="1:52" x14ac:dyDescent="0.25">
      <c r="A1589" s="86">
        <v>25780</v>
      </c>
      <c r="B1589" s="87" t="s">
        <v>19</v>
      </c>
      <c r="C1589" s="87" t="s">
        <v>19</v>
      </c>
      <c r="D1589" s="87" t="s">
        <v>3101</v>
      </c>
      <c r="E1589" s="87" t="s">
        <v>3102</v>
      </c>
      <c r="F1589" s="87">
        <v>32.577167600000003</v>
      </c>
      <c r="G1589" s="87">
        <v>44.005870494600003</v>
      </c>
      <c r="H1589" s="86">
        <v>6</v>
      </c>
      <c r="I1589" s="86">
        <v>36</v>
      </c>
      <c r="J1589" s="87">
        <v>2</v>
      </c>
      <c r="K1589" s="87"/>
      <c r="L1589" s="87"/>
      <c r="M1589" s="87"/>
      <c r="N1589" s="87"/>
      <c r="O1589" s="87"/>
      <c r="P1589" s="87"/>
      <c r="Q1589" s="87"/>
      <c r="R1589" s="87">
        <v>2</v>
      </c>
      <c r="S1589" s="87"/>
      <c r="T1589" s="87"/>
      <c r="U1589" s="87"/>
      <c r="V1589" s="87">
        <v>2</v>
      </c>
      <c r="W1589" s="87"/>
      <c r="X1589" s="87"/>
      <c r="Y1589" s="87"/>
      <c r="Z1589" s="87"/>
      <c r="AA1589" s="87"/>
      <c r="AB1589" s="87"/>
      <c r="AC1589" s="87"/>
      <c r="AD1589" s="87"/>
      <c r="AE1589" s="87"/>
      <c r="AF1589" s="87"/>
      <c r="AG1589" s="87"/>
      <c r="AH1589" s="87">
        <v>6</v>
      </c>
      <c r="AI1589" s="87"/>
      <c r="AJ1589" s="87"/>
      <c r="AK1589" s="87"/>
      <c r="AL1589" s="87"/>
      <c r="AM1589" s="87"/>
      <c r="AN1589" s="87"/>
      <c r="AO1589" s="87">
        <v>2</v>
      </c>
      <c r="AP1589" s="87">
        <v>4</v>
      </c>
      <c r="AQ1589" s="87"/>
      <c r="AR1589" s="87"/>
      <c r="AS1589" s="87"/>
      <c r="AT1589" s="87"/>
      <c r="AU1589" s="87"/>
      <c r="AV1589" s="87"/>
      <c r="AW1589" s="88" t="str">
        <f>HYPERLINK("http://www.openstreetmap.org/?mlat=32.5772&amp;mlon=44.0059&amp;zoom=12#map=12/32.5772/44.0059","Maplink1")</f>
        <v>Maplink1</v>
      </c>
      <c r="AX1589" s="88" t="str">
        <f>HYPERLINK("https://www.google.iq/maps/search/+32.5772,44.0059/@32.5772,44.0059,14z?hl=en","Maplink2")</f>
        <v>Maplink2</v>
      </c>
      <c r="AY1589" s="88" t="str">
        <f>HYPERLINK("http://www.bing.com/maps/?lvl=14&amp;sty=h&amp;cp=32.5772~44.0059&amp;sp=point.32.5772_44.0059","Maplink3")</f>
        <v>Maplink3</v>
      </c>
      <c r="AZ1589" s="76"/>
    </row>
    <row r="1590" spans="1:52" x14ac:dyDescent="0.25">
      <c r="A1590" s="86">
        <v>26112</v>
      </c>
      <c r="B1590" s="87" t="s">
        <v>19</v>
      </c>
      <c r="C1590" s="87" t="s">
        <v>19</v>
      </c>
      <c r="D1590" s="87" t="s">
        <v>3103</v>
      </c>
      <c r="E1590" s="87" t="s">
        <v>3104</v>
      </c>
      <c r="F1590" s="87">
        <v>32.586393000000001</v>
      </c>
      <c r="G1590" s="87">
        <v>44.050951379600001</v>
      </c>
      <c r="H1590" s="86">
        <v>12</v>
      </c>
      <c r="I1590" s="86">
        <v>72</v>
      </c>
      <c r="J1590" s="87"/>
      <c r="K1590" s="87"/>
      <c r="L1590" s="87"/>
      <c r="M1590" s="87"/>
      <c r="N1590" s="87"/>
      <c r="O1590" s="87"/>
      <c r="P1590" s="87"/>
      <c r="Q1590" s="87"/>
      <c r="R1590" s="87"/>
      <c r="S1590" s="87"/>
      <c r="T1590" s="87"/>
      <c r="U1590" s="87"/>
      <c r="V1590" s="87">
        <v>12</v>
      </c>
      <c r="W1590" s="87"/>
      <c r="X1590" s="87"/>
      <c r="Y1590" s="87"/>
      <c r="Z1590" s="87"/>
      <c r="AA1590" s="87"/>
      <c r="AB1590" s="87"/>
      <c r="AC1590" s="87"/>
      <c r="AD1590" s="87"/>
      <c r="AE1590" s="87"/>
      <c r="AF1590" s="87"/>
      <c r="AG1590" s="87"/>
      <c r="AH1590" s="87">
        <v>12</v>
      </c>
      <c r="AI1590" s="87"/>
      <c r="AJ1590" s="87"/>
      <c r="AK1590" s="87"/>
      <c r="AL1590" s="87"/>
      <c r="AM1590" s="87"/>
      <c r="AN1590" s="87"/>
      <c r="AO1590" s="87">
        <v>12</v>
      </c>
      <c r="AP1590" s="87"/>
      <c r="AQ1590" s="87"/>
      <c r="AR1590" s="87"/>
      <c r="AS1590" s="87"/>
      <c r="AT1590" s="87"/>
      <c r="AU1590" s="87"/>
      <c r="AV1590" s="87"/>
      <c r="AW1590" s="88" t="str">
        <f>HYPERLINK("http://www.openstreetmap.org/?mlat=32.5864&amp;mlon=44.051&amp;zoom=12#map=12/32.5864/44.051","Maplink1")</f>
        <v>Maplink1</v>
      </c>
      <c r="AX1590" s="88" t="str">
        <f>HYPERLINK("https://www.google.iq/maps/search/+32.5864,44.051/@32.5864,44.051,14z?hl=en","Maplink2")</f>
        <v>Maplink2</v>
      </c>
      <c r="AY1590" s="88" t="str">
        <f>HYPERLINK("http://www.bing.com/maps/?lvl=14&amp;sty=h&amp;cp=32.5864~44.051&amp;sp=point.32.5864_44.051","Maplink3")</f>
        <v>Maplink3</v>
      </c>
      <c r="AZ1590" s="76"/>
    </row>
    <row r="1591" spans="1:52" x14ac:dyDescent="0.25">
      <c r="A1591" s="86">
        <v>14273</v>
      </c>
      <c r="B1591" s="87" t="s">
        <v>19</v>
      </c>
      <c r="C1591" s="87" t="s">
        <v>19</v>
      </c>
      <c r="D1591" s="87" t="s">
        <v>3105</v>
      </c>
      <c r="E1591" s="87" t="s">
        <v>206</v>
      </c>
      <c r="F1591" s="87">
        <v>32.575397341600002</v>
      </c>
      <c r="G1591" s="87">
        <v>44.0163881</v>
      </c>
      <c r="H1591" s="86">
        <v>33</v>
      </c>
      <c r="I1591" s="86">
        <v>198</v>
      </c>
      <c r="J1591" s="87"/>
      <c r="K1591" s="87"/>
      <c r="L1591" s="87"/>
      <c r="M1591" s="87"/>
      <c r="N1591" s="87"/>
      <c r="O1591" s="87">
        <v>2</v>
      </c>
      <c r="P1591" s="87"/>
      <c r="Q1591" s="87"/>
      <c r="R1591" s="87"/>
      <c r="S1591" s="87"/>
      <c r="T1591" s="87"/>
      <c r="U1591" s="87"/>
      <c r="V1591" s="87">
        <v>31</v>
      </c>
      <c r="W1591" s="87"/>
      <c r="X1591" s="87"/>
      <c r="Y1591" s="87"/>
      <c r="Z1591" s="87"/>
      <c r="AA1591" s="87"/>
      <c r="AB1591" s="87"/>
      <c r="AC1591" s="87"/>
      <c r="AD1591" s="87"/>
      <c r="AE1591" s="87"/>
      <c r="AF1591" s="87"/>
      <c r="AG1591" s="87"/>
      <c r="AH1591" s="87">
        <v>33</v>
      </c>
      <c r="AI1591" s="87"/>
      <c r="AJ1591" s="87"/>
      <c r="AK1591" s="87"/>
      <c r="AL1591" s="87"/>
      <c r="AM1591" s="87"/>
      <c r="AN1591" s="87"/>
      <c r="AO1591" s="87">
        <v>33</v>
      </c>
      <c r="AP1591" s="87"/>
      <c r="AQ1591" s="87"/>
      <c r="AR1591" s="87"/>
      <c r="AS1591" s="87"/>
      <c r="AT1591" s="87"/>
      <c r="AU1591" s="87"/>
      <c r="AV1591" s="87"/>
      <c r="AW1591" s="88" t="str">
        <f>HYPERLINK("http://www.openstreetmap.org/?mlat=32.5754&amp;mlon=44.0164&amp;zoom=12#map=12/32.5754/44.0164","Maplink1")</f>
        <v>Maplink1</v>
      </c>
      <c r="AX1591" s="88" t="str">
        <f>HYPERLINK("https://www.google.iq/maps/search/+32.5754,44.0164/@32.5754,44.0164,14z?hl=en","Maplink2")</f>
        <v>Maplink2</v>
      </c>
      <c r="AY1591" s="88" t="str">
        <f>HYPERLINK("http://www.bing.com/maps/?lvl=14&amp;sty=h&amp;cp=32.5754~44.0164&amp;sp=point.32.5754_44.0164","Maplink3")</f>
        <v>Maplink3</v>
      </c>
      <c r="AZ1591" s="76"/>
    </row>
    <row r="1592" spans="1:52" x14ac:dyDescent="0.25">
      <c r="A1592" s="86">
        <v>14067</v>
      </c>
      <c r="B1592" s="87" t="s">
        <v>19</v>
      </c>
      <c r="C1592" s="87" t="s">
        <v>19</v>
      </c>
      <c r="D1592" s="87" t="s">
        <v>351</v>
      </c>
      <c r="E1592" s="87" t="s">
        <v>3106</v>
      </c>
      <c r="F1592" s="87">
        <v>32.597994665800002</v>
      </c>
      <c r="G1592" s="87">
        <v>44.004948400000004</v>
      </c>
      <c r="H1592" s="86">
        <v>15</v>
      </c>
      <c r="I1592" s="86">
        <v>90</v>
      </c>
      <c r="J1592" s="87"/>
      <c r="K1592" s="87"/>
      <c r="L1592" s="87"/>
      <c r="M1592" s="87"/>
      <c r="N1592" s="87"/>
      <c r="O1592" s="87"/>
      <c r="P1592" s="87"/>
      <c r="Q1592" s="87"/>
      <c r="R1592" s="87"/>
      <c r="S1592" s="87"/>
      <c r="T1592" s="87"/>
      <c r="U1592" s="87"/>
      <c r="V1592" s="87">
        <v>15</v>
      </c>
      <c r="W1592" s="87"/>
      <c r="X1592" s="87"/>
      <c r="Y1592" s="87"/>
      <c r="Z1592" s="87"/>
      <c r="AA1592" s="87"/>
      <c r="AB1592" s="87"/>
      <c r="AC1592" s="87"/>
      <c r="AD1592" s="87"/>
      <c r="AE1592" s="87"/>
      <c r="AF1592" s="87"/>
      <c r="AG1592" s="87"/>
      <c r="AH1592" s="87">
        <v>15</v>
      </c>
      <c r="AI1592" s="87"/>
      <c r="AJ1592" s="87"/>
      <c r="AK1592" s="87"/>
      <c r="AL1592" s="87"/>
      <c r="AM1592" s="87"/>
      <c r="AN1592" s="87"/>
      <c r="AO1592" s="87">
        <v>15</v>
      </c>
      <c r="AP1592" s="87"/>
      <c r="AQ1592" s="87"/>
      <c r="AR1592" s="87"/>
      <c r="AS1592" s="87"/>
      <c r="AT1592" s="87"/>
      <c r="AU1592" s="87"/>
      <c r="AV1592" s="87"/>
      <c r="AW1592" s="88" t="str">
        <f>HYPERLINK("http://www.openstreetmap.org/?mlat=32.598&amp;mlon=44.0049&amp;zoom=12#map=12/32.598/44.0049","Maplink1")</f>
        <v>Maplink1</v>
      </c>
      <c r="AX1592" s="88" t="str">
        <f>HYPERLINK("https://www.google.iq/maps/search/+32.598,44.0049/@32.598,44.0049,14z?hl=en","Maplink2")</f>
        <v>Maplink2</v>
      </c>
      <c r="AY1592" s="88" t="str">
        <f>HYPERLINK("http://www.bing.com/maps/?lvl=14&amp;sty=h&amp;cp=32.598~44.0049&amp;sp=point.32.598_44.0049","Maplink3")</f>
        <v>Maplink3</v>
      </c>
      <c r="AZ1592" s="76"/>
    </row>
    <row r="1593" spans="1:52" x14ac:dyDescent="0.25">
      <c r="A1593" s="86">
        <v>14005</v>
      </c>
      <c r="B1593" s="87" t="s">
        <v>19</v>
      </c>
      <c r="C1593" s="87" t="s">
        <v>19</v>
      </c>
      <c r="D1593" s="87" t="s">
        <v>3107</v>
      </c>
      <c r="E1593" s="87" t="s">
        <v>3108</v>
      </c>
      <c r="F1593" s="87">
        <v>32.567201971300001</v>
      </c>
      <c r="G1593" s="87">
        <v>44.026937400000001</v>
      </c>
      <c r="H1593" s="86">
        <v>8</v>
      </c>
      <c r="I1593" s="86">
        <v>48</v>
      </c>
      <c r="J1593" s="87"/>
      <c r="K1593" s="87"/>
      <c r="L1593" s="87"/>
      <c r="M1593" s="87"/>
      <c r="N1593" s="87"/>
      <c r="O1593" s="87"/>
      <c r="P1593" s="87"/>
      <c r="Q1593" s="87"/>
      <c r="R1593" s="87"/>
      <c r="S1593" s="87"/>
      <c r="T1593" s="87"/>
      <c r="U1593" s="87"/>
      <c r="V1593" s="87">
        <v>8</v>
      </c>
      <c r="W1593" s="87"/>
      <c r="X1593" s="87"/>
      <c r="Y1593" s="87"/>
      <c r="Z1593" s="87"/>
      <c r="AA1593" s="87"/>
      <c r="AB1593" s="87"/>
      <c r="AC1593" s="87"/>
      <c r="AD1593" s="87"/>
      <c r="AE1593" s="87"/>
      <c r="AF1593" s="87"/>
      <c r="AG1593" s="87"/>
      <c r="AH1593" s="87">
        <v>8</v>
      </c>
      <c r="AI1593" s="87"/>
      <c r="AJ1593" s="87"/>
      <c r="AK1593" s="87"/>
      <c r="AL1593" s="87"/>
      <c r="AM1593" s="87"/>
      <c r="AN1593" s="87"/>
      <c r="AO1593" s="87">
        <v>8</v>
      </c>
      <c r="AP1593" s="87"/>
      <c r="AQ1593" s="87"/>
      <c r="AR1593" s="87"/>
      <c r="AS1593" s="87"/>
      <c r="AT1593" s="87"/>
      <c r="AU1593" s="87"/>
      <c r="AV1593" s="87"/>
      <c r="AW1593" s="88" t="str">
        <f>HYPERLINK("http://www.openstreetmap.org/?mlat=32.5672&amp;mlon=44.0269&amp;zoom=12#map=12/32.5672/44.0269","Maplink1")</f>
        <v>Maplink1</v>
      </c>
      <c r="AX1593" s="88" t="str">
        <f>HYPERLINK("https://www.google.iq/maps/search/+32.5672,44.0269/@32.5672,44.0269,14z?hl=en","Maplink2")</f>
        <v>Maplink2</v>
      </c>
      <c r="AY1593" s="88" t="str">
        <f>HYPERLINK("http://www.bing.com/maps/?lvl=14&amp;sty=h&amp;cp=32.5672~44.0269&amp;sp=point.32.5672_44.0269","Maplink3")</f>
        <v>Maplink3</v>
      </c>
      <c r="AZ1593" s="76"/>
    </row>
    <row r="1594" spans="1:52" x14ac:dyDescent="0.25">
      <c r="A1594" s="86">
        <v>25272</v>
      </c>
      <c r="B1594" s="87" t="s">
        <v>19</v>
      </c>
      <c r="C1594" s="87" t="s">
        <v>19</v>
      </c>
      <c r="D1594" s="87" t="s">
        <v>3109</v>
      </c>
      <c r="E1594" s="87" t="s">
        <v>3110</v>
      </c>
      <c r="F1594" s="87">
        <v>32.589035382500001</v>
      </c>
      <c r="G1594" s="87">
        <v>44.013096831200002</v>
      </c>
      <c r="H1594" s="86">
        <v>2</v>
      </c>
      <c r="I1594" s="86">
        <v>12</v>
      </c>
      <c r="J1594" s="87"/>
      <c r="K1594" s="87"/>
      <c r="L1594" s="87"/>
      <c r="M1594" s="87"/>
      <c r="N1594" s="87"/>
      <c r="O1594" s="87"/>
      <c r="P1594" s="87"/>
      <c r="Q1594" s="87"/>
      <c r="R1594" s="87"/>
      <c r="S1594" s="87"/>
      <c r="T1594" s="87"/>
      <c r="U1594" s="87"/>
      <c r="V1594" s="87">
        <v>2</v>
      </c>
      <c r="W1594" s="87"/>
      <c r="X1594" s="87"/>
      <c r="Y1594" s="87"/>
      <c r="Z1594" s="87"/>
      <c r="AA1594" s="87"/>
      <c r="AB1594" s="87"/>
      <c r="AC1594" s="87"/>
      <c r="AD1594" s="87"/>
      <c r="AE1594" s="87"/>
      <c r="AF1594" s="87"/>
      <c r="AG1594" s="87"/>
      <c r="AH1594" s="87">
        <v>2</v>
      </c>
      <c r="AI1594" s="87"/>
      <c r="AJ1594" s="87"/>
      <c r="AK1594" s="87"/>
      <c r="AL1594" s="87"/>
      <c r="AM1594" s="87"/>
      <c r="AN1594" s="87"/>
      <c r="AO1594" s="87">
        <v>2</v>
      </c>
      <c r="AP1594" s="87"/>
      <c r="AQ1594" s="87"/>
      <c r="AR1594" s="87"/>
      <c r="AS1594" s="87"/>
      <c r="AT1594" s="87"/>
      <c r="AU1594" s="87"/>
      <c r="AV1594" s="87"/>
      <c r="AW1594" s="88" t="str">
        <f>HYPERLINK("http://www.openstreetmap.org/?mlat=32.589&amp;mlon=44.0131&amp;zoom=12#map=12/32.589/44.0131","Maplink1")</f>
        <v>Maplink1</v>
      </c>
      <c r="AX1594" s="88" t="str">
        <f>HYPERLINK("https://www.google.iq/maps/search/+32.589,44.0131/@32.589,44.0131,14z?hl=en","Maplink2")</f>
        <v>Maplink2</v>
      </c>
      <c r="AY1594" s="88" t="str">
        <f>HYPERLINK("http://www.bing.com/maps/?lvl=14&amp;sty=h&amp;cp=32.589~44.0131&amp;sp=point.32.589_44.0131","Maplink3")</f>
        <v>Maplink3</v>
      </c>
      <c r="AZ1594" s="76"/>
    </row>
    <row r="1595" spans="1:52" x14ac:dyDescent="0.25">
      <c r="A1595" s="86">
        <v>27266</v>
      </c>
      <c r="B1595" s="87" t="s">
        <v>19</v>
      </c>
      <c r="C1595" s="87" t="s">
        <v>19</v>
      </c>
      <c r="D1595" s="87" t="s">
        <v>3111</v>
      </c>
      <c r="E1595" s="87" t="s">
        <v>3112</v>
      </c>
      <c r="F1595" s="87">
        <v>32.591070824600003</v>
      </c>
      <c r="G1595" s="87">
        <v>44.013748109600002</v>
      </c>
      <c r="H1595" s="86">
        <v>4</v>
      </c>
      <c r="I1595" s="86">
        <v>24</v>
      </c>
      <c r="J1595" s="87"/>
      <c r="K1595" s="87"/>
      <c r="L1595" s="87"/>
      <c r="M1595" s="87"/>
      <c r="N1595" s="87"/>
      <c r="O1595" s="87">
        <v>1</v>
      </c>
      <c r="P1595" s="87"/>
      <c r="Q1595" s="87"/>
      <c r="R1595" s="87">
        <v>2</v>
      </c>
      <c r="S1595" s="87"/>
      <c r="T1595" s="87"/>
      <c r="U1595" s="87"/>
      <c r="V1595" s="87">
        <v>1</v>
      </c>
      <c r="W1595" s="87"/>
      <c r="X1595" s="87"/>
      <c r="Y1595" s="87"/>
      <c r="Z1595" s="87"/>
      <c r="AA1595" s="87"/>
      <c r="AB1595" s="87"/>
      <c r="AC1595" s="87"/>
      <c r="AD1595" s="87"/>
      <c r="AE1595" s="87"/>
      <c r="AF1595" s="87"/>
      <c r="AG1595" s="87"/>
      <c r="AH1595" s="87">
        <v>4</v>
      </c>
      <c r="AI1595" s="87"/>
      <c r="AJ1595" s="87"/>
      <c r="AK1595" s="87"/>
      <c r="AL1595" s="87"/>
      <c r="AM1595" s="87"/>
      <c r="AN1595" s="87"/>
      <c r="AO1595" s="87">
        <v>1</v>
      </c>
      <c r="AP1595" s="87">
        <v>3</v>
      </c>
      <c r="AQ1595" s="87"/>
      <c r="AR1595" s="87"/>
      <c r="AS1595" s="87"/>
      <c r="AT1595" s="87"/>
      <c r="AU1595" s="87"/>
      <c r="AV1595" s="87"/>
      <c r="AW1595" s="88" t="str">
        <f>HYPERLINK("http://www.openstreetmap.org/?mlat=32.5911&amp;mlon=44.0137&amp;zoom=12#map=12/32.5911/44.0137","Maplink1")</f>
        <v>Maplink1</v>
      </c>
      <c r="AX1595" s="88" t="str">
        <f>HYPERLINK("https://www.google.iq/maps/search/+32.5911,44.0137/@32.5911,44.0137,14z?hl=en","Maplink2")</f>
        <v>Maplink2</v>
      </c>
      <c r="AY1595" s="88" t="str">
        <f>HYPERLINK("http://www.bing.com/maps/?lvl=14&amp;sty=h&amp;cp=32.5911~44.0137&amp;sp=point.32.5911_44.0137","Maplink3")</f>
        <v>Maplink3</v>
      </c>
      <c r="AZ1595" s="76"/>
    </row>
    <row r="1596" spans="1:52" x14ac:dyDescent="0.25">
      <c r="A1596" s="86">
        <v>25263</v>
      </c>
      <c r="B1596" s="87" t="s">
        <v>19</v>
      </c>
      <c r="C1596" s="87" t="s">
        <v>19</v>
      </c>
      <c r="D1596" s="87" t="s">
        <v>3113</v>
      </c>
      <c r="E1596" s="87" t="s">
        <v>3114</v>
      </c>
      <c r="F1596" s="87">
        <v>32.6045284</v>
      </c>
      <c r="G1596" s="87">
        <v>44.061616089600001</v>
      </c>
      <c r="H1596" s="86">
        <v>48</v>
      </c>
      <c r="I1596" s="86">
        <v>288</v>
      </c>
      <c r="J1596" s="87"/>
      <c r="K1596" s="87"/>
      <c r="L1596" s="87"/>
      <c r="M1596" s="87"/>
      <c r="N1596" s="87"/>
      <c r="O1596" s="87"/>
      <c r="P1596" s="87"/>
      <c r="Q1596" s="87"/>
      <c r="R1596" s="87"/>
      <c r="S1596" s="87"/>
      <c r="T1596" s="87"/>
      <c r="U1596" s="87"/>
      <c r="V1596" s="87">
        <v>48</v>
      </c>
      <c r="W1596" s="87"/>
      <c r="X1596" s="87"/>
      <c r="Y1596" s="87"/>
      <c r="Z1596" s="87"/>
      <c r="AA1596" s="87"/>
      <c r="AB1596" s="87"/>
      <c r="AC1596" s="87"/>
      <c r="AD1596" s="87"/>
      <c r="AE1596" s="87"/>
      <c r="AF1596" s="87"/>
      <c r="AG1596" s="87"/>
      <c r="AH1596" s="87">
        <v>48</v>
      </c>
      <c r="AI1596" s="87"/>
      <c r="AJ1596" s="87"/>
      <c r="AK1596" s="87"/>
      <c r="AL1596" s="87"/>
      <c r="AM1596" s="87"/>
      <c r="AN1596" s="87"/>
      <c r="AO1596" s="87">
        <v>48</v>
      </c>
      <c r="AP1596" s="87"/>
      <c r="AQ1596" s="87"/>
      <c r="AR1596" s="87"/>
      <c r="AS1596" s="87"/>
      <c r="AT1596" s="87"/>
      <c r="AU1596" s="87"/>
      <c r="AV1596" s="87"/>
      <c r="AW1596" s="88" t="str">
        <f>HYPERLINK("http://www.openstreetmap.org/?mlat=32.6045&amp;mlon=44.0616&amp;zoom=12#map=12/32.6045/44.0616","Maplink1")</f>
        <v>Maplink1</v>
      </c>
      <c r="AX1596" s="88" t="str">
        <f>HYPERLINK("https://www.google.iq/maps/search/+32.6045,44.0616/@32.6045,44.0616,14z?hl=en","Maplink2")</f>
        <v>Maplink2</v>
      </c>
      <c r="AY1596" s="88" t="str">
        <f>HYPERLINK("http://www.bing.com/maps/?lvl=14&amp;sty=h&amp;cp=32.6045~44.0616&amp;sp=point.32.6045_44.0616","Maplink3")</f>
        <v>Maplink3</v>
      </c>
      <c r="AZ1596" s="76"/>
    </row>
    <row r="1597" spans="1:52" x14ac:dyDescent="0.25">
      <c r="A1597" s="86">
        <v>25847</v>
      </c>
      <c r="B1597" s="87" t="s">
        <v>19</v>
      </c>
      <c r="C1597" s="87" t="s">
        <v>19</v>
      </c>
      <c r="D1597" s="87" t="s">
        <v>3115</v>
      </c>
      <c r="E1597" s="87" t="s">
        <v>3116</v>
      </c>
      <c r="F1597" s="87">
        <v>32.600144499999999</v>
      </c>
      <c r="G1597" s="87">
        <v>44.046995000000003</v>
      </c>
      <c r="H1597" s="86">
        <v>13</v>
      </c>
      <c r="I1597" s="86">
        <v>78</v>
      </c>
      <c r="J1597" s="87"/>
      <c r="K1597" s="87"/>
      <c r="L1597" s="87"/>
      <c r="M1597" s="87"/>
      <c r="N1597" s="87"/>
      <c r="O1597" s="87"/>
      <c r="P1597" s="87"/>
      <c r="Q1597" s="87"/>
      <c r="R1597" s="87"/>
      <c r="S1597" s="87"/>
      <c r="T1597" s="87"/>
      <c r="U1597" s="87"/>
      <c r="V1597" s="87">
        <v>13</v>
      </c>
      <c r="W1597" s="87"/>
      <c r="X1597" s="87"/>
      <c r="Y1597" s="87"/>
      <c r="Z1597" s="87"/>
      <c r="AA1597" s="87"/>
      <c r="AB1597" s="87"/>
      <c r="AC1597" s="87"/>
      <c r="AD1597" s="87"/>
      <c r="AE1597" s="87"/>
      <c r="AF1597" s="87"/>
      <c r="AG1597" s="87"/>
      <c r="AH1597" s="87">
        <v>13</v>
      </c>
      <c r="AI1597" s="87"/>
      <c r="AJ1597" s="87"/>
      <c r="AK1597" s="87"/>
      <c r="AL1597" s="87"/>
      <c r="AM1597" s="87"/>
      <c r="AN1597" s="87"/>
      <c r="AO1597" s="87">
        <v>13</v>
      </c>
      <c r="AP1597" s="87"/>
      <c r="AQ1597" s="87"/>
      <c r="AR1597" s="87"/>
      <c r="AS1597" s="87"/>
      <c r="AT1597" s="87"/>
      <c r="AU1597" s="87"/>
      <c r="AV1597" s="87"/>
      <c r="AW1597" s="88" t="str">
        <f>HYPERLINK("http://www.openstreetmap.org/?mlat=32.6001&amp;mlon=44.047&amp;zoom=12#map=12/32.6001/44.047","Maplink1")</f>
        <v>Maplink1</v>
      </c>
      <c r="AX1597" s="88" t="str">
        <f>HYPERLINK("https://www.google.iq/maps/search/+32.6001,44.047/@32.6001,44.047,14z?hl=en","Maplink2")</f>
        <v>Maplink2</v>
      </c>
      <c r="AY1597" s="88" t="str">
        <f>HYPERLINK("http://www.bing.com/maps/?lvl=14&amp;sty=h&amp;cp=32.6001~44.047&amp;sp=point.32.6001_44.047","Maplink3")</f>
        <v>Maplink3</v>
      </c>
      <c r="AZ1597" s="76"/>
    </row>
    <row r="1598" spans="1:52" x14ac:dyDescent="0.25">
      <c r="A1598" s="86">
        <v>24137</v>
      </c>
      <c r="B1598" s="87" t="s">
        <v>19</v>
      </c>
      <c r="C1598" s="87" t="s">
        <v>19</v>
      </c>
      <c r="D1598" s="87" t="s">
        <v>3117</v>
      </c>
      <c r="E1598" s="87" t="s">
        <v>3118</v>
      </c>
      <c r="F1598" s="87">
        <v>32.618003100000003</v>
      </c>
      <c r="G1598" s="87">
        <v>44.043442322399997</v>
      </c>
      <c r="H1598" s="86">
        <v>28</v>
      </c>
      <c r="I1598" s="86">
        <v>168</v>
      </c>
      <c r="J1598" s="87"/>
      <c r="K1598" s="87"/>
      <c r="L1598" s="87"/>
      <c r="M1598" s="87"/>
      <c r="N1598" s="87"/>
      <c r="O1598" s="87"/>
      <c r="P1598" s="87"/>
      <c r="Q1598" s="87"/>
      <c r="R1598" s="87"/>
      <c r="S1598" s="87"/>
      <c r="T1598" s="87"/>
      <c r="U1598" s="87"/>
      <c r="V1598" s="87">
        <v>28</v>
      </c>
      <c r="W1598" s="87"/>
      <c r="X1598" s="87"/>
      <c r="Y1598" s="87"/>
      <c r="Z1598" s="87"/>
      <c r="AA1598" s="87"/>
      <c r="AB1598" s="87"/>
      <c r="AC1598" s="87"/>
      <c r="AD1598" s="87"/>
      <c r="AE1598" s="87"/>
      <c r="AF1598" s="87"/>
      <c r="AG1598" s="87"/>
      <c r="AH1598" s="87">
        <v>28</v>
      </c>
      <c r="AI1598" s="87"/>
      <c r="AJ1598" s="87"/>
      <c r="AK1598" s="87"/>
      <c r="AL1598" s="87"/>
      <c r="AM1598" s="87"/>
      <c r="AN1598" s="87"/>
      <c r="AO1598" s="87">
        <v>28</v>
      </c>
      <c r="AP1598" s="87"/>
      <c r="AQ1598" s="87"/>
      <c r="AR1598" s="87"/>
      <c r="AS1598" s="87"/>
      <c r="AT1598" s="87"/>
      <c r="AU1598" s="87"/>
      <c r="AV1598" s="87"/>
      <c r="AW1598" s="88" t="str">
        <f>HYPERLINK("http://www.openstreetmap.org/?mlat=32.618&amp;mlon=44.0434&amp;zoom=12#map=12/32.618/44.0434","Maplink1")</f>
        <v>Maplink1</v>
      </c>
      <c r="AX1598" s="88" t="str">
        <f>HYPERLINK("https://www.google.iq/maps/search/+32.618,44.0434/@32.618,44.0434,14z?hl=en","Maplink2")</f>
        <v>Maplink2</v>
      </c>
      <c r="AY1598" s="88" t="str">
        <f>HYPERLINK("http://www.bing.com/maps/?lvl=14&amp;sty=h&amp;cp=32.618~44.0434&amp;sp=point.32.618_44.0434","Maplink3")</f>
        <v>Maplink3</v>
      </c>
      <c r="AZ1598" s="76"/>
    </row>
    <row r="1599" spans="1:52" x14ac:dyDescent="0.25">
      <c r="A1599" s="86">
        <v>24578</v>
      </c>
      <c r="B1599" s="87" t="s">
        <v>19</v>
      </c>
      <c r="C1599" s="87" t="s">
        <v>19</v>
      </c>
      <c r="D1599" s="87" t="s">
        <v>3119</v>
      </c>
      <c r="E1599" s="87" t="s">
        <v>3120</v>
      </c>
      <c r="F1599" s="87">
        <v>32.604641614400002</v>
      </c>
      <c r="G1599" s="87">
        <v>43.999633753300003</v>
      </c>
      <c r="H1599" s="86">
        <v>15</v>
      </c>
      <c r="I1599" s="86">
        <v>90</v>
      </c>
      <c r="J1599" s="87"/>
      <c r="K1599" s="87"/>
      <c r="L1599" s="87"/>
      <c r="M1599" s="87"/>
      <c r="N1599" s="87"/>
      <c r="O1599" s="87"/>
      <c r="P1599" s="87"/>
      <c r="Q1599" s="87"/>
      <c r="R1599" s="87"/>
      <c r="S1599" s="87"/>
      <c r="T1599" s="87"/>
      <c r="U1599" s="87"/>
      <c r="V1599" s="87">
        <v>15</v>
      </c>
      <c r="W1599" s="87"/>
      <c r="X1599" s="87"/>
      <c r="Y1599" s="87"/>
      <c r="Z1599" s="87"/>
      <c r="AA1599" s="87"/>
      <c r="AB1599" s="87"/>
      <c r="AC1599" s="87"/>
      <c r="AD1599" s="87"/>
      <c r="AE1599" s="87"/>
      <c r="AF1599" s="87"/>
      <c r="AG1599" s="87"/>
      <c r="AH1599" s="87">
        <v>15</v>
      </c>
      <c r="AI1599" s="87"/>
      <c r="AJ1599" s="87"/>
      <c r="AK1599" s="87"/>
      <c r="AL1599" s="87"/>
      <c r="AM1599" s="87"/>
      <c r="AN1599" s="87"/>
      <c r="AO1599" s="87">
        <v>15</v>
      </c>
      <c r="AP1599" s="87"/>
      <c r="AQ1599" s="87"/>
      <c r="AR1599" s="87"/>
      <c r="AS1599" s="87"/>
      <c r="AT1599" s="87"/>
      <c r="AU1599" s="87"/>
      <c r="AV1599" s="87"/>
      <c r="AW1599" s="88" t="str">
        <f>HYPERLINK("http://www.openstreetmap.org/?mlat=32.6046&amp;mlon=43.9996&amp;zoom=12#map=12/32.6046/43.9996","Maplink1")</f>
        <v>Maplink1</v>
      </c>
      <c r="AX1599" s="88" t="str">
        <f>HYPERLINK("https://www.google.iq/maps/search/+32.6046,43.9996/@32.6046,43.9996,14z?hl=en","Maplink2")</f>
        <v>Maplink2</v>
      </c>
      <c r="AY1599" s="88" t="str">
        <f>HYPERLINK("http://www.bing.com/maps/?lvl=14&amp;sty=h&amp;cp=32.6046~43.9996&amp;sp=point.32.6046_43.9996","Maplink3")</f>
        <v>Maplink3</v>
      </c>
      <c r="AZ1599" s="76"/>
    </row>
    <row r="1600" spans="1:52" x14ac:dyDescent="0.25">
      <c r="A1600" s="86">
        <v>25846</v>
      </c>
      <c r="B1600" s="87" t="s">
        <v>19</v>
      </c>
      <c r="C1600" s="87" t="s">
        <v>19</v>
      </c>
      <c r="D1600" s="87" t="s">
        <v>3121</v>
      </c>
      <c r="E1600" s="87" t="s">
        <v>3122</v>
      </c>
      <c r="F1600" s="87">
        <v>32.605659500000002</v>
      </c>
      <c r="G1600" s="87">
        <v>44.070549300000003</v>
      </c>
      <c r="H1600" s="86">
        <v>18</v>
      </c>
      <c r="I1600" s="86">
        <v>108</v>
      </c>
      <c r="J1600" s="87"/>
      <c r="K1600" s="87"/>
      <c r="L1600" s="87"/>
      <c r="M1600" s="87"/>
      <c r="N1600" s="87"/>
      <c r="O1600" s="87"/>
      <c r="P1600" s="87"/>
      <c r="Q1600" s="87"/>
      <c r="R1600" s="87"/>
      <c r="S1600" s="87"/>
      <c r="T1600" s="87"/>
      <c r="U1600" s="87"/>
      <c r="V1600" s="87">
        <v>18</v>
      </c>
      <c r="W1600" s="87"/>
      <c r="X1600" s="87"/>
      <c r="Y1600" s="87"/>
      <c r="Z1600" s="87"/>
      <c r="AA1600" s="87"/>
      <c r="AB1600" s="87"/>
      <c r="AC1600" s="87"/>
      <c r="AD1600" s="87"/>
      <c r="AE1600" s="87"/>
      <c r="AF1600" s="87"/>
      <c r="AG1600" s="87"/>
      <c r="AH1600" s="87">
        <v>18</v>
      </c>
      <c r="AI1600" s="87"/>
      <c r="AJ1600" s="87"/>
      <c r="AK1600" s="87"/>
      <c r="AL1600" s="87"/>
      <c r="AM1600" s="87"/>
      <c r="AN1600" s="87"/>
      <c r="AO1600" s="87">
        <v>18</v>
      </c>
      <c r="AP1600" s="87"/>
      <c r="AQ1600" s="87"/>
      <c r="AR1600" s="87"/>
      <c r="AS1600" s="87"/>
      <c r="AT1600" s="87"/>
      <c r="AU1600" s="87"/>
      <c r="AV1600" s="87"/>
      <c r="AW1600" s="88" t="str">
        <f>HYPERLINK("http://www.openstreetmap.org/?mlat=32.6057&amp;mlon=44.0705&amp;zoom=12#map=12/32.6057/44.0705","Maplink1")</f>
        <v>Maplink1</v>
      </c>
      <c r="AX1600" s="88" t="str">
        <f>HYPERLINK("https://www.google.iq/maps/search/+32.6057,44.0705/@32.6057,44.0705,14z?hl=en","Maplink2")</f>
        <v>Maplink2</v>
      </c>
      <c r="AY1600" s="88" t="str">
        <f>HYPERLINK("http://www.bing.com/maps/?lvl=14&amp;sty=h&amp;cp=32.6057~44.0705&amp;sp=point.32.6057_44.0705","Maplink3")</f>
        <v>Maplink3</v>
      </c>
      <c r="AZ1600" s="76"/>
    </row>
    <row r="1601" spans="1:52" x14ac:dyDescent="0.25">
      <c r="A1601" s="86">
        <v>25363</v>
      </c>
      <c r="B1601" s="87" t="s">
        <v>19</v>
      </c>
      <c r="C1601" s="87" t="s">
        <v>19</v>
      </c>
      <c r="D1601" s="87" t="s">
        <v>3123</v>
      </c>
      <c r="E1601" s="87" t="s">
        <v>3124</v>
      </c>
      <c r="F1601" s="87">
        <v>32.579427799999998</v>
      </c>
      <c r="G1601" s="87">
        <v>43.998512552999998</v>
      </c>
      <c r="H1601" s="86">
        <v>11</v>
      </c>
      <c r="I1601" s="86">
        <v>66</v>
      </c>
      <c r="J1601" s="87"/>
      <c r="K1601" s="87"/>
      <c r="L1601" s="87"/>
      <c r="M1601" s="87"/>
      <c r="N1601" s="87"/>
      <c r="O1601" s="87">
        <v>3</v>
      </c>
      <c r="P1601" s="87"/>
      <c r="Q1601" s="87"/>
      <c r="R1601" s="87"/>
      <c r="S1601" s="87"/>
      <c r="T1601" s="87"/>
      <c r="U1601" s="87"/>
      <c r="V1601" s="87">
        <v>8</v>
      </c>
      <c r="W1601" s="87"/>
      <c r="X1601" s="87"/>
      <c r="Y1601" s="87"/>
      <c r="Z1601" s="87"/>
      <c r="AA1601" s="87"/>
      <c r="AB1601" s="87"/>
      <c r="AC1601" s="87"/>
      <c r="AD1601" s="87"/>
      <c r="AE1601" s="87"/>
      <c r="AF1601" s="87"/>
      <c r="AG1601" s="87"/>
      <c r="AH1601" s="87">
        <v>11</v>
      </c>
      <c r="AI1601" s="87"/>
      <c r="AJ1601" s="87"/>
      <c r="AK1601" s="87"/>
      <c r="AL1601" s="87"/>
      <c r="AM1601" s="87"/>
      <c r="AN1601" s="87"/>
      <c r="AO1601" s="87">
        <v>11</v>
      </c>
      <c r="AP1601" s="87"/>
      <c r="AQ1601" s="87"/>
      <c r="AR1601" s="87"/>
      <c r="AS1601" s="87"/>
      <c r="AT1601" s="87"/>
      <c r="AU1601" s="87"/>
      <c r="AV1601" s="87"/>
      <c r="AW1601" s="88" t="str">
        <f>HYPERLINK("http://www.openstreetmap.org/?mlat=32.5794&amp;mlon=43.9985&amp;zoom=12#map=12/32.5794/43.9985","Maplink1")</f>
        <v>Maplink1</v>
      </c>
      <c r="AX1601" s="88" t="str">
        <f>HYPERLINK("https://www.google.iq/maps/search/+32.5794,43.9985/@32.5794,43.9985,14z?hl=en","Maplink2")</f>
        <v>Maplink2</v>
      </c>
      <c r="AY1601" s="88" t="str">
        <f>HYPERLINK("http://www.bing.com/maps/?lvl=14&amp;sty=h&amp;cp=32.5794~43.9985&amp;sp=point.32.5794_43.9985","Maplink3")</f>
        <v>Maplink3</v>
      </c>
      <c r="AZ1601" s="76"/>
    </row>
    <row r="1602" spans="1:52" x14ac:dyDescent="0.25">
      <c r="A1602" s="86">
        <v>25536</v>
      </c>
      <c r="B1602" s="87" t="s">
        <v>19</v>
      </c>
      <c r="C1602" s="87" t="s">
        <v>19</v>
      </c>
      <c r="D1602" s="87" t="s">
        <v>3125</v>
      </c>
      <c r="E1602" s="87" t="s">
        <v>3126</v>
      </c>
      <c r="F1602" s="87">
        <v>32.578123699999999</v>
      </c>
      <c r="G1602" s="87">
        <v>43.997429664099997</v>
      </c>
      <c r="H1602" s="86">
        <v>2</v>
      </c>
      <c r="I1602" s="86">
        <v>12</v>
      </c>
      <c r="J1602" s="87"/>
      <c r="K1602" s="87"/>
      <c r="L1602" s="87"/>
      <c r="M1602" s="87"/>
      <c r="N1602" s="87"/>
      <c r="O1602" s="87">
        <v>2</v>
      </c>
      <c r="P1602" s="87"/>
      <c r="Q1602" s="87"/>
      <c r="R1602" s="87"/>
      <c r="S1602" s="87"/>
      <c r="T1602" s="87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87"/>
      <c r="AE1602" s="87"/>
      <c r="AF1602" s="87"/>
      <c r="AG1602" s="87"/>
      <c r="AH1602" s="87">
        <v>2</v>
      </c>
      <c r="AI1602" s="87"/>
      <c r="AJ1602" s="87"/>
      <c r="AK1602" s="87"/>
      <c r="AL1602" s="87"/>
      <c r="AM1602" s="87"/>
      <c r="AN1602" s="87"/>
      <c r="AO1602" s="87">
        <v>2</v>
      </c>
      <c r="AP1602" s="87"/>
      <c r="AQ1602" s="87"/>
      <c r="AR1602" s="87"/>
      <c r="AS1602" s="87"/>
      <c r="AT1602" s="87"/>
      <c r="AU1602" s="87"/>
      <c r="AV1602" s="87"/>
      <c r="AW1602" s="88" t="str">
        <f>HYPERLINK("http://www.openstreetmap.org/?mlat=32.5781&amp;mlon=43.9974&amp;zoom=12#map=12/32.5781/43.9974","Maplink1")</f>
        <v>Maplink1</v>
      </c>
      <c r="AX1602" s="88" t="str">
        <f>HYPERLINK("https://www.google.iq/maps/search/+32.5781,43.9974/@32.5781,43.9974,14z?hl=en","Maplink2")</f>
        <v>Maplink2</v>
      </c>
      <c r="AY1602" s="88" t="str">
        <f>HYPERLINK("http://www.bing.com/maps/?lvl=14&amp;sty=h&amp;cp=32.5781~43.9974&amp;sp=point.32.5781_43.9974","Maplink3")</f>
        <v>Maplink3</v>
      </c>
      <c r="AZ1602" s="76"/>
    </row>
    <row r="1603" spans="1:52" x14ac:dyDescent="0.25">
      <c r="A1603" s="86">
        <v>14280</v>
      </c>
      <c r="B1603" s="87" t="s">
        <v>19</v>
      </c>
      <c r="C1603" s="87" t="s">
        <v>19</v>
      </c>
      <c r="D1603" s="87" t="s">
        <v>3127</v>
      </c>
      <c r="E1603" s="87" t="s">
        <v>3128</v>
      </c>
      <c r="F1603" s="87">
        <v>32.580071070499997</v>
      </c>
      <c r="G1603" s="87">
        <v>43.991931200000003</v>
      </c>
      <c r="H1603" s="86">
        <v>25</v>
      </c>
      <c r="I1603" s="86">
        <v>150</v>
      </c>
      <c r="J1603" s="87">
        <v>4</v>
      </c>
      <c r="K1603" s="87"/>
      <c r="L1603" s="87"/>
      <c r="M1603" s="87"/>
      <c r="N1603" s="87"/>
      <c r="O1603" s="87">
        <v>4</v>
      </c>
      <c r="P1603" s="87"/>
      <c r="Q1603" s="87"/>
      <c r="R1603" s="87">
        <v>3</v>
      </c>
      <c r="S1603" s="87"/>
      <c r="T1603" s="87"/>
      <c r="U1603" s="87"/>
      <c r="V1603" s="87">
        <v>13</v>
      </c>
      <c r="W1603" s="87"/>
      <c r="X1603" s="87">
        <v>1</v>
      </c>
      <c r="Y1603" s="87"/>
      <c r="Z1603" s="87"/>
      <c r="AA1603" s="87"/>
      <c r="AB1603" s="87"/>
      <c r="AC1603" s="87"/>
      <c r="AD1603" s="87"/>
      <c r="AE1603" s="87"/>
      <c r="AF1603" s="87"/>
      <c r="AG1603" s="87"/>
      <c r="AH1603" s="87">
        <v>25</v>
      </c>
      <c r="AI1603" s="87"/>
      <c r="AJ1603" s="87"/>
      <c r="AK1603" s="87"/>
      <c r="AL1603" s="87"/>
      <c r="AM1603" s="87"/>
      <c r="AN1603" s="87">
        <v>4</v>
      </c>
      <c r="AO1603" s="87">
        <v>21</v>
      </c>
      <c r="AP1603" s="87"/>
      <c r="AQ1603" s="87"/>
      <c r="AR1603" s="87"/>
      <c r="AS1603" s="87"/>
      <c r="AT1603" s="87"/>
      <c r="AU1603" s="87"/>
      <c r="AV1603" s="87"/>
      <c r="AW1603" s="88" t="str">
        <f>HYPERLINK("http://www.openstreetmap.org/?mlat=32.5801&amp;mlon=43.9919&amp;zoom=12#map=12/32.5801/43.9919","Maplink1")</f>
        <v>Maplink1</v>
      </c>
      <c r="AX1603" s="88" t="str">
        <f>HYPERLINK("https://www.google.iq/maps/search/+32.5801,43.9919/@32.5801,43.9919,14z?hl=en","Maplink2")</f>
        <v>Maplink2</v>
      </c>
      <c r="AY1603" s="88" t="str">
        <f>HYPERLINK("http://www.bing.com/maps/?lvl=14&amp;sty=h&amp;cp=32.5801~43.9919&amp;sp=point.32.5801_43.9919","Maplink3")</f>
        <v>Maplink3</v>
      </c>
      <c r="AZ1603" s="76"/>
    </row>
    <row r="1604" spans="1:52" x14ac:dyDescent="0.25">
      <c r="A1604" s="86">
        <v>25056</v>
      </c>
      <c r="B1604" s="87" t="s">
        <v>19</v>
      </c>
      <c r="C1604" s="87" t="s">
        <v>19</v>
      </c>
      <c r="D1604" s="87" t="s">
        <v>3129</v>
      </c>
      <c r="E1604" s="87" t="s">
        <v>3130</v>
      </c>
      <c r="F1604" s="87">
        <v>32.591482599999999</v>
      </c>
      <c r="G1604" s="87">
        <v>44.070784313300003</v>
      </c>
      <c r="H1604" s="86">
        <v>8</v>
      </c>
      <c r="I1604" s="86">
        <v>48</v>
      </c>
      <c r="J1604" s="87"/>
      <c r="K1604" s="87"/>
      <c r="L1604" s="87">
        <v>1</v>
      </c>
      <c r="M1604" s="87"/>
      <c r="N1604" s="87"/>
      <c r="O1604" s="87">
        <v>3</v>
      </c>
      <c r="P1604" s="87"/>
      <c r="Q1604" s="87"/>
      <c r="R1604" s="87"/>
      <c r="S1604" s="87"/>
      <c r="T1604" s="87"/>
      <c r="U1604" s="87"/>
      <c r="V1604" s="87">
        <v>4</v>
      </c>
      <c r="W1604" s="87"/>
      <c r="X1604" s="87"/>
      <c r="Y1604" s="87"/>
      <c r="Z1604" s="87"/>
      <c r="AA1604" s="87"/>
      <c r="AB1604" s="87"/>
      <c r="AC1604" s="87"/>
      <c r="AD1604" s="87"/>
      <c r="AE1604" s="87"/>
      <c r="AF1604" s="87"/>
      <c r="AG1604" s="87">
        <v>4</v>
      </c>
      <c r="AH1604" s="87">
        <v>4</v>
      </c>
      <c r="AI1604" s="87"/>
      <c r="AJ1604" s="87"/>
      <c r="AK1604" s="87"/>
      <c r="AL1604" s="87"/>
      <c r="AM1604" s="87"/>
      <c r="AN1604" s="87">
        <v>3</v>
      </c>
      <c r="AO1604" s="87">
        <v>4</v>
      </c>
      <c r="AP1604" s="87">
        <v>1</v>
      </c>
      <c r="AQ1604" s="87"/>
      <c r="AR1604" s="87"/>
      <c r="AS1604" s="87"/>
      <c r="AT1604" s="87"/>
      <c r="AU1604" s="87"/>
      <c r="AV1604" s="87"/>
      <c r="AW1604" s="88" t="str">
        <f>HYPERLINK("http://www.openstreetmap.org/?mlat=32.5915&amp;mlon=44.0708&amp;zoom=12#map=12/32.5915/44.0708","Maplink1")</f>
        <v>Maplink1</v>
      </c>
      <c r="AX1604" s="88" t="str">
        <f>HYPERLINK("https://www.google.iq/maps/search/+32.5915,44.0708/@32.5915,44.0708,14z?hl=en","Maplink2")</f>
        <v>Maplink2</v>
      </c>
      <c r="AY1604" s="88" t="str">
        <f>HYPERLINK("http://www.bing.com/maps/?lvl=14&amp;sty=h&amp;cp=32.5915~44.0708&amp;sp=point.32.5915_44.0708","Maplink3")</f>
        <v>Maplink3</v>
      </c>
      <c r="AZ1604" s="76"/>
    </row>
    <row r="1605" spans="1:52" x14ac:dyDescent="0.25">
      <c r="A1605" s="86">
        <v>25548</v>
      </c>
      <c r="B1605" s="87" t="s">
        <v>19</v>
      </c>
      <c r="C1605" s="87" t="s">
        <v>19</v>
      </c>
      <c r="D1605" s="87" t="s">
        <v>3131</v>
      </c>
      <c r="E1605" s="87" t="s">
        <v>3132</v>
      </c>
      <c r="F1605" s="87">
        <v>32.640941699999999</v>
      </c>
      <c r="G1605" s="87">
        <v>43.976396999999999</v>
      </c>
      <c r="H1605" s="86">
        <v>7</v>
      </c>
      <c r="I1605" s="86">
        <v>42</v>
      </c>
      <c r="J1605" s="87">
        <v>1</v>
      </c>
      <c r="K1605" s="87"/>
      <c r="L1605" s="87"/>
      <c r="M1605" s="87"/>
      <c r="N1605" s="87"/>
      <c r="O1605" s="87"/>
      <c r="P1605" s="87"/>
      <c r="Q1605" s="87"/>
      <c r="R1605" s="87"/>
      <c r="S1605" s="87"/>
      <c r="T1605" s="87"/>
      <c r="U1605" s="87"/>
      <c r="V1605" s="87">
        <v>5</v>
      </c>
      <c r="W1605" s="87"/>
      <c r="X1605" s="87">
        <v>1</v>
      </c>
      <c r="Y1605" s="87"/>
      <c r="Z1605" s="87"/>
      <c r="AA1605" s="87"/>
      <c r="AB1605" s="87"/>
      <c r="AC1605" s="87"/>
      <c r="AD1605" s="87"/>
      <c r="AE1605" s="87"/>
      <c r="AF1605" s="87"/>
      <c r="AG1605" s="87"/>
      <c r="AH1605" s="87">
        <v>7</v>
      </c>
      <c r="AI1605" s="87"/>
      <c r="AJ1605" s="87"/>
      <c r="AK1605" s="87"/>
      <c r="AL1605" s="87"/>
      <c r="AM1605" s="87"/>
      <c r="AN1605" s="87">
        <v>1</v>
      </c>
      <c r="AO1605" s="87">
        <v>5</v>
      </c>
      <c r="AP1605" s="87">
        <v>1</v>
      </c>
      <c r="AQ1605" s="87"/>
      <c r="AR1605" s="87"/>
      <c r="AS1605" s="87"/>
      <c r="AT1605" s="87"/>
      <c r="AU1605" s="87"/>
      <c r="AV1605" s="87"/>
      <c r="AW1605" s="88" t="str">
        <f>HYPERLINK("http://www.openstreetmap.org/?mlat=32.6409&amp;mlon=43.9764&amp;zoom=12#map=12/32.6409/43.9764","Maplink1")</f>
        <v>Maplink1</v>
      </c>
      <c r="AX1605" s="88" t="str">
        <f>HYPERLINK("https://www.google.iq/maps/search/+32.6409,43.9764/@32.6409,43.9764,14z?hl=en","Maplink2")</f>
        <v>Maplink2</v>
      </c>
      <c r="AY1605" s="88" t="str">
        <f>HYPERLINK("http://www.bing.com/maps/?lvl=14&amp;sty=h&amp;cp=32.6409~43.9764&amp;sp=point.32.6409_43.9764","Maplink3")</f>
        <v>Maplink3</v>
      </c>
      <c r="AZ1605" s="76"/>
    </row>
    <row r="1606" spans="1:52" x14ac:dyDescent="0.25">
      <c r="A1606" s="86">
        <v>14281</v>
      </c>
      <c r="B1606" s="87" t="s">
        <v>19</v>
      </c>
      <c r="C1606" s="87" t="s">
        <v>19</v>
      </c>
      <c r="D1606" s="87" t="s">
        <v>3133</v>
      </c>
      <c r="E1606" s="87" t="s">
        <v>3134</v>
      </c>
      <c r="F1606" s="87">
        <v>32.606942099999998</v>
      </c>
      <c r="G1606" s="87">
        <v>44.041464400000002</v>
      </c>
      <c r="H1606" s="86">
        <v>53</v>
      </c>
      <c r="I1606" s="86">
        <v>318</v>
      </c>
      <c r="J1606" s="87"/>
      <c r="K1606" s="87"/>
      <c r="L1606" s="87"/>
      <c r="M1606" s="87"/>
      <c r="N1606" s="87"/>
      <c r="O1606" s="87"/>
      <c r="P1606" s="87"/>
      <c r="Q1606" s="87"/>
      <c r="R1606" s="87"/>
      <c r="S1606" s="87"/>
      <c r="T1606" s="87"/>
      <c r="U1606" s="87"/>
      <c r="V1606" s="87">
        <v>53</v>
      </c>
      <c r="W1606" s="87"/>
      <c r="X1606" s="87"/>
      <c r="Y1606" s="87"/>
      <c r="Z1606" s="87"/>
      <c r="AA1606" s="87"/>
      <c r="AB1606" s="87"/>
      <c r="AC1606" s="87"/>
      <c r="AD1606" s="87"/>
      <c r="AE1606" s="87"/>
      <c r="AF1606" s="87"/>
      <c r="AG1606" s="87"/>
      <c r="AH1606" s="87">
        <v>53</v>
      </c>
      <c r="AI1606" s="87"/>
      <c r="AJ1606" s="87"/>
      <c r="AK1606" s="87"/>
      <c r="AL1606" s="87"/>
      <c r="AM1606" s="87"/>
      <c r="AN1606" s="87"/>
      <c r="AO1606" s="87">
        <v>53</v>
      </c>
      <c r="AP1606" s="87"/>
      <c r="AQ1606" s="87"/>
      <c r="AR1606" s="87"/>
      <c r="AS1606" s="87"/>
      <c r="AT1606" s="87"/>
      <c r="AU1606" s="87"/>
      <c r="AV1606" s="87"/>
      <c r="AW1606" s="88" t="str">
        <f>HYPERLINK("http://www.openstreetmap.org/?mlat=32.6069&amp;mlon=44.0415&amp;zoom=12#map=12/32.6069/44.0415","Maplink1")</f>
        <v>Maplink1</v>
      </c>
      <c r="AX1606" s="88" t="str">
        <f>HYPERLINK("https://www.google.iq/maps/search/+32.6069,44.0415/@32.6069,44.0415,14z?hl=en","Maplink2")</f>
        <v>Maplink2</v>
      </c>
      <c r="AY1606" s="88" t="str">
        <f>HYPERLINK("http://www.bing.com/maps/?lvl=14&amp;sty=h&amp;cp=32.6069~44.0415&amp;sp=point.32.6069_44.0415","Maplink3")</f>
        <v>Maplink3</v>
      </c>
      <c r="AZ1606" s="76"/>
    </row>
    <row r="1607" spans="1:52" x14ac:dyDescent="0.25">
      <c r="A1607" s="86">
        <v>25849</v>
      </c>
      <c r="B1607" s="87" t="s">
        <v>19</v>
      </c>
      <c r="C1607" s="87" t="s">
        <v>19</v>
      </c>
      <c r="D1607" s="87" t="s">
        <v>3135</v>
      </c>
      <c r="E1607" s="87" t="s">
        <v>3136</v>
      </c>
      <c r="F1607" s="87">
        <v>32.561011499999999</v>
      </c>
      <c r="G1607" s="87">
        <v>44.065455</v>
      </c>
      <c r="H1607" s="86">
        <v>4</v>
      </c>
      <c r="I1607" s="86">
        <v>24</v>
      </c>
      <c r="J1607" s="87"/>
      <c r="K1607" s="87"/>
      <c r="L1607" s="87"/>
      <c r="M1607" s="87"/>
      <c r="N1607" s="87"/>
      <c r="O1607" s="87"/>
      <c r="P1607" s="87"/>
      <c r="Q1607" s="87"/>
      <c r="R1607" s="87"/>
      <c r="S1607" s="87"/>
      <c r="T1607" s="87"/>
      <c r="U1607" s="87"/>
      <c r="V1607" s="87">
        <v>4</v>
      </c>
      <c r="W1607" s="87"/>
      <c r="X1607" s="87"/>
      <c r="Y1607" s="87"/>
      <c r="Z1607" s="87"/>
      <c r="AA1607" s="87"/>
      <c r="AB1607" s="87"/>
      <c r="AC1607" s="87"/>
      <c r="AD1607" s="87"/>
      <c r="AE1607" s="87"/>
      <c r="AF1607" s="87"/>
      <c r="AG1607" s="87"/>
      <c r="AH1607" s="87">
        <v>4</v>
      </c>
      <c r="AI1607" s="87"/>
      <c r="AJ1607" s="87"/>
      <c r="AK1607" s="87"/>
      <c r="AL1607" s="87"/>
      <c r="AM1607" s="87"/>
      <c r="AN1607" s="87"/>
      <c r="AO1607" s="87">
        <v>4</v>
      </c>
      <c r="AP1607" s="87"/>
      <c r="AQ1607" s="87"/>
      <c r="AR1607" s="87"/>
      <c r="AS1607" s="87"/>
      <c r="AT1607" s="87"/>
      <c r="AU1607" s="87"/>
      <c r="AV1607" s="87"/>
      <c r="AW1607" s="88" t="str">
        <f>HYPERLINK("http://www.openstreetmap.org/?mlat=32.561&amp;mlon=44.0655&amp;zoom=12#map=12/32.561/44.0655","Maplink1")</f>
        <v>Maplink1</v>
      </c>
      <c r="AX1607" s="88" t="str">
        <f>HYPERLINK("https://www.google.iq/maps/search/+32.561,44.0655/@32.561,44.0655,14z?hl=en","Maplink2")</f>
        <v>Maplink2</v>
      </c>
      <c r="AY1607" s="88" t="str">
        <f>HYPERLINK("http://www.bing.com/maps/?lvl=14&amp;sty=h&amp;cp=32.561~44.0655&amp;sp=point.32.561_44.0655","Maplink3")</f>
        <v>Maplink3</v>
      </c>
      <c r="AZ1607" s="76"/>
    </row>
    <row r="1608" spans="1:52" x14ac:dyDescent="0.25">
      <c r="A1608" s="86">
        <v>25733</v>
      </c>
      <c r="B1608" s="87" t="s">
        <v>19</v>
      </c>
      <c r="C1608" s="87" t="s">
        <v>19</v>
      </c>
      <c r="D1608" s="87" t="s">
        <v>3137</v>
      </c>
      <c r="E1608" s="87" t="s">
        <v>3138</v>
      </c>
      <c r="F1608" s="87">
        <v>32.602688071800003</v>
      </c>
      <c r="G1608" s="87">
        <v>43.996364094500002</v>
      </c>
      <c r="H1608" s="86">
        <v>14</v>
      </c>
      <c r="I1608" s="86">
        <v>84</v>
      </c>
      <c r="J1608" s="87"/>
      <c r="K1608" s="87"/>
      <c r="L1608" s="87"/>
      <c r="M1608" s="87"/>
      <c r="N1608" s="87"/>
      <c r="O1608" s="87"/>
      <c r="P1608" s="87"/>
      <c r="Q1608" s="87"/>
      <c r="R1608" s="87"/>
      <c r="S1608" s="87"/>
      <c r="T1608" s="87"/>
      <c r="U1608" s="87"/>
      <c r="V1608" s="87">
        <v>14</v>
      </c>
      <c r="W1608" s="87"/>
      <c r="X1608" s="87"/>
      <c r="Y1608" s="87"/>
      <c r="Z1608" s="87"/>
      <c r="AA1608" s="87"/>
      <c r="AB1608" s="87"/>
      <c r="AC1608" s="87"/>
      <c r="AD1608" s="87"/>
      <c r="AE1608" s="87"/>
      <c r="AF1608" s="87"/>
      <c r="AG1608" s="87"/>
      <c r="AH1608" s="87">
        <v>14</v>
      </c>
      <c r="AI1608" s="87"/>
      <c r="AJ1608" s="87"/>
      <c r="AK1608" s="87"/>
      <c r="AL1608" s="87"/>
      <c r="AM1608" s="87"/>
      <c r="AN1608" s="87"/>
      <c r="AO1608" s="87">
        <v>14</v>
      </c>
      <c r="AP1608" s="87"/>
      <c r="AQ1608" s="87"/>
      <c r="AR1608" s="87"/>
      <c r="AS1608" s="87"/>
      <c r="AT1608" s="87"/>
      <c r="AU1608" s="87"/>
      <c r="AV1608" s="87"/>
      <c r="AW1608" s="88" t="str">
        <f>HYPERLINK("http://www.openstreetmap.org/?mlat=32.6027&amp;mlon=43.9964&amp;zoom=12#map=12/32.6027/43.9964","Maplink1")</f>
        <v>Maplink1</v>
      </c>
      <c r="AX1608" s="88" t="str">
        <f>HYPERLINK("https://www.google.iq/maps/search/+32.6027,43.9964/@32.6027,43.9964,14z?hl=en","Maplink2")</f>
        <v>Maplink2</v>
      </c>
      <c r="AY1608" s="88" t="str">
        <f>HYPERLINK("http://www.bing.com/maps/?lvl=14&amp;sty=h&amp;cp=32.6027~43.9964&amp;sp=point.32.6027_43.9964","Maplink3")</f>
        <v>Maplink3</v>
      </c>
      <c r="AZ1608" s="76"/>
    </row>
    <row r="1609" spans="1:52" x14ac:dyDescent="0.25">
      <c r="A1609" s="86">
        <v>27265</v>
      </c>
      <c r="B1609" s="87" t="s">
        <v>19</v>
      </c>
      <c r="C1609" s="87" t="s">
        <v>19</v>
      </c>
      <c r="D1609" s="87" t="s">
        <v>3139</v>
      </c>
      <c r="E1609" s="87" t="s">
        <v>3140</v>
      </c>
      <c r="F1609" s="87">
        <v>32.5719858</v>
      </c>
      <c r="G1609" s="87">
        <v>44.021081199999998</v>
      </c>
      <c r="H1609" s="86">
        <v>10</v>
      </c>
      <c r="I1609" s="86">
        <v>60</v>
      </c>
      <c r="J1609" s="87"/>
      <c r="K1609" s="87"/>
      <c r="L1609" s="87"/>
      <c r="M1609" s="87"/>
      <c r="N1609" s="87"/>
      <c r="O1609" s="87"/>
      <c r="P1609" s="87"/>
      <c r="Q1609" s="87"/>
      <c r="R1609" s="87"/>
      <c r="S1609" s="87"/>
      <c r="T1609" s="87"/>
      <c r="U1609" s="87"/>
      <c r="V1609" s="87">
        <v>10</v>
      </c>
      <c r="W1609" s="87"/>
      <c r="X1609" s="87"/>
      <c r="Y1609" s="87"/>
      <c r="Z1609" s="87"/>
      <c r="AA1609" s="87"/>
      <c r="AB1609" s="87"/>
      <c r="AC1609" s="87"/>
      <c r="AD1609" s="87"/>
      <c r="AE1609" s="87"/>
      <c r="AF1609" s="87"/>
      <c r="AG1609" s="87"/>
      <c r="AH1609" s="87">
        <v>10</v>
      </c>
      <c r="AI1609" s="87"/>
      <c r="AJ1609" s="87"/>
      <c r="AK1609" s="87"/>
      <c r="AL1609" s="87"/>
      <c r="AM1609" s="87"/>
      <c r="AN1609" s="87"/>
      <c r="AO1609" s="87">
        <v>10</v>
      </c>
      <c r="AP1609" s="87"/>
      <c r="AQ1609" s="87"/>
      <c r="AR1609" s="87"/>
      <c r="AS1609" s="87"/>
      <c r="AT1609" s="87"/>
      <c r="AU1609" s="87"/>
      <c r="AV1609" s="87"/>
      <c r="AW1609" s="88" t="str">
        <f>HYPERLINK("http://www.openstreetmap.org/?mlat=32.572&amp;mlon=44.0211&amp;zoom=12#map=12/32.572/44.0211","Maplink1")</f>
        <v>Maplink1</v>
      </c>
      <c r="AX1609" s="88" t="str">
        <f>HYPERLINK("https://www.google.iq/maps/search/+32.572,44.0211/@32.572,44.0211,14z?hl=en","Maplink2")</f>
        <v>Maplink2</v>
      </c>
      <c r="AY1609" s="88" t="str">
        <f>HYPERLINK("http://www.bing.com/maps/?lvl=14&amp;sty=h&amp;cp=32.572~44.0211&amp;sp=point.32.572_44.0211","Maplink3")</f>
        <v>Maplink3</v>
      </c>
      <c r="AZ1609" s="76"/>
    </row>
    <row r="1610" spans="1:52" x14ac:dyDescent="0.25">
      <c r="A1610" s="86">
        <v>24630</v>
      </c>
      <c r="B1610" s="87" t="s">
        <v>19</v>
      </c>
      <c r="C1610" s="87" t="s">
        <v>19</v>
      </c>
      <c r="D1610" s="87" t="s">
        <v>3141</v>
      </c>
      <c r="E1610" s="87" t="s">
        <v>3142</v>
      </c>
      <c r="F1610" s="87">
        <v>32.646204099999999</v>
      </c>
      <c r="G1610" s="87">
        <v>43.988135100000001</v>
      </c>
      <c r="H1610" s="86">
        <v>13</v>
      </c>
      <c r="I1610" s="86">
        <v>78</v>
      </c>
      <c r="J1610" s="87">
        <v>1</v>
      </c>
      <c r="K1610" s="87"/>
      <c r="L1610" s="87">
        <v>4</v>
      </c>
      <c r="M1610" s="87"/>
      <c r="N1610" s="87"/>
      <c r="O1610" s="87"/>
      <c r="P1610" s="87"/>
      <c r="Q1610" s="87"/>
      <c r="R1610" s="87"/>
      <c r="S1610" s="87"/>
      <c r="T1610" s="87"/>
      <c r="U1610" s="87"/>
      <c r="V1610" s="87">
        <v>8</v>
      </c>
      <c r="W1610" s="87"/>
      <c r="X1610" s="87"/>
      <c r="Y1610" s="87"/>
      <c r="Z1610" s="87"/>
      <c r="AA1610" s="87"/>
      <c r="AB1610" s="87"/>
      <c r="AC1610" s="87"/>
      <c r="AD1610" s="87"/>
      <c r="AE1610" s="87"/>
      <c r="AF1610" s="87"/>
      <c r="AG1610" s="87"/>
      <c r="AH1610" s="87">
        <v>13</v>
      </c>
      <c r="AI1610" s="87"/>
      <c r="AJ1610" s="87"/>
      <c r="AK1610" s="87"/>
      <c r="AL1610" s="87"/>
      <c r="AM1610" s="87"/>
      <c r="AN1610" s="87">
        <v>4</v>
      </c>
      <c r="AO1610" s="87">
        <v>8</v>
      </c>
      <c r="AP1610" s="87">
        <v>1</v>
      </c>
      <c r="AQ1610" s="87"/>
      <c r="AR1610" s="87"/>
      <c r="AS1610" s="87"/>
      <c r="AT1610" s="87"/>
      <c r="AU1610" s="87"/>
      <c r="AV1610" s="87"/>
      <c r="AW1610" s="88" t="str">
        <f>HYPERLINK("http://www.openstreetmap.org/?mlat=32.6462&amp;mlon=43.9881&amp;zoom=12#map=12/32.6462/43.9881","Maplink1")</f>
        <v>Maplink1</v>
      </c>
      <c r="AX1610" s="88" t="str">
        <f>HYPERLINK("https://www.google.iq/maps/search/+32.6462,43.9881/@32.6462,43.9881,14z?hl=en","Maplink2")</f>
        <v>Maplink2</v>
      </c>
      <c r="AY1610" s="88" t="str">
        <f>HYPERLINK("http://www.bing.com/maps/?lvl=14&amp;sty=h&amp;cp=32.6462~43.9881&amp;sp=point.32.6462_43.9881","Maplink3")</f>
        <v>Maplink3</v>
      </c>
      <c r="AZ1610" s="76"/>
    </row>
    <row r="1611" spans="1:52" x14ac:dyDescent="0.25">
      <c r="A1611" s="86">
        <v>25259</v>
      </c>
      <c r="B1611" s="87" t="s">
        <v>19</v>
      </c>
      <c r="C1611" s="87" t="s">
        <v>19</v>
      </c>
      <c r="D1611" s="87" t="s">
        <v>3143</v>
      </c>
      <c r="E1611" s="87" t="s">
        <v>3144</v>
      </c>
      <c r="F1611" s="87">
        <v>32.647768999999997</v>
      </c>
      <c r="G1611" s="87">
        <v>43.987681700000003</v>
      </c>
      <c r="H1611" s="86">
        <v>6</v>
      </c>
      <c r="I1611" s="86">
        <v>36</v>
      </c>
      <c r="J1611" s="87"/>
      <c r="K1611" s="87"/>
      <c r="L1611" s="87"/>
      <c r="M1611" s="87"/>
      <c r="N1611" s="87"/>
      <c r="O1611" s="87"/>
      <c r="P1611" s="87"/>
      <c r="Q1611" s="87"/>
      <c r="R1611" s="87"/>
      <c r="S1611" s="87"/>
      <c r="T1611" s="87"/>
      <c r="U1611" s="87"/>
      <c r="V1611" s="87">
        <v>6</v>
      </c>
      <c r="W1611" s="87"/>
      <c r="X1611" s="87"/>
      <c r="Y1611" s="87"/>
      <c r="Z1611" s="87"/>
      <c r="AA1611" s="87"/>
      <c r="AB1611" s="87"/>
      <c r="AC1611" s="87"/>
      <c r="AD1611" s="87"/>
      <c r="AE1611" s="87"/>
      <c r="AF1611" s="87"/>
      <c r="AG1611" s="87"/>
      <c r="AH1611" s="87">
        <v>6</v>
      </c>
      <c r="AI1611" s="87"/>
      <c r="AJ1611" s="87"/>
      <c r="AK1611" s="87"/>
      <c r="AL1611" s="87"/>
      <c r="AM1611" s="87"/>
      <c r="AN1611" s="87"/>
      <c r="AO1611" s="87">
        <v>6</v>
      </c>
      <c r="AP1611" s="87"/>
      <c r="AQ1611" s="87"/>
      <c r="AR1611" s="87"/>
      <c r="AS1611" s="87"/>
      <c r="AT1611" s="87"/>
      <c r="AU1611" s="87"/>
      <c r="AV1611" s="87"/>
      <c r="AW1611" s="88" t="str">
        <f>HYPERLINK("http://www.openstreetmap.org/?mlat=32.6478&amp;mlon=43.9877&amp;zoom=12#map=12/32.6478/43.9877","Maplink1")</f>
        <v>Maplink1</v>
      </c>
      <c r="AX1611" s="88" t="str">
        <f>HYPERLINK("https://www.google.iq/maps/search/+32.6478,43.9877/@32.6478,43.9877,14z?hl=en","Maplink2")</f>
        <v>Maplink2</v>
      </c>
      <c r="AY1611" s="88" t="str">
        <f>HYPERLINK("http://www.bing.com/maps/?lvl=14&amp;sty=h&amp;cp=32.6478~43.9877&amp;sp=point.32.6478_43.9877","Maplink3")</f>
        <v>Maplink3</v>
      </c>
      <c r="AZ1611" s="76"/>
    </row>
    <row r="1612" spans="1:52" x14ac:dyDescent="0.25">
      <c r="A1612" s="86">
        <v>26010</v>
      </c>
      <c r="B1612" s="87" t="s">
        <v>19</v>
      </c>
      <c r="C1612" s="87" t="s">
        <v>19</v>
      </c>
      <c r="D1612" s="87" t="s">
        <v>3145</v>
      </c>
      <c r="E1612" s="87" t="s">
        <v>3146</v>
      </c>
      <c r="F1612" s="87">
        <v>32.5615083</v>
      </c>
      <c r="G1612" s="87">
        <v>44.083171499999999</v>
      </c>
      <c r="H1612" s="86">
        <v>14</v>
      </c>
      <c r="I1612" s="86">
        <v>84</v>
      </c>
      <c r="J1612" s="87"/>
      <c r="K1612" s="87"/>
      <c r="L1612" s="87"/>
      <c r="M1612" s="87"/>
      <c r="N1612" s="87"/>
      <c r="O1612" s="87"/>
      <c r="P1612" s="87"/>
      <c r="Q1612" s="87"/>
      <c r="R1612" s="87"/>
      <c r="S1612" s="87"/>
      <c r="T1612" s="87"/>
      <c r="U1612" s="87"/>
      <c r="V1612" s="87">
        <v>14</v>
      </c>
      <c r="W1612" s="87"/>
      <c r="X1612" s="87"/>
      <c r="Y1612" s="87"/>
      <c r="Z1612" s="87"/>
      <c r="AA1612" s="87"/>
      <c r="AB1612" s="87"/>
      <c r="AC1612" s="87"/>
      <c r="AD1612" s="87"/>
      <c r="AE1612" s="87"/>
      <c r="AF1612" s="87"/>
      <c r="AG1612" s="87"/>
      <c r="AH1612" s="87">
        <v>14</v>
      </c>
      <c r="AI1612" s="87"/>
      <c r="AJ1612" s="87"/>
      <c r="AK1612" s="87"/>
      <c r="AL1612" s="87"/>
      <c r="AM1612" s="87"/>
      <c r="AN1612" s="87"/>
      <c r="AO1612" s="87">
        <v>14</v>
      </c>
      <c r="AP1612" s="87"/>
      <c r="AQ1612" s="87"/>
      <c r="AR1612" s="87"/>
      <c r="AS1612" s="87"/>
      <c r="AT1612" s="87"/>
      <c r="AU1612" s="87"/>
      <c r="AV1612" s="87"/>
      <c r="AW1612" s="88" t="str">
        <f>HYPERLINK("http://www.openstreetmap.org/?mlat=32.5615&amp;mlon=44.0832&amp;zoom=12#map=12/32.5615/44.0832","Maplink1")</f>
        <v>Maplink1</v>
      </c>
      <c r="AX1612" s="88" t="str">
        <f>HYPERLINK("https://www.google.iq/maps/search/+32.5615,44.0832/@32.5615,44.0832,14z?hl=en","Maplink2")</f>
        <v>Maplink2</v>
      </c>
      <c r="AY1612" s="88" t="str">
        <f>HYPERLINK("http://www.bing.com/maps/?lvl=14&amp;sty=h&amp;cp=32.5615~44.0832&amp;sp=point.32.5615_44.0832","Maplink3")</f>
        <v>Maplink3</v>
      </c>
      <c r="AZ1612" s="76"/>
    </row>
    <row r="1613" spans="1:52" x14ac:dyDescent="0.25">
      <c r="A1613" s="86">
        <v>14836</v>
      </c>
      <c r="B1613" s="87" t="s">
        <v>20</v>
      </c>
      <c r="C1613" s="87" t="s">
        <v>3147</v>
      </c>
      <c r="D1613" s="87" t="s">
        <v>3148</v>
      </c>
      <c r="E1613" s="87" t="s">
        <v>3149</v>
      </c>
      <c r="F1613" s="87">
        <v>35.296879379300002</v>
      </c>
      <c r="G1613" s="87">
        <v>43.844880112600002</v>
      </c>
      <c r="H1613" s="86">
        <v>19</v>
      </c>
      <c r="I1613" s="86">
        <v>114</v>
      </c>
      <c r="J1613" s="87"/>
      <c r="K1613" s="87"/>
      <c r="L1613" s="87"/>
      <c r="M1613" s="87"/>
      <c r="N1613" s="87"/>
      <c r="O1613" s="87"/>
      <c r="P1613" s="87"/>
      <c r="Q1613" s="87"/>
      <c r="R1613" s="87">
        <v>19</v>
      </c>
      <c r="S1613" s="87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>
        <v>19</v>
      </c>
      <c r="AD1613" s="87"/>
      <c r="AE1613" s="87"/>
      <c r="AF1613" s="87"/>
      <c r="AG1613" s="87"/>
      <c r="AH1613" s="87"/>
      <c r="AI1613" s="87"/>
      <c r="AJ1613" s="87"/>
      <c r="AK1613" s="87"/>
      <c r="AL1613" s="87"/>
      <c r="AM1613" s="87"/>
      <c r="AN1613" s="87"/>
      <c r="AO1613" s="87"/>
      <c r="AP1613" s="87"/>
      <c r="AQ1613" s="87"/>
      <c r="AR1613" s="87"/>
      <c r="AS1613" s="87">
        <v>5</v>
      </c>
      <c r="AT1613" s="87">
        <v>9</v>
      </c>
      <c r="AU1613" s="87">
        <v>5</v>
      </c>
      <c r="AV1613" s="87"/>
      <c r="AW1613" s="88" t="str">
        <f>HYPERLINK("http://www.openstreetmap.org/?mlat=35.2969&amp;mlon=43.8449&amp;zoom=12#map=12/35.2969/43.8449","Maplink1")</f>
        <v>Maplink1</v>
      </c>
      <c r="AX1613" s="88" t="str">
        <f>HYPERLINK("https://www.google.iq/maps/search/+35.2969,43.8449/@35.2969,43.8449,14z?hl=en","Maplink2")</f>
        <v>Maplink2</v>
      </c>
      <c r="AY1613" s="88" t="str">
        <f>HYPERLINK("http://www.bing.com/maps/?lvl=14&amp;sty=h&amp;cp=35.2969~43.8449&amp;sp=point.35.2969_43.8449","Maplink3")</f>
        <v>Maplink3</v>
      </c>
      <c r="AZ1613" s="76"/>
    </row>
    <row r="1614" spans="1:52" x14ac:dyDescent="0.25">
      <c r="A1614" s="86">
        <v>15275</v>
      </c>
      <c r="B1614" s="87" t="s">
        <v>20</v>
      </c>
      <c r="C1614" s="87" t="s">
        <v>3147</v>
      </c>
      <c r="D1614" s="87" t="s">
        <v>3150</v>
      </c>
      <c r="E1614" s="87" t="s">
        <v>3151</v>
      </c>
      <c r="F1614" s="87">
        <v>35.275740410799997</v>
      </c>
      <c r="G1614" s="87">
        <v>43.595646524099998</v>
      </c>
      <c r="H1614" s="86">
        <v>37</v>
      </c>
      <c r="I1614" s="86">
        <v>222</v>
      </c>
      <c r="J1614" s="87"/>
      <c r="K1614" s="87"/>
      <c r="L1614" s="87"/>
      <c r="M1614" s="87"/>
      <c r="N1614" s="87"/>
      <c r="O1614" s="87"/>
      <c r="P1614" s="87"/>
      <c r="Q1614" s="87"/>
      <c r="R1614" s="87">
        <v>37</v>
      </c>
      <c r="S1614" s="87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>
        <v>37</v>
      </c>
      <c r="AD1614" s="87"/>
      <c r="AE1614" s="87"/>
      <c r="AF1614" s="87"/>
      <c r="AG1614" s="87"/>
      <c r="AH1614" s="87"/>
      <c r="AI1614" s="87"/>
      <c r="AJ1614" s="87"/>
      <c r="AK1614" s="87"/>
      <c r="AL1614" s="87"/>
      <c r="AM1614" s="87"/>
      <c r="AN1614" s="87"/>
      <c r="AO1614" s="87"/>
      <c r="AP1614" s="87"/>
      <c r="AQ1614" s="87"/>
      <c r="AR1614" s="87"/>
      <c r="AS1614" s="87"/>
      <c r="AT1614" s="87"/>
      <c r="AU1614" s="87">
        <v>25</v>
      </c>
      <c r="AV1614" s="87">
        <v>12</v>
      </c>
      <c r="AW1614" s="88" t="str">
        <f>HYPERLINK("http://www.openstreetmap.org/?mlat=35.2757&amp;mlon=43.5956&amp;zoom=12#map=12/35.2757/43.5956","Maplink1")</f>
        <v>Maplink1</v>
      </c>
      <c r="AX1614" s="88" t="str">
        <f>HYPERLINK("https://www.google.iq/maps/search/+35.2757,43.5956/@35.2757,43.5956,14z?hl=en","Maplink2")</f>
        <v>Maplink2</v>
      </c>
      <c r="AY1614" s="88" t="str">
        <f>HYPERLINK("http://www.bing.com/maps/?lvl=14&amp;sty=h&amp;cp=35.2757~43.5956&amp;sp=point.35.2757_43.5956","Maplink3")</f>
        <v>Maplink3</v>
      </c>
      <c r="AZ1614" s="76"/>
    </row>
    <row r="1615" spans="1:52" x14ac:dyDescent="0.25">
      <c r="A1615" s="86">
        <v>15408</v>
      </c>
      <c r="B1615" s="87" t="s">
        <v>20</v>
      </c>
      <c r="C1615" s="87" t="s">
        <v>3147</v>
      </c>
      <c r="D1615" s="87" t="s">
        <v>3152</v>
      </c>
      <c r="E1615" s="87" t="s">
        <v>3153</v>
      </c>
      <c r="F1615" s="87">
        <v>35.4484480498</v>
      </c>
      <c r="G1615" s="87">
        <v>43.741916096200001</v>
      </c>
      <c r="H1615" s="86">
        <v>15</v>
      </c>
      <c r="I1615" s="86">
        <v>90</v>
      </c>
      <c r="J1615" s="87"/>
      <c r="K1615" s="87"/>
      <c r="L1615" s="87"/>
      <c r="M1615" s="87"/>
      <c r="N1615" s="87"/>
      <c r="O1615" s="87"/>
      <c r="P1615" s="87"/>
      <c r="Q1615" s="87"/>
      <c r="R1615" s="87"/>
      <c r="S1615" s="87"/>
      <c r="T1615" s="87"/>
      <c r="U1615" s="87"/>
      <c r="V1615" s="87">
        <v>15</v>
      </c>
      <c r="W1615" s="87"/>
      <c r="X1615" s="87"/>
      <c r="Y1615" s="87"/>
      <c r="Z1615" s="87"/>
      <c r="AA1615" s="87"/>
      <c r="AB1615" s="87"/>
      <c r="AC1615" s="87">
        <v>15</v>
      </c>
      <c r="AD1615" s="87"/>
      <c r="AE1615" s="87"/>
      <c r="AF1615" s="87"/>
      <c r="AG1615" s="87"/>
      <c r="AH1615" s="87"/>
      <c r="AI1615" s="87"/>
      <c r="AJ1615" s="87"/>
      <c r="AK1615" s="87"/>
      <c r="AL1615" s="87"/>
      <c r="AM1615" s="87"/>
      <c r="AN1615" s="87"/>
      <c r="AO1615" s="87">
        <v>3</v>
      </c>
      <c r="AP1615" s="87">
        <v>5</v>
      </c>
      <c r="AQ1615" s="87">
        <v>7</v>
      </c>
      <c r="AR1615" s="87"/>
      <c r="AS1615" s="87"/>
      <c r="AT1615" s="87"/>
      <c r="AU1615" s="87"/>
      <c r="AV1615" s="87"/>
      <c r="AW1615" s="88" t="str">
        <f>HYPERLINK("http://www.openstreetmap.org/?mlat=35.4484&amp;mlon=43.7419&amp;zoom=12#map=12/35.4484/43.7419","Maplink1")</f>
        <v>Maplink1</v>
      </c>
      <c r="AX1615" s="88" t="str">
        <f>HYPERLINK("https://www.google.iq/maps/search/+35.4484,43.7419/@35.4484,43.7419,14z?hl=en","Maplink2")</f>
        <v>Maplink2</v>
      </c>
      <c r="AY1615" s="88" t="str">
        <f>HYPERLINK("http://www.bing.com/maps/?lvl=14&amp;sty=h&amp;cp=35.4484~43.7419&amp;sp=point.35.4484_43.7419","Maplink3")</f>
        <v>Maplink3</v>
      </c>
      <c r="AZ1615" s="76"/>
    </row>
    <row r="1616" spans="1:52" x14ac:dyDescent="0.25">
      <c r="A1616" s="86">
        <v>14375</v>
      </c>
      <c r="B1616" s="87" t="s">
        <v>20</v>
      </c>
      <c r="C1616" s="87" t="s">
        <v>3154</v>
      </c>
      <c r="D1616" s="87" t="s">
        <v>3155</v>
      </c>
      <c r="E1616" s="87" t="s">
        <v>3156</v>
      </c>
      <c r="F1616" s="87">
        <v>35.756266250400003</v>
      </c>
      <c r="G1616" s="87">
        <v>44.138713172300001</v>
      </c>
      <c r="H1616" s="86">
        <v>28</v>
      </c>
      <c r="I1616" s="86">
        <v>168</v>
      </c>
      <c r="J1616" s="87">
        <v>2</v>
      </c>
      <c r="K1616" s="87"/>
      <c r="L1616" s="87"/>
      <c r="M1616" s="87"/>
      <c r="N1616" s="87"/>
      <c r="O1616" s="87"/>
      <c r="P1616" s="87"/>
      <c r="Q1616" s="87"/>
      <c r="R1616" s="87"/>
      <c r="S1616" s="87"/>
      <c r="T1616" s="87"/>
      <c r="U1616" s="87"/>
      <c r="V1616" s="87">
        <v>21</v>
      </c>
      <c r="W1616" s="87"/>
      <c r="X1616" s="87">
        <v>5</v>
      </c>
      <c r="Y1616" s="87"/>
      <c r="Z1616" s="87"/>
      <c r="AA1616" s="87"/>
      <c r="AB1616" s="87"/>
      <c r="AC1616" s="87">
        <v>2</v>
      </c>
      <c r="AD1616" s="87"/>
      <c r="AE1616" s="87"/>
      <c r="AF1616" s="87"/>
      <c r="AG1616" s="87"/>
      <c r="AH1616" s="87">
        <v>26</v>
      </c>
      <c r="AI1616" s="87"/>
      <c r="AJ1616" s="87"/>
      <c r="AK1616" s="87"/>
      <c r="AL1616" s="87"/>
      <c r="AM1616" s="87"/>
      <c r="AN1616" s="87">
        <v>2</v>
      </c>
      <c r="AO1616" s="87">
        <v>15</v>
      </c>
      <c r="AP1616" s="87">
        <v>11</v>
      </c>
      <c r="AQ1616" s="87"/>
      <c r="AR1616" s="87"/>
      <c r="AS1616" s="87"/>
      <c r="AT1616" s="87"/>
      <c r="AU1616" s="87"/>
      <c r="AV1616" s="87"/>
      <c r="AW1616" s="88" t="str">
        <f>HYPERLINK("http://www.openstreetmap.org/?mlat=35.7563&amp;mlon=44.1387&amp;zoom=12#map=12/35.7563/44.1387","Maplink1")</f>
        <v>Maplink1</v>
      </c>
      <c r="AX1616" s="88" t="str">
        <f>HYPERLINK("https://www.google.iq/maps/search/+35.7563,44.1387/@35.7563,44.1387,14z?hl=en","Maplink2")</f>
        <v>Maplink2</v>
      </c>
      <c r="AY1616" s="88" t="str">
        <f>HYPERLINK("http://www.bing.com/maps/?lvl=14&amp;sty=h&amp;cp=35.7563~44.1387&amp;sp=point.35.7563_44.1387","Maplink3")</f>
        <v>Maplink3</v>
      </c>
      <c r="AZ1616" s="76"/>
    </row>
    <row r="1617" spans="1:52" x14ac:dyDescent="0.25">
      <c r="A1617" s="86">
        <v>24632</v>
      </c>
      <c r="B1617" s="87" t="s">
        <v>20</v>
      </c>
      <c r="C1617" s="87" t="s">
        <v>3154</v>
      </c>
      <c r="D1617" s="87" t="s">
        <v>3157</v>
      </c>
      <c r="E1617" s="87" t="s">
        <v>3158</v>
      </c>
      <c r="F1617" s="87">
        <v>35.667296708000002</v>
      </c>
      <c r="G1617" s="87">
        <v>44.074888401000003</v>
      </c>
      <c r="H1617" s="86">
        <v>40</v>
      </c>
      <c r="I1617" s="86">
        <v>240</v>
      </c>
      <c r="J1617" s="87"/>
      <c r="K1617" s="87"/>
      <c r="L1617" s="87"/>
      <c r="M1617" s="87"/>
      <c r="N1617" s="87"/>
      <c r="O1617" s="87"/>
      <c r="P1617" s="87"/>
      <c r="Q1617" s="87"/>
      <c r="R1617" s="87">
        <v>39</v>
      </c>
      <c r="S1617" s="87"/>
      <c r="T1617" s="87"/>
      <c r="U1617" s="87"/>
      <c r="V1617" s="87"/>
      <c r="W1617" s="87"/>
      <c r="X1617" s="87">
        <v>1</v>
      </c>
      <c r="Y1617" s="87"/>
      <c r="Z1617" s="87"/>
      <c r="AA1617" s="87"/>
      <c r="AB1617" s="87"/>
      <c r="AC1617" s="87"/>
      <c r="AD1617" s="87"/>
      <c r="AE1617" s="87"/>
      <c r="AF1617" s="87"/>
      <c r="AG1617" s="87"/>
      <c r="AH1617" s="87">
        <v>40</v>
      </c>
      <c r="AI1617" s="87"/>
      <c r="AJ1617" s="87"/>
      <c r="AK1617" s="87"/>
      <c r="AL1617" s="87"/>
      <c r="AM1617" s="87"/>
      <c r="AN1617" s="87"/>
      <c r="AO1617" s="87"/>
      <c r="AP1617" s="87"/>
      <c r="AQ1617" s="87">
        <v>15</v>
      </c>
      <c r="AR1617" s="87">
        <v>8</v>
      </c>
      <c r="AS1617" s="87">
        <v>4</v>
      </c>
      <c r="AT1617" s="87">
        <v>5</v>
      </c>
      <c r="AU1617" s="87">
        <v>8</v>
      </c>
      <c r="AV1617" s="87"/>
      <c r="AW1617" s="88" t="str">
        <f>HYPERLINK("http://www.openstreetmap.org/?mlat=35.6673&amp;mlon=44.0749&amp;zoom=12#map=12/35.6673/44.0749","Maplink1")</f>
        <v>Maplink1</v>
      </c>
      <c r="AX1617" s="88" t="str">
        <f>HYPERLINK("https://www.google.iq/maps/search/+35.6673,44.0749/@35.6673,44.0749,14z?hl=en","Maplink2")</f>
        <v>Maplink2</v>
      </c>
      <c r="AY1617" s="88" t="str">
        <f>HYPERLINK("http://www.bing.com/maps/?lvl=14&amp;sty=h&amp;cp=35.6673~44.0749&amp;sp=point.35.6673_44.0749","Maplink3")</f>
        <v>Maplink3</v>
      </c>
      <c r="AZ1617" s="76"/>
    </row>
    <row r="1618" spans="1:52" x14ac:dyDescent="0.25">
      <c r="A1618" s="86">
        <v>24631</v>
      </c>
      <c r="B1618" s="87" t="s">
        <v>20</v>
      </c>
      <c r="C1618" s="87" t="s">
        <v>3154</v>
      </c>
      <c r="D1618" s="87" t="s">
        <v>3159</v>
      </c>
      <c r="E1618" s="87" t="s">
        <v>3160</v>
      </c>
      <c r="F1618" s="87">
        <v>35.660548103799997</v>
      </c>
      <c r="G1618" s="87">
        <v>44.0899282922</v>
      </c>
      <c r="H1618" s="86">
        <v>78</v>
      </c>
      <c r="I1618" s="86">
        <v>468</v>
      </c>
      <c r="J1618" s="87"/>
      <c r="K1618" s="87"/>
      <c r="L1618" s="87"/>
      <c r="M1618" s="87"/>
      <c r="N1618" s="87"/>
      <c r="O1618" s="87"/>
      <c r="P1618" s="87"/>
      <c r="Q1618" s="87"/>
      <c r="R1618" s="87">
        <v>78</v>
      </c>
      <c r="S1618" s="87"/>
      <c r="T1618" s="87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87"/>
      <c r="AE1618" s="87"/>
      <c r="AF1618" s="87"/>
      <c r="AG1618" s="87"/>
      <c r="AH1618" s="87">
        <v>78</v>
      </c>
      <c r="AI1618" s="87"/>
      <c r="AJ1618" s="87"/>
      <c r="AK1618" s="87"/>
      <c r="AL1618" s="87"/>
      <c r="AM1618" s="87"/>
      <c r="AN1618" s="87"/>
      <c r="AO1618" s="87">
        <v>40</v>
      </c>
      <c r="AP1618" s="87">
        <v>20</v>
      </c>
      <c r="AQ1618" s="87"/>
      <c r="AR1618" s="87">
        <v>10</v>
      </c>
      <c r="AS1618" s="87">
        <v>8</v>
      </c>
      <c r="AT1618" s="87"/>
      <c r="AU1618" s="87"/>
      <c r="AV1618" s="87"/>
      <c r="AW1618" s="88" t="str">
        <f>HYPERLINK("http://www.openstreetmap.org/?mlat=35.6605&amp;mlon=44.0899&amp;zoom=12#map=12/35.6605/44.0899","Maplink1")</f>
        <v>Maplink1</v>
      </c>
      <c r="AX1618" s="88" t="str">
        <f>HYPERLINK("https://www.google.iq/maps/search/+35.6605,44.0899/@35.6605,44.0899,14z?hl=en","Maplink2")</f>
        <v>Maplink2</v>
      </c>
      <c r="AY1618" s="88" t="str">
        <f>HYPERLINK("http://www.bing.com/maps/?lvl=14&amp;sty=h&amp;cp=35.6605~44.0899&amp;sp=point.35.6605_44.0899","Maplink3")</f>
        <v>Maplink3</v>
      </c>
      <c r="AZ1618" s="76"/>
    </row>
    <row r="1619" spans="1:52" x14ac:dyDescent="0.25">
      <c r="A1619" s="86">
        <v>15674</v>
      </c>
      <c r="B1619" s="87" t="s">
        <v>20</v>
      </c>
      <c r="C1619" s="87" t="s">
        <v>3154</v>
      </c>
      <c r="D1619" s="87" t="s">
        <v>301</v>
      </c>
      <c r="E1619" s="87" t="s">
        <v>208</v>
      </c>
      <c r="F1619" s="87">
        <v>35.6705348992</v>
      </c>
      <c r="G1619" s="87">
        <v>44.069217917000003</v>
      </c>
      <c r="H1619" s="86">
        <v>97</v>
      </c>
      <c r="I1619" s="86">
        <v>582</v>
      </c>
      <c r="J1619" s="87"/>
      <c r="K1619" s="87"/>
      <c r="L1619" s="87"/>
      <c r="M1619" s="87"/>
      <c r="N1619" s="87"/>
      <c r="O1619" s="87"/>
      <c r="P1619" s="87"/>
      <c r="Q1619" s="87"/>
      <c r="R1619" s="87">
        <v>79</v>
      </c>
      <c r="S1619" s="87"/>
      <c r="T1619" s="87"/>
      <c r="U1619" s="87"/>
      <c r="V1619" s="87">
        <v>10</v>
      </c>
      <c r="W1619" s="87"/>
      <c r="X1619" s="87">
        <v>8</v>
      </c>
      <c r="Y1619" s="87"/>
      <c r="Z1619" s="87"/>
      <c r="AA1619" s="87"/>
      <c r="AB1619" s="87"/>
      <c r="AC1619" s="87"/>
      <c r="AD1619" s="87"/>
      <c r="AE1619" s="87"/>
      <c r="AF1619" s="87"/>
      <c r="AG1619" s="87"/>
      <c r="AH1619" s="87">
        <v>97</v>
      </c>
      <c r="AI1619" s="87"/>
      <c r="AJ1619" s="87"/>
      <c r="AK1619" s="87"/>
      <c r="AL1619" s="87"/>
      <c r="AM1619" s="87"/>
      <c r="AN1619" s="87"/>
      <c r="AO1619" s="87">
        <v>27</v>
      </c>
      <c r="AP1619" s="87">
        <v>8</v>
      </c>
      <c r="AQ1619" s="87">
        <v>6</v>
      </c>
      <c r="AR1619" s="87">
        <v>4</v>
      </c>
      <c r="AS1619" s="87">
        <v>32</v>
      </c>
      <c r="AT1619" s="87">
        <v>15</v>
      </c>
      <c r="AU1619" s="87">
        <v>5</v>
      </c>
      <c r="AV1619" s="87"/>
      <c r="AW1619" s="88" t="str">
        <f>HYPERLINK("http://www.openstreetmap.org/?mlat=35.6705&amp;mlon=44.0692&amp;zoom=12#map=12/35.6705/44.0692","Maplink1")</f>
        <v>Maplink1</v>
      </c>
      <c r="AX1619" s="88" t="str">
        <f>HYPERLINK("https://www.google.iq/maps/search/+35.6705,44.0692/@35.6705,44.0692,14z?hl=en","Maplink2")</f>
        <v>Maplink2</v>
      </c>
      <c r="AY1619" s="88" t="str">
        <f>HYPERLINK("http://www.bing.com/maps/?lvl=14&amp;sty=h&amp;cp=35.6705~44.0692&amp;sp=point.35.6705_44.0692","Maplink3")</f>
        <v>Maplink3</v>
      </c>
      <c r="AZ1619" s="76"/>
    </row>
    <row r="1620" spans="1:52" x14ac:dyDescent="0.25">
      <c r="A1620" s="86">
        <v>26069</v>
      </c>
      <c r="B1620" s="87" t="s">
        <v>20</v>
      </c>
      <c r="C1620" s="87" t="s">
        <v>3161</v>
      </c>
      <c r="D1620" s="87" t="s">
        <v>3162</v>
      </c>
      <c r="E1620" s="87" t="s">
        <v>3163</v>
      </c>
      <c r="F1620" s="87">
        <v>35.239184840299998</v>
      </c>
      <c r="G1620" s="87">
        <v>44.607988174699997</v>
      </c>
      <c r="H1620" s="86">
        <v>16</v>
      </c>
      <c r="I1620" s="86">
        <v>96</v>
      </c>
      <c r="J1620" s="87"/>
      <c r="K1620" s="87"/>
      <c r="L1620" s="87"/>
      <c r="M1620" s="87"/>
      <c r="N1620" s="87"/>
      <c r="O1620" s="87"/>
      <c r="P1620" s="87"/>
      <c r="Q1620" s="87"/>
      <c r="R1620" s="87">
        <v>4</v>
      </c>
      <c r="S1620" s="87"/>
      <c r="T1620" s="87"/>
      <c r="U1620" s="87"/>
      <c r="V1620" s="87">
        <v>9</v>
      </c>
      <c r="W1620" s="87"/>
      <c r="X1620" s="87">
        <v>3</v>
      </c>
      <c r="Y1620" s="87"/>
      <c r="Z1620" s="87"/>
      <c r="AA1620" s="87"/>
      <c r="AB1620" s="87"/>
      <c r="AC1620" s="87">
        <v>3</v>
      </c>
      <c r="AD1620" s="87"/>
      <c r="AE1620" s="87"/>
      <c r="AF1620" s="87"/>
      <c r="AG1620" s="87"/>
      <c r="AH1620" s="87">
        <v>13</v>
      </c>
      <c r="AI1620" s="87"/>
      <c r="AJ1620" s="87"/>
      <c r="AK1620" s="87"/>
      <c r="AL1620" s="87"/>
      <c r="AM1620" s="87"/>
      <c r="AN1620" s="87"/>
      <c r="AO1620" s="87"/>
      <c r="AP1620" s="87"/>
      <c r="AQ1620" s="87"/>
      <c r="AR1620" s="87">
        <v>6</v>
      </c>
      <c r="AS1620" s="87">
        <v>4</v>
      </c>
      <c r="AT1620" s="87">
        <v>3</v>
      </c>
      <c r="AU1620" s="87">
        <v>3</v>
      </c>
      <c r="AV1620" s="87"/>
      <c r="AW1620" s="88" t="str">
        <f>HYPERLINK("http://www.openstreetmap.org/?mlat=35.2392&amp;mlon=44.608&amp;zoom=12#map=12/35.2392/44.608","Maplink1")</f>
        <v>Maplink1</v>
      </c>
      <c r="AX1620" s="88" t="str">
        <f>HYPERLINK("https://www.google.iq/maps/search/+35.2392,44.608/@35.2392,44.608,14z?hl=en","Maplink2")</f>
        <v>Maplink2</v>
      </c>
      <c r="AY1620" s="88" t="str">
        <f>HYPERLINK("http://www.bing.com/maps/?lvl=14&amp;sty=h&amp;cp=35.2392~44.608&amp;sp=point.35.2392_44.608","Maplink3")</f>
        <v>Maplink3</v>
      </c>
      <c r="AZ1620" s="76"/>
    </row>
    <row r="1621" spans="1:52" x14ac:dyDescent="0.25">
      <c r="A1621" s="86">
        <v>14786</v>
      </c>
      <c r="B1621" s="87" t="s">
        <v>20</v>
      </c>
      <c r="C1621" s="87" t="s">
        <v>3161</v>
      </c>
      <c r="D1621" s="87" t="s">
        <v>3164</v>
      </c>
      <c r="E1621" s="87" t="s">
        <v>3165</v>
      </c>
      <c r="F1621" s="87">
        <v>35.134636043</v>
      </c>
      <c r="G1621" s="87">
        <v>44.437218973500002</v>
      </c>
      <c r="H1621" s="86">
        <v>65</v>
      </c>
      <c r="I1621" s="86">
        <v>390</v>
      </c>
      <c r="J1621" s="87">
        <v>2</v>
      </c>
      <c r="K1621" s="87"/>
      <c r="L1621" s="87"/>
      <c r="M1621" s="87"/>
      <c r="N1621" s="87"/>
      <c r="O1621" s="87"/>
      <c r="P1621" s="87"/>
      <c r="Q1621" s="87"/>
      <c r="R1621" s="87">
        <v>41</v>
      </c>
      <c r="S1621" s="87"/>
      <c r="T1621" s="87"/>
      <c r="U1621" s="87"/>
      <c r="V1621" s="87"/>
      <c r="W1621" s="87"/>
      <c r="X1621" s="87">
        <v>22</v>
      </c>
      <c r="Y1621" s="87"/>
      <c r="Z1621" s="87"/>
      <c r="AA1621" s="87"/>
      <c r="AB1621" s="87"/>
      <c r="AC1621" s="87">
        <v>5</v>
      </c>
      <c r="AD1621" s="87"/>
      <c r="AE1621" s="87"/>
      <c r="AF1621" s="87"/>
      <c r="AG1621" s="87"/>
      <c r="AH1621" s="87">
        <v>60</v>
      </c>
      <c r="AI1621" s="87"/>
      <c r="AJ1621" s="87"/>
      <c r="AK1621" s="87"/>
      <c r="AL1621" s="87"/>
      <c r="AM1621" s="87"/>
      <c r="AN1621" s="87"/>
      <c r="AO1621" s="87">
        <v>3</v>
      </c>
      <c r="AP1621" s="87">
        <v>4</v>
      </c>
      <c r="AQ1621" s="87">
        <v>6</v>
      </c>
      <c r="AR1621" s="87">
        <v>20</v>
      </c>
      <c r="AS1621" s="87">
        <v>10</v>
      </c>
      <c r="AT1621" s="87">
        <v>16</v>
      </c>
      <c r="AU1621" s="87">
        <v>6</v>
      </c>
      <c r="AV1621" s="87"/>
      <c r="AW1621" s="88" t="str">
        <f>HYPERLINK("http://www.openstreetmap.org/?mlat=35.1346&amp;mlon=44.4372&amp;zoom=12#map=12/35.1346/44.4372","Maplink1")</f>
        <v>Maplink1</v>
      </c>
      <c r="AX1621" s="88" t="str">
        <f>HYPERLINK("https://www.google.iq/maps/search/+35.1346,44.4372/@35.1346,44.4372,14z?hl=en","Maplink2")</f>
        <v>Maplink2</v>
      </c>
      <c r="AY1621" s="88" t="str">
        <f>HYPERLINK("http://www.bing.com/maps/?lvl=14&amp;sty=h&amp;cp=35.1346~44.4372&amp;sp=point.35.1346_44.4372","Maplink3")</f>
        <v>Maplink3</v>
      </c>
      <c r="AZ1621" s="76"/>
    </row>
    <row r="1622" spans="1:52" x14ac:dyDescent="0.25">
      <c r="A1622" s="86">
        <v>14545</v>
      </c>
      <c r="B1622" s="87" t="s">
        <v>20</v>
      </c>
      <c r="C1622" s="87" t="s">
        <v>3161</v>
      </c>
      <c r="D1622" s="87" t="s">
        <v>3166</v>
      </c>
      <c r="E1622" s="87" t="s">
        <v>3167</v>
      </c>
      <c r="F1622" s="87">
        <v>35.314602938900002</v>
      </c>
      <c r="G1622" s="87">
        <v>44.562420593900001</v>
      </c>
      <c r="H1622" s="86">
        <v>10</v>
      </c>
      <c r="I1622" s="86">
        <v>60</v>
      </c>
      <c r="J1622" s="87"/>
      <c r="K1622" s="87"/>
      <c r="L1622" s="87"/>
      <c r="M1622" s="87"/>
      <c r="N1622" s="87"/>
      <c r="O1622" s="87"/>
      <c r="P1622" s="87"/>
      <c r="Q1622" s="87"/>
      <c r="R1622" s="87">
        <v>7</v>
      </c>
      <c r="S1622" s="87"/>
      <c r="T1622" s="87"/>
      <c r="U1622" s="87"/>
      <c r="V1622" s="87"/>
      <c r="W1622" s="87"/>
      <c r="X1622" s="87">
        <v>3</v>
      </c>
      <c r="Y1622" s="87"/>
      <c r="Z1622" s="87"/>
      <c r="AA1622" s="87"/>
      <c r="AB1622" s="87"/>
      <c r="AC1622" s="87"/>
      <c r="AD1622" s="87"/>
      <c r="AE1622" s="87"/>
      <c r="AF1622" s="87"/>
      <c r="AG1622" s="87"/>
      <c r="AH1622" s="87"/>
      <c r="AI1622" s="87"/>
      <c r="AJ1622" s="87"/>
      <c r="AK1622" s="87">
        <v>10</v>
      </c>
      <c r="AL1622" s="87"/>
      <c r="AM1622" s="87"/>
      <c r="AN1622" s="87"/>
      <c r="AO1622" s="87"/>
      <c r="AP1622" s="87"/>
      <c r="AQ1622" s="87">
        <v>3</v>
      </c>
      <c r="AR1622" s="87"/>
      <c r="AS1622" s="87"/>
      <c r="AT1622" s="87">
        <v>2</v>
      </c>
      <c r="AU1622" s="87">
        <v>5</v>
      </c>
      <c r="AV1622" s="87"/>
      <c r="AW1622" s="88" t="str">
        <f>HYPERLINK("http://www.openstreetmap.org/?mlat=35.3146&amp;mlon=44.5624&amp;zoom=12#map=12/35.3146/44.5624","Maplink1")</f>
        <v>Maplink1</v>
      </c>
      <c r="AX1622" s="88" t="str">
        <f>HYPERLINK("https://www.google.iq/maps/search/+35.3146,44.5624/@35.3146,44.5624,14z?hl=en","Maplink2")</f>
        <v>Maplink2</v>
      </c>
      <c r="AY1622" s="88" t="str">
        <f>HYPERLINK("http://www.bing.com/maps/?lvl=14&amp;sty=h&amp;cp=35.3146~44.5624&amp;sp=point.35.3146_44.5624","Maplink3")</f>
        <v>Maplink3</v>
      </c>
      <c r="AZ1622" s="76"/>
    </row>
    <row r="1623" spans="1:52" x14ac:dyDescent="0.25">
      <c r="A1623" s="86">
        <v>33476</v>
      </c>
      <c r="B1623" s="87" t="s">
        <v>20</v>
      </c>
      <c r="C1623" s="87" t="s">
        <v>3161</v>
      </c>
      <c r="D1623" s="87" t="s">
        <v>3168</v>
      </c>
      <c r="E1623" s="87" t="s">
        <v>3169</v>
      </c>
      <c r="F1623" s="87">
        <v>35.152929172999997</v>
      </c>
      <c r="G1623" s="87">
        <v>44.443524382</v>
      </c>
      <c r="H1623" s="86">
        <v>137</v>
      </c>
      <c r="I1623" s="86">
        <v>822</v>
      </c>
      <c r="J1623" s="87"/>
      <c r="K1623" s="87"/>
      <c r="L1623" s="87"/>
      <c r="M1623" s="87"/>
      <c r="N1623" s="87"/>
      <c r="O1623" s="87"/>
      <c r="P1623" s="87"/>
      <c r="Q1623" s="87"/>
      <c r="R1623" s="87">
        <v>117</v>
      </c>
      <c r="S1623" s="87"/>
      <c r="T1623" s="87"/>
      <c r="U1623" s="87"/>
      <c r="V1623" s="87"/>
      <c r="W1623" s="87"/>
      <c r="X1623" s="87">
        <v>20</v>
      </c>
      <c r="Y1623" s="87"/>
      <c r="Z1623" s="87"/>
      <c r="AA1623" s="87"/>
      <c r="AB1623" s="87"/>
      <c r="AC1623" s="87"/>
      <c r="AD1623" s="87"/>
      <c r="AE1623" s="87">
        <v>9</v>
      </c>
      <c r="AF1623" s="87"/>
      <c r="AG1623" s="87"/>
      <c r="AH1623" s="87">
        <v>18</v>
      </c>
      <c r="AI1623" s="87"/>
      <c r="AJ1623" s="87"/>
      <c r="AK1623" s="87"/>
      <c r="AL1623" s="87">
        <v>110</v>
      </c>
      <c r="AM1623" s="87"/>
      <c r="AN1623" s="87"/>
      <c r="AO1623" s="87"/>
      <c r="AP1623" s="87">
        <v>12</v>
      </c>
      <c r="AQ1623" s="87">
        <v>30</v>
      </c>
      <c r="AR1623" s="87">
        <v>35</v>
      </c>
      <c r="AS1623" s="87">
        <v>25</v>
      </c>
      <c r="AT1623" s="87">
        <v>25</v>
      </c>
      <c r="AU1623" s="87">
        <v>10</v>
      </c>
      <c r="AV1623" s="87"/>
      <c r="AW1623" s="88" t="str">
        <f>HYPERLINK("http://www.openstreetmap.org/?mlat=35.1529&amp;mlon=44.4435&amp;zoom=12#map=12/35.1529/44.4435","Maplink1")</f>
        <v>Maplink1</v>
      </c>
      <c r="AX1623" s="88" t="str">
        <f>HYPERLINK("https://www.google.iq/maps/search/+35.1529,44.4435/@35.1529,44.4435,14z?hl=en","Maplink2")</f>
        <v>Maplink2</v>
      </c>
      <c r="AY1623" s="88" t="str">
        <f>HYPERLINK("http://www.bing.com/maps/?lvl=14&amp;sty=h&amp;cp=35.1529~44.4435&amp;sp=point.35.1529_44.4435","Maplink3")</f>
        <v>Maplink3</v>
      </c>
      <c r="AZ1623" s="76"/>
    </row>
    <row r="1624" spans="1:52" x14ac:dyDescent="0.25">
      <c r="A1624" s="86">
        <v>21453</v>
      </c>
      <c r="B1624" s="87" t="s">
        <v>20</v>
      </c>
      <c r="C1624" s="87" t="s">
        <v>3161</v>
      </c>
      <c r="D1624" s="87" t="s">
        <v>3170</v>
      </c>
      <c r="E1624" s="87" t="s">
        <v>3171</v>
      </c>
      <c r="F1624" s="87">
        <v>35.149220407400001</v>
      </c>
      <c r="G1624" s="87">
        <v>44.440508579300001</v>
      </c>
      <c r="H1624" s="86">
        <v>110</v>
      </c>
      <c r="I1624" s="86">
        <v>660</v>
      </c>
      <c r="J1624" s="87"/>
      <c r="K1624" s="87"/>
      <c r="L1624" s="87"/>
      <c r="M1624" s="87"/>
      <c r="N1624" s="87"/>
      <c r="O1624" s="87">
        <v>2</v>
      </c>
      <c r="P1624" s="87"/>
      <c r="Q1624" s="87"/>
      <c r="R1624" s="87">
        <v>68</v>
      </c>
      <c r="S1624" s="87"/>
      <c r="T1624" s="87"/>
      <c r="U1624" s="87"/>
      <c r="V1624" s="87">
        <v>10</v>
      </c>
      <c r="W1624" s="87"/>
      <c r="X1624" s="87">
        <v>30</v>
      </c>
      <c r="Y1624" s="87"/>
      <c r="Z1624" s="87"/>
      <c r="AA1624" s="87"/>
      <c r="AB1624" s="87"/>
      <c r="AC1624" s="87"/>
      <c r="AD1624" s="87"/>
      <c r="AE1624" s="87"/>
      <c r="AF1624" s="87"/>
      <c r="AG1624" s="87"/>
      <c r="AH1624" s="87">
        <v>106</v>
      </c>
      <c r="AI1624" s="87">
        <v>4</v>
      </c>
      <c r="AJ1624" s="87"/>
      <c r="AK1624" s="87"/>
      <c r="AL1624" s="87"/>
      <c r="AM1624" s="87"/>
      <c r="AN1624" s="87"/>
      <c r="AO1624" s="87"/>
      <c r="AP1624" s="87">
        <v>13</v>
      </c>
      <c r="AQ1624" s="87">
        <v>20</v>
      </c>
      <c r="AR1624" s="87">
        <v>40</v>
      </c>
      <c r="AS1624" s="87">
        <v>12</v>
      </c>
      <c r="AT1624" s="87">
        <v>15</v>
      </c>
      <c r="AU1624" s="87">
        <v>10</v>
      </c>
      <c r="AV1624" s="87"/>
      <c r="AW1624" s="88" t="str">
        <f>HYPERLINK("http://www.openstreetmap.org/?mlat=35.1492&amp;mlon=44.4405&amp;zoom=12#map=12/35.1492/44.4405","Maplink1")</f>
        <v>Maplink1</v>
      </c>
      <c r="AX1624" s="88" t="str">
        <f>HYPERLINK("https://www.google.iq/maps/search/+35.1492,44.4405/@35.1492,44.4405,14z?hl=en","Maplink2")</f>
        <v>Maplink2</v>
      </c>
      <c r="AY1624" s="88" t="str">
        <f>HYPERLINK("http://www.bing.com/maps/?lvl=14&amp;sty=h&amp;cp=35.1492~44.4405&amp;sp=point.35.1492_44.4405","Maplink3")</f>
        <v>Maplink3</v>
      </c>
      <c r="AZ1624" s="76"/>
    </row>
    <row r="1625" spans="1:52" x14ac:dyDescent="0.25">
      <c r="A1625" s="86">
        <v>31725</v>
      </c>
      <c r="B1625" s="87" t="s">
        <v>20</v>
      </c>
      <c r="C1625" s="87" t="s">
        <v>3161</v>
      </c>
      <c r="D1625" s="87" t="s">
        <v>3172</v>
      </c>
      <c r="E1625" s="87" t="s">
        <v>3173</v>
      </c>
      <c r="F1625" s="87">
        <v>35.144328213999998</v>
      </c>
      <c r="G1625" s="87">
        <v>44.455644699399997</v>
      </c>
      <c r="H1625" s="86">
        <v>19</v>
      </c>
      <c r="I1625" s="86">
        <v>114</v>
      </c>
      <c r="J1625" s="87"/>
      <c r="K1625" s="87"/>
      <c r="L1625" s="87"/>
      <c r="M1625" s="87"/>
      <c r="N1625" s="87"/>
      <c r="O1625" s="87">
        <v>1</v>
      </c>
      <c r="P1625" s="87"/>
      <c r="Q1625" s="87"/>
      <c r="R1625" s="87">
        <v>16</v>
      </c>
      <c r="S1625" s="87"/>
      <c r="T1625" s="87"/>
      <c r="U1625" s="87"/>
      <c r="V1625" s="87"/>
      <c r="W1625" s="87"/>
      <c r="X1625" s="87">
        <v>2</v>
      </c>
      <c r="Y1625" s="87"/>
      <c r="Z1625" s="87"/>
      <c r="AA1625" s="87"/>
      <c r="AB1625" s="87"/>
      <c r="AC1625" s="87"/>
      <c r="AD1625" s="87"/>
      <c r="AE1625" s="87"/>
      <c r="AF1625" s="87"/>
      <c r="AG1625" s="87"/>
      <c r="AH1625" s="87">
        <v>19</v>
      </c>
      <c r="AI1625" s="87"/>
      <c r="AJ1625" s="87"/>
      <c r="AK1625" s="87"/>
      <c r="AL1625" s="87"/>
      <c r="AM1625" s="87"/>
      <c r="AN1625" s="87"/>
      <c r="AO1625" s="87"/>
      <c r="AP1625" s="87"/>
      <c r="AQ1625" s="87">
        <v>2</v>
      </c>
      <c r="AR1625" s="87">
        <v>5</v>
      </c>
      <c r="AS1625" s="87">
        <v>2</v>
      </c>
      <c r="AT1625" s="87"/>
      <c r="AU1625" s="87">
        <v>10</v>
      </c>
      <c r="AV1625" s="87"/>
      <c r="AW1625" s="88" t="str">
        <f>HYPERLINK("http://www.openstreetmap.org/?mlat=35.1443&amp;mlon=44.4556&amp;zoom=12#map=12/35.1443/44.4556","Maplink1")</f>
        <v>Maplink1</v>
      </c>
      <c r="AX1625" s="88" t="str">
        <f>HYPERLINK("https://www.google.iq/maps/search/+35.1443,44.4556/@35.1443,44.4556,14z?hl=en","Maplink2")</f>
        <v>Maplink2</v>
      </c>
      <c r="AY1625" s="88" t="str">
        <f>HYPERLINK("http://www.bing.com/maps/?lvl=14&amp;sty=h&amp;cp=35.1443~44.4556&amp;sp=point.35.1443_44.4556","Maplink3")</f>
        <v>Maplink3</v>
      </c>
      <c r="AZ1625" s="76"/>
    </row>
    <row r="1626" spans="1:52" x14ac:dyDescent="0.25">
      <c r="A1626" s="86">
        <v>15110</v>
      </c>
      <c r="B1626" s="87" t="s">
        <v>20</v>
      </c>
      <c r="C1626" s="87" t="s">
        <v>3161</v>
      </c>
      <c r="D1626" s="87" t="s">
        <v>3174</v>
      </c>
      <c r="E1626" s="87" t="s">
        <v>3175</v>
      </c>
      <c r="F1626" s="87">
        <v>35.1603029017</v>
      </c>
      <c r="G1626" s="87">
        <v>44.444369399099998</v>
      </c>
      <c r="H1626" s="86">
        <v>90</v>
      </c>
      <c r="I1626" s="86">
        <v>540</v>
      </c>
      <c r="J1626" s="87"/>
      <c r="K1626" s="87"/>
      <c r="L1626" s="87"/>
      <c r="M1626" s="87"/>
      <c r="N1626" s="87"/>
      <c r="O1626" s="87">
        <v>6</v>
      </c>
      <c r="P1626" s="87"/>
      <c r="Q1626" s="87"/>
      <c r="R1626" s="87">
        <v>80</v>
      </c>
      <c r="S1626" s="87"/>
      <c r="T1626" s="87"/>
      <c r="U1626" s="87"/>
      <c r="V1626" s="87"/>
      <c r="W1626" s="87"/>
      <c r="X1626" s="87">
        <v>4</v>
      </c>
      <c r="Y1626" s="87"/>
      <c r="Z1626" s="87"/>
      <c r="AA1626" s="87"/>
      <c r="AB1626" s="87"/>
      <c r="AC1626" s="87"/>
      <c r="AD1626" s="87"/>
      <c r="AE1626" s="87">
        <v>2</v>
      </c>
      <c r="AF1626" s="87"/>
      <c r="AG1626" s="87"/>
      <c r="AH1626" s="87">
        <v>70</v>
      </c>
      <c r="AI1626" s="87">
        <v>13</v>
      </c>
      <c r="AJ1626" s="87"/>
      <c r="AK1626" s="87">
        <v>5</v>
      </c>
      <c r="AL1626" s="87"/>
      <c r="AM1626" s="87"/>
      <c r="AN1626" s="87"/>
      <c r="AO1626" s="87"/>
      <c r="AP1626" s="87">
        <v>8</v>
      </c>
      <c r="AQ1626" s="87">
        <v>10</v>
      </c>
      <c r="AR1626" s="87">
        <v>27</v>
      </c>
      <c r="AS1626" s="87">
        <v>10</v>
      </c>
      <c r="AT1626" s="87">
        <v>25</v>
      </c>
      <c r="AU1626" s="87">
        <v>10</v>
      </c>
      <c r="AV1626" s="87"/>
      <c r="AW1626" s="88" t="str">
        <f>HYPERLINK("http://www.openstreetmap.org/?mlat=35.1603&amp;mlon=44.4444&amp;zoom=12#map=12/35.1603/44.4444","Maplink1")</f>
        <v>Maplink1</v>
      </c>
      <c r="AX1626" s="88" t="str">
        <f>HYPERLINK("https://www.google.iq/maps/search/+35.1603,44.4444/@35.1603,44.4444,14z?hl=en","Maplink2")</f>
        <v>Maplink2</v>
      </c>
      <c r="AY1626" s="88" t="str">
        <f>HYPERLINK("http://www.bing.com/maps/?lvl=14&amp;sty=h&amp;cp=35.1603~44.4444&amp;sp=point.35.1603_44.4444","Maplink3")</f>
        <v>Maplink3</v>
      </c>
      <c r="AZ1626" s="76"/>
    </row>
    <row r="1627" spans="1:52" x14ac:dyDescent="0.25">
      <c r="A1627" s="86">
        <v>21483</v>
      </c>
      <c r="B1627" s="87" t="s">
        <v>20</v>
      </c>
      <c r="C1627" s="87" t="s">
        <v>3161</v>
      </c>
      <c r="D1627" s="87" t="s">
        <v>3176</v>
      </c>
      <c r="E1627" s="87" t="s">
        <v>3177</v>
      </c>
      <c r="F1627" s="87">
        <v>35.1388584213</v>
      </c>
      <c r="G1627" s="87">
        <v>44.439715800099997</v>
      </c>
      <c r="H1627" s="86">
        <v>83</v>
      </c>
      <c r="I1627" s="86">
        <v>498</v>
      </c>
      <c r="J1627" s="87"/>
      <c r="K1627" s="87"/>
      <c r="L1627" s="87"/>
      <c r="M1627" s="87"/>
      <c r="N1627" s="87"/>
      <c r="O1627" s="87"/>
      <c r="P1627" s="87"/>
      <c r="Q1627" s="87"/>
      <c r="R1627" s="87">
        <v>65</v>
      </c>
      <c r="S1627" s="87"/>
      <c r="T1627" s="87"/>
      <c r="U1627" s="87"/>
      <c r="V1627" s="87"/>
      <c r="W1627" s="87"/>
      <c r="X1627" s="87">
        <v>18</v>
      </c>
      <c r="Y1627" s="87"/>
      <c r="Z1627" s="87"/>
      <c r="AA1627" s="87"/>
      <c r="AB1627" s="87"/>
      <c r="AC1627" s="87"/>
      <c r="AD1627" s="87"/>
      <c r="AE1627" s="87">
        <v>21</v>
      </c>
      <c r="AF1627" s="87"/>
      <c r="AG1627" s="87"/>
      <c r="AH1627" s="87">
        <v>62</v>
      </c>
      <c r="AI1627" s="87"/>
      <c r="AJ1627" s="87"/>
      <c r="AK1627" s="87"/>
      <c r="AL1627" s="87"/>
      <c r="AM1627" s="87"/>
      <c r="AN1627" s="87"/>
      <c r="AO1627" s="87"/>
      <c r="AP1627" s="87"/>
      <c r="AQ1627" s="87">
        <v>23</v>
      </c>
      <c r="AR1627" s="87">
        <v>10</v>
      </c>
      <c r="AS1627" s="87">
        <v>5</v>
      </c>
      <c r="AT1627" s="87">
        <v>20</v>
      </c>
      <c r="AU1627" s="87">
        <v>25</v>
      </c>
      <c r="AV1627" s="87"/>
      <c r="AW1627" s="88" t="str">
        <f>HYPERLINK("http://www.openstreetmap.org/?mlat=35.1389&amp;mlon=44.4397&amp;zoom=12#map=12/35.1389/44.4397","Maplink1")</f>
        <v>Maplink1</v>
      </c>
      <c r="AX1627" s="88" t="str">
        <f>HYPERLINK("https://www.google.iq/maps/search/+35.1389,44.4397/@35.1389,44.4397,14z?hl=en","Maplink2")</f>
        <v>Maplink2</v>
      </c>
      <c r="AY1627" s="88" t="str">
        <f>HYPERLINK("http://www.bing.com/maps/?lvl=14&amp;sty=h&amp;cp=35.1389~44.4397&amp;sp=point.35.1389_44.4397","Maplink3")</f>
        <v>Maplink3</v>
      </c>
      <c r="AZ1627" s="76"/>
    </row>
    <row r="1628" spans="1:52" x14ac:dyDescent="0.25">
      <c r="A1628" s="86">
        <v>33477</v>
      </c>
      <c r="B1628" s="87" t="s">
        <v>20</v>
      </c>
      <c r="C1628" s="87" t="s">
        <v>3161</v>
      </c>
      <c r="D1628" s="87" t="s">
        <v>3178</v>
      </c>
      <c r="E1628" s="87" t="s">
        <v>3179</v>
      </c>
      <c r="F1628" s="87">
        <v>35.148330290200001</v>
      </c>
      <c r="G1628" s="87">
        <v>44.454638892200002</v>
      </c>
      <c r="H1628" s="86">
        <v>88</v>
      </c>
      <c r="I1628" s="86">
        <v>528</v>
      </c>
      <c r="J1628" s="87"/>
      <c r="K1628" s="87"/>
      <c r="L1628" s="87"/>
      <c r="M1628" s="87"/>
      <c r="N1628" s="87"/>
      <c r="O1628" s="87">
        <v>5</v>
      </c>
      <c r="P1628" s="87"/>
      <c r="Q1628" s="87"/>
      <c r="R1628" s="87">
        <v>73</v>
      </c>
      <c r="S1628" s="87"/>
      <c r="T1628" s="87"/>
      <c r="U1628" s="87"/>
      <c r="V1628" s="87"/>
      <c r="W1628" s="87"/>
      <c r="X1628" s="87">
        <v>10</v>
      </c>
      <c r="Y1628" s="87"/>
      <c r="Z1628" s="87"/>
      <c r="AA1628" s="87"/>
      <c r="AB1628" s="87"/>
      <c r="AC1628" s="87"/>
      <c r="AD1628" s="87"/>
      <c r="AE1628" s="87"/>
      <c r="AF1628" s="87"/>
      <c r="AG1628" s="87"/>
      <c r="AH1628" s="87">
        <v>88</v>
      </c>
      <c r="AI1628" s="87"/>
      <c r="AJ1628" s="87"/>
      <c r="AK1628" s="87"/>
      <c r="AL1628" s="87"/>
      <c r="AM1628" s="87"/>
      <c r="AN1628" s="87"/>
      <c r="AO1628" s="87"/>
      <c r="AP1628" s="87">
        <v>10</v>
      </c>
      <c r="AQ1628" s="87">
        <v>41</v>
      </c>
      <c r="AR1628" s="87">
        <v>22</v>
      </c>
      <c r="AS1628" s="87">
        <v>10</v>
      </c>
      <c r="AT1628" s="87">
        <v>5</v>
      </c>
      <c r="AU1628" s="87"/>
      <c r="AV1628" s="87"/>
      <c r="AW1628" s="88" t="str">
        <f>HYPERLINK("http://www.openstreetmap.org/?mlat=35.1483&amp;mlon=44.4546&amp;zoom=12#map=12/35.1483/44.4546","Maplink1")</f>
        <v>Maplink1</v>
      </c>
      <c r="AX1628" s="88" t="str">
        <f>HYPERLINK("https://www.google.iq/maps/search/+35.1483,44.4546/@35.1483,44.4546,14z?hl=en","Maplink2")</f>
        <v>Maplink2</v>
      </c>
      <c r="AY1628" s="88" t="str">
        <f>HYPERLINK("http://www.bing.com/maps/?lvl=14&amp;sty=h&amp;cp=35.1483~44.4546&amp;sp=point.35.1483_44.4546","Maplink3")</f>
        <v>Maplink3</v>
      </c>
      <c r="AZ1628" s="76"/>
    </row>
    <row r="1629" spans="1:52" x14ac:dyDescent="0.25">
      <c r="A1629" s="86">
        <v>25557</v>
      </c>
      <c r="B1629" s="87" t="s">
        <v>20</v>
      </c>
      <c r="C1629" s="87" t="s">
        <v>3161</v>
      </c>
      <c r="D1629" s="87" t="s">
        <v>3180</v>
      </c>
      <c r="E1629" s="87" t="s">
        <v>3181</v>
      </c>
      <c r="F1629" s="87">
        <v>35.418071340600001</v>
      </c>
      <c r="G1629" s="87">
        <v>44.629477146799999</v>
      </c>
      <c r="H1629" s="86">
        <v>105</v>
      </c>
      <c r="I1629" s="86">
        <v>630</v>
      </c>
      <c r="J1629" s="87"/>
      <c r="K1629" s="87"/>
      <c r="L1629" s="87"/>
      <c r="M1629" s="87"/>
      <c r="N1629" s="87"/>
      <c r="O1629" s="87"/>
      <c r="P1629" s="87"/>
      <c r="Q1629" s="87"/>
      <c r="R1629" s="87"/>
      <c r="S1629" s="87"/>
      <c r="T1629" s="87"/>
      <c r="U1629" s="87"/>
      <c r="V1629" s="87"/>
      <c r="W1629" s="87"/>
      <c r="X1629" s="87">
        <v>105</v>
      </c>
      <c r="Y1629" s="87"/>
      <c r="Z1629" s="87"/>
      <c r="AA1629" s="87"/>
      <c r="AB1629" s="87"/>
      <c r="AC1629" s="87"/>
      <c r="AD1629" s="87"/>
      <c r="AE1629" s="87"/>
      <c r="AF1629" s="87"/>
      <c r="AG1629" s="87"/>
      <c r="AH1629" s="87">
        <v>98</v>
      </c>
      <c r="AI1629" s="87"/>
      <c r="AJ1629" s="87"/>
      <c r="AK1629" s="87">
        <v>7</v>
      </c>
      <c r="AL1629" s="87"/>
      <c r="AM1629" s="87"/>
      <c r="AN1629" s="87"/>
      <c r="AO1629" s="87">
        <v>8</v>
      </c>
      <c r="AP1629" s="87">
        <v>32</v>
      </c>
      <c r="AQ1629" s="87">
        <v>25</v>
      </c>
      <c r="AR1629" s="87">
        <v>5</v>
      </c>
      <c r="AS1629" s="87"/>
      <c r="AT1629" s="87"/>
      <c r="AU1629" s="87">
        <v>35</v>
      </c>
      <c r="AV1629" s="87"/>
      <c r="AW1629" s="88" t="str">
        <f>HYPERLINK("http://www.openstreetmap.org/?mlat=35.4181&amp;mlon=44.6295&amp;zoom=12#map=12/35.4181/44.6295","Maplink1")</f>
        <v>Maplink1</v>
      </c>
      <c r="AX1629" s="88" t="str">
        <f>HYPERLINK("https://www.google.iq/maps/search/+35.4181,44.6295/@35.4181,44.6295,14z?hl=en","Maplink2")</f>
        <v>Maplink2</v>
      </c>
      <c r="AY1629" s="88" t="str">
        <f>HYPERLINK("http://www.bing.com/maps/?lvl=14&amp;sty=h&amp;cp=35.4181~44.6295&amp;sp=point.35.4181_44.6295","Maplink3")</f>
        <v>Maplink3</v>
      </c>
      <c r="AZ1629" s="76"/>
    </row>
    <row r="1630" spans="1:52" x14ac:dyDescent="0.25">
      <c r="A1630" s="86">
        <v>29668</v>
      </c>
      <c r="B1630" s="87" t="s">
        <v>20</v>
      </c>
      <c r="C1630" s="87" t="s">
        <v>3161</v>
      </c>
      <c r="D1630" s="87" t="s">
        <v>3182</v>
      </c>
      <c r="E1630" s="87" t="s">
        <v>3183</v>
      </c>
      <c r="F1630" s="87">
        <v>35.329741982900003</v>
      </c>
      <c r="G1630" s="87">
        <v>44.529154315900001</v>
      </c>
      <c r="H1630" s="86">
        <v>538</v>
      </c>
      <c r="I1630" s="86">
        <v>3228</v>
      </c>
      <c r="J1630" s="87">
        <v>1</v>
      </c>
      <c r="K1630" s="87">
        <v>3</v>
      </c>
      <c r="L1630" s="87">
        <v>2</v>
      </c>
      <c r="M1630" s="87"/>
      <c r="N1630" s="87"/>
      <c r="O1630" s="87">
        <v>3</v>
      </c>
      <c r="P1630" s="87"/>
      <c r="Q1630" s="87"/>
      <c r="R1630" s="87">
        <v>490</v>
      </c>
      <c r="S1630" s="87"/>
      <c r="T1630" s="87"/>
      <c r="U1630" s="87"/>
      <c r="V1630" s="87">
        <v>3</v>
      </c>
      <c r="W1630" s="87"/>
      <c r="X1630" s="87">
        <v>36</v>
      </c>
      <c r="Y1630" s="87"/>
      <c r="Z1630" s="87"/>
      <c r="AA1630" s="87"/>
      <c r="AB1630" s="87">
        <v>538</v>
      </c>
      <c r="AC1630" s="87"/>
      <c r="AD1630" s="87"/>
      <c r="AE1630" s="87"/>
      <c r="AF1630" s="87"/>
      <c r="AG1630" s="87"/>
      <c r="AH1630" s="87"/>
      <c r="AI1630" s="87"/>
      <c r="AJ1630" s="87"/>
      <c r="AK1630" s="87"/>
      <c r="AL1630" s="87"/>
      <c r="AM1630" s="87"/>
      <c r="AN1630" s="87"/>
      <c r="AO1630" s="87"/>
      <c r="AP1630" s="87"/>
      <c r="AQ1630" s="87">
        <v>10</v>
      </c>
      <c r="AR1630" s="87">
        <v>21</v>
      </c>
      <c r="AS1630" s="87">
        <v>30</v>
      </c>
      <c r="AT1630" s="87">
        <v>402</v>
      </c>
      <c r="AU1630" s="87">
        <v>75</v>
      </c>
      <c r="AV1630" s="87"/>
      <c r="AW1630" s="88" t="str">
        <f>HYPERLINK("http://www.openstreetmap.org/?mlat=35.3297&amp;mlon=44.5292&amp;zoom=12#map=12/35.3297/44.5292","Maplink1")</f>
        <v>Maplink1</v>
      </c>
      <c r="AX1630" s="88" t="str">
        <f>HYPERLINK("https://www.google.iq/maps/search/+35.3297,44.5292/@35.3297,44.5292,14z?hl=en","Maplink2")</f>
        <v>Maplink2</v>
      </c>
      <c r="AY1630" s="88" t="str">
        <f>HYPERLINK("http://www.bing.com/maps/?lvl=14&amp;sty=h&amp;cp=35.3297~44.5292&amp;sp=point.35.3297_44.5292","Maplink3")</f>
        <v>Maplink3</v>
      </c>
      <c r="AZ1630" s="76"/>
    </row>
    <row r="1631" spans="1:52" x14ac:dyDescent="0.25">
      <c r="A1631" s="86">
        <v>14536</v>
      </c>
      <c r="B1631" s="87" t="s">
        <v>20</v>
      </c>
      <c r="C1631" s="87" t="s">
        <v>3161</v>
      </c>
      <c r="D1631" s="87" t="s">
        <v>3184</v>
      </c>
      <c r="E1631" s="87" t="s">
        <v>3185</v>
      </c>
      <c r="F1631" s="87">
        <v>35.327984415700001</v>
      </c>
      <c r="G1631" s="87">
        <v>44.5283576215</v>
      </c>
      <c r="H1631" s="86">
        <v>1023</v>
      </c>
      <c r="I1631" s="86">
        <v>6138</v>
      </c>
      <c r="J1631" s="87">
        <v>4</v>
      </c>
      <c r="K1631" s="87">
        <v>1</v>
      </c>
      <c r="L1631" s="87"/>
      <c r="M1631" s="87"/>
      <c r="N1631" s="87"/>
      <c r="O1631" s="87">
        <v>10</v>
      </c>
      <c r="P1631" s="87"/>
      <c r="Q1631" s="87"/>
      <c r="R1631" s="87">
        <v>590</v>
      </c>
      <c r="S1631" s="87"/>
      <c r="T1631" s="87"/>
      <c r="U1631" s="87"/>
      <c r="V1631" s="87">
        <v>10</v>
      </c>
      <c r="W1631" s="87"/>
      <c r="X1631" s="87">
        <v>408</v>
      </c>
      <c r="Y1631" s="87"/>
      <c r="Z1631" s="87"/>
      <c r="AA1631" s="87"/>
      <c r="AB1631" s="87">
        <v>1023</v>
      </c>
      <c r="AC1631" s="87"/>
      <c r="AD1631" s="87"/>
      <c r="AE1631" s="87"/>
      <c r="AF1631" s="87"/>
      <c r="AG1631" s="87"/>
      <c r="AH1631" s="87"/>
      <c r="AI1631" s="87"/>
      <c r="AJ1631" s="87"/>
      <c r="AK1631" s="87"/>
      <c r="AL1631" s="87"/>
      <c r="AM1631" s="87"/>
      <c r="AN1631" s="87"/>
      <c r="AO1631" s="87">
        <v>165</v>
      </c>
      <c r="AP1631" s="87">
        <v>160</v>
      </c>
      <c r="AQ1631" s="87">
        <v>150</v>
      </c>
      <c r="AR1631" s="87">
        <v>60</v>
      </c>
      <c r="AS1631" s="87">
        <v>200</v>
      </c>
      <c r="AT1631" s="87">
        <v>153</v>
      </c>
      <c r="AU1631" s="87">
        <v>135</v>
      </c>
      <c r="AV1631" s="87"/>
      <c r="AW1631" s="88" t="str">
        <f>HYPERLINK("http://www.openstreetmap.org/?mlat=35.328&amp;mlon=44.5284&amp;zoom=12#map=12/35.328/44.5284","Maplink1")</f>
        <v>Maplink1</v>
      </c>
      <c r="AX1631" s="88" t="str">
        <f>HYPERLINK("https://www.google.iq/maps/search/+35.328,44.5284/@35.328,44.5284,14z?hl=en","Maplink2")</f>
        <v>Maplink2</v>
      </c>
      <c r="AY1631" s="88" t="str">
        <f>HYPERLINK("http://www.bing.com/maps/?lvl=14&amp;sty=h&amp;cp=35.328~44.5284&amp;sp=point.35.328_44.5284","Maplink3")</f>
        <v>Maplink3</v>
      </c>
      <c r="AZ1631" s="76"/>
    </row>
    <row r="1632" spans="1:52" x14ac:dyDescent="0.25">
      <c r="A1632" s="86">
        <v>25738</v>
      </c>
      <c r="B1632" s="87" t="s">
        <v>20</v>
      </c>
      <c r="C1632" s="87" t="s">
        <v>3161</v>
      </c>
      <c r="D1632" s="87" t="s">
        <v>3186</v>
      </c>
      <c r="E1632" s="87" t="s">
        <v>3187</v>
      </c>
      <c r="F1632" s="87">
        <v>35.279840547200003</v>
      </c>
      <c r="G1632" s="87">
        <v>44.360480203500003</v>
      </c>
      <c r="H1632" s="86">
        <v>27</v>
      </c>
      <c r="I1632" s="86">
        <v>162</v>
      </c>
      <c r="J1632" s="87"/>
      <c r="K1632" s="87"/>
      <c r="L1632" s="87"/>
      <c r="M1632" s="87"/>
      <c r="N1632" s="87"/>
      <c r="O1632" s="87"/>
      <c r="P1632" s="87"/>
      <c r="Q1632" s="87"/>
      <c r="R1632" s="87">
        <v>26</v>
      </c>
      <c r="S1632" s="87"/>
      <c r="T1632" s="87"/>
      <c r="U1632" s="87"/>
      <c r="V1632" s="87"/>
      <c r="W1632" s="87"/>
      <c r="X1632" s="87">
        <v>1</v>
      </c>
      <c r="Y1632" s="87"/>
      <c r="Z1632" s="87"/>
      <c r="AA1632" s="87"/>
      <c r="AB1632" s="87"/>
      <c r="AC1632" s="87"/>
      <c r="AD1632" s="87"/>
      <c r="AE1632" s="87">
        <v>27</v>
      </c>
      <c r="AF1632" s="87"/>
      <c r="AG1632" s="87"/>
      <c r="AH1632" s="87"/>
      <c r="AI1632" s="87"/>
      <c r="AJ1632" s="87"/>
      <c r="AK1632" s="87"/>
      <c r="AL1632" s="87"/>
      <c r="AM1632" s="87"/>
      <c r="AN1632" s="87"/>
      <c r="AO1632" s="87"/>
      <c r="AP1632" s="87">
        <v>2</v>
      </c>
      <c r="AQ1632" s="87">
        <v>17</v>
      </c>
      <c r="AR1632" s="87"/>
      <c r="AS1632" s="87">
        <v>4</v>
      </c>
      <c r="AT1632" s="87">
        <v>2</v>
      </c>
      <c r="AU1632" s="87">
        <v>2</v>
      </c>
      <c r="AV1632" s="87"/>
      <c r="AW1632" s="88" t="str">
        <f>HYPERLINK("http://www.openstreetmap.org/?mlat=35.2798&amp;mlon=44.3605&amp;zoom=12#map=12/35.2798/44.3605","Maplink1")</f>
        <v>Maplink1</v>
      </c>
      <c r="AX1632" s="88" t="str">
        <f>HYPERLINK("https://www.google.iq/maps/search/+35.2798,44.3605/@35.2798,44.3605,14z?hl=en","Maplink2")</f>
        <v>Maplink2</v>
      </c>
      <c r="AY1632" s="88" t="str">
        <f>HYPERLINK("http://www.bing.com/maps/?lvl=14&amp;sty=h&amp;cp=35.2798~44.3605&amp;sp=point.35.2798_44.3605","Maplink3")</f>
        <v>Maplink3</v>
      </c>
      <c r="AZ1632" s="76"/>
    </row>
    <row r="1633" spans="1:52" x14ac:dyDescent="0.25">
      <c r="A1633" s="86">
        <v>25739</v>
      </c>
      <c r="B1633" s="87" t="s">
        <v>20</v>
      </c>
      <c r="C1633" s="87" t="s">
        <v>3161</v>
      </c>
      <c r="D1633" s="87" t="s">
        <v>3188</v>
      </c>
      <c r="E1633" s="87" t="s">
        <v>3189</v>
      </c>
      <c r="F1633" s="87">
        <v>35.252551758700001</v>
      </c>
      <c r="G1633" s="87">
        <v>44.394703088699998</v>
      </c>
      <c r="H1633" s="86">
        <v>120</v>
      </c>
      <c r="I1633" s="86">
        <v>720</v>
      </c>
      <c r="J1633" s="87"/>
      <c r="K1633" s="87"/>
      <c r="L1633" s="87"/>
      <c r="M1633" s="87"/>
      <c r="N1633" s="87"/>
      <c r="O1633" s="87"/>
      <c r="P1633" s="87"/>
      <c r="Q1633" s="87"/>
      <c r="R1633" s="87">
        <v>120</v>
      </c>
      <c r="S1633" s="87"/>
      <c r="T1633" s="87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87"/>
      <c r="AE1633" s="87">
        <v>120</v>
      </c>
      <c r="AF1633" s="87"/>
      <c r="AG1633" s="87"/>
      <c r="AH1633" s="87"/>
      <c r="AI1633" s="87"/>
      <c r="AJ1633" s="87"/>
      <c r="AK1633" s="87"/>
      <c r="AL1633" s="87"/>
      <c r="AM1633" s="87"/>
      <c r="AN1633" s="87"/>
      <c r="AO1633" s="87"/>
      <c r="AP1633" s="87"/>
      <c r="AQ1633" s="87">
        <v>115</v>
      </c>
      <c r="AR1633" s="87"/>
      <c r="AS1633" s="87"/>
      <c r="AT1633" s="87">
        <v>5</v>
      </c>
      <c r="AU1633" s="87"/>
      <c r="AV1633" s="87"/>
      <c r="AW1633" s="88" t="str">
        <f>HYPERLINK("http://www.openstreetmap.org/?mlat=35.2526&amp;mlon=44.3947&amp;zoom=12#map=12/35.2526/44.3947","Maplink1")</f>
        <v>Maplink1</v>
      </c>
      <c r="AX1633" s="88" t="str">
        <f>HYPERLINK("https://www.google.iq/maps/search/+35.2526,44.3947/@35.2526,44.3947,14z?hl=en","Maplink2")</f>
        <v>Maplink2</v>
      </c>
      <c r="AY1633" s="88" t="str">
        <f>HYPERLINK("http://www.bing.com/maps/?lvl=14&amp;sty=h&amp;cp=35.2526~44.3947&amp;sp=point.35.2526_44.3947","Maplink3")</f>
        <v>Maplink3</v>
      </c>
      <c r="AZ1633" s="76"/>
    </row>
    <row r="1634" spans="1:52" x14ac:dyDescent="0.25">
      <c r="A1634" s="86">
        <v>21711</v>
      </c>
      <c r="B1634" s="87" t="s">
        <v>20</v>
      </c>
      <c r="C1634" s="87" t="s">
        <v>3161</v>
      </c>
      <c r="D1634" s="87" t="s">
        <v>2038</v>
      </c>
      <c r="E1634" s="87" t="s">
        <v>3190</v>
      </c>
      <c r="F1634" s="87">
        <v>35.315737935800001</v>
      </c>
      <c r="G1634" s="87">
        <v>44.513865689600003</v>
      </c>
      <c r="H1634" s="86">
        <v>50</v>
      </c>
      <c r="I1634" s="86">
        <v>300</v>
      </c>
      <c r="J1634" s="87">
        <v>3</v>
      </c>
      <c r="K1634" s="87"/>
      <c r="L1634" s="87"/>
      <c r="M1634" s="87"/>
      <c r="N1634" s="87"/>
      <c r="O1634" s="87"/>
      <c r="P1634" s="87"/>
      <c r="Q1634" s="87"/>
      <c r="R1634" s="87">
        <v>33</v>
      </c>
      <c r="S1634" s="87"/>
      <c r="T1634" s="87"/>
      <c r="U1634" s="87"/>
      <c r="V1634" s="87">
        <v>4</v>
      </c>
      <c r="W1634" s="87"/>
      <c r="X1634" s="87">
        <v>10</v>
      </c>
      <c r="Y1634" s="87"/>
      <c r="Z1634" s="87"/>
      <c r="AA1634" s="87"/>
      <c r="AB1634" s="87"/>
      <c r="AC1634" s="87"/>
      <c r="AD1634" s="87"/>
      <c r="AE1634" s="87"/>
      <c r="AF1634" s="87"/>
      <c r="AG1634" s="87"/>
      <c r="AH1634" s="87">
        <v>50</v>
      </c>
      <c r="AI1634" s="87"/>
      <c r="AJ1634" s="87"/>
      <c r="AK1634" s="87"/>
      <c r="AL1634" s="87"/>
      <c r="AM1634" s="87"/>
      <c r="AN1634" s="87"/>
      <c r="AO1634" s="87">
        <v>3</v>
      </c>
      <c r="AP1634" s="87">
        <v>3</v>
      </c>
      <c r="AQ1634" s="87">
        <v>10</v>
      </c>
      <c r="AR1634" s="87">
        <v>24</v>
      </c>
      <c r="AS1634" s="87"/>
      <c r="AT1634" s="87"/>
      <c r="AU1634" s="87">
        <v>10</v>
      </c>
      <c r="AV1634" s="87"/>
      <c r="AW1634" s="88" t="str">
        <f>HYPERLINK("http://www.openstreetmap.org/?mlat=35.3157&amp;mlon=44.5139&amp;zoom=12#map=12/35.3157/44.5139","Maplink1")</f>
        <v>Maplink1</v>
      </c>
      <c r="AX1634" s="88" t="str">
        <f>HYPERLINK("https://www.google.iq/maps/search/+35.3157,44.5139/@35.3157,44.5139,14z?hl=en","Maplink2")</f>
        <v>Maplink2</v>
      </c>
      <c r="AY1634" s="88" t="str">
        <f>HYPERLINK("http://www.bing.com/maps/?lvl=14&amp;sty=h&amp;cp=35.3157~44.5139&amp;sp=point.35.3157_44.5139","Maplink3")</f>
        <v>Maplink3</v>
      </c>
      <c r="AZ1634" s="76"/>
    </row>
    <row r="1635" spans="1:52" x14ac:dyDescent="0.25">
      <c r="A1635" s="86">
        <v>14960</v>
      </c>
      <c r="B1635" s="87" t="s">
        <v>20</v>
      </c>
      <c r="C1635" s="87" t="s">
        <v>3161</v>
      </c>
      <c r="D1635" s="87" t="s">
        <v>3191</v>
      </c>
      <c r="E1635" s="87" t="s">
        <v>3192</v>
      </c>
      <c r="F1635" s="87">
        <v>35.238927008600001</v>
      </c>
      <c r="G1635" s="87">
        <v>44.389537190799999</v>
      </c>
      <c r="H1635" s="86">
        <v>150</v>
      </c>
      <c r="I1635" s="86">
        <v>900</v>
      </c>
      <c r="J1635" s="87"/>
      <c r="K1635" s="87"/>
      <c r="L1635" s="87"/>
      <c r="M1635" s="87"/>
      <c r="N1635" s="87"/>
      <c r="O1635" s="87"/>
      <c r="P1635" s="87"/>
      <c r="Q1635" s="87"/>
      <c r="R1635" s="87">
        <v>55</v>
      </c>
      <c r="S1635" s="87"/>
      <c r="T1635" s="87"/>
      <c r="U1635" s="87"/>
      <c r="V1635" s="87">
        <v>70</v>
      </c>
      <c r="W1635" s="87"/>
      <c r="X1635" s="87">
        <v>25</v>
      </c>
      <c r="Y1635" s="87"/>
      <c r="Z1635" s="87"/>
      <c r="AA1635" s="87"/>
      <c r="AB1635" s="87"/>
      <c r="AC1635" s="87"/>
      <c r="AD1635" s="87"/>
      <c r="AE1635" s="87">
        <v>150</v>
      </c>
      <c r="AF1635" s="87"/>
      <c r="AG1635" s="87"/>
      <c r="AH1635" s="87"/>
      <c r="AI1635" s="87"/>
      <c r="AJ1635" s="87"/>
      <c r="AK1635" s="87"/>
      <c r="AL1635" s="87"/>
      <c r="AM1635" s="87"/>
      <c r="AN1635" s="87"/>
      <c r="AO1635" s="87"/>
      <c r="AP1635" s="87">
        <v>30</v>
      </c>
      <c r="AQ1635" s="87">
        <v>115</v>
      </c>
      <c r="AR1635" s="87"/>
      <c r="AS1635" s="87"/>
      <c r="AT1635" s="87">
        <v>5</v>
      </c>
      <c r="AU1635" s="87"/>
      <c r="AV1635" s="87"/>
      <c r="AW1635" s="88" t="str">
        <f>HYPERLINK("http://www.openstreetmap.org/?mlat=35.2389&amp;mlon=44.3895&amp;zoom=12#map=12/35.2389/44.3895","Maplink1")</f>
        <v>Maplink1</v>
      </c>
      <c r="AX1635" s="88" t="str">
        <f>HYPERLINK("https://www.google.iq/maps/search/+35.2389,44.3895/@35.2389,44.3895,14z?hl=en","Maplink2")</f>
        <v>Maplink2</v>
      </c>
      <c r="AY1635" s="88" t="str">
        <f>HYPERLINK("http://www.bing.com/maps/?lvl=14&amp;sty=h&amp;cp=35.2389~44.3895&amp;sp=point.35.2389_44.3895","Maplink3")</f>
        <v>Maplink3</v>
      </c>
      <c r="AZ1635" s="76"/>
    </row>
    <row r="1636" spans="1:52" x14ac:dyDescent="0.25">
      <c r="A1636" s="86">
        <v>24778</v>
      </c>
      <c r="B1636" s="87" t="s">
        <v>20</v>
      </c>
      <c r="C1636" s="87" t="s">
        <v>3161</v>
      </c>
      <c r="D1636" s="87" t="s">
        <v>3193</v>
      </c>
      <c r="E1636" s="87" t="s">
        <v>3194</v>
      </c>
      <c r="F1636" s="87">
        <v>35.327300611200002</v>
      </c>
      <c r="G1636" s="87">
        <v>44.495974021999999</v>
      </c>
      <c r="H1636" s="86">
        <v>424</v>
      </c>
      <c r="I1636" s="86">
        <v>2544</v>
      </c>
      <c r="J1636" s="87"/>
      <c r="K1636" s="87"/>
      <c r="L1636" s="87"/>
      <c r="M1636" s="87"/>
      <c r="N1636" s="87"/>
      <c r="O1636" s="87"/>
      <c r="P1636" s="87"/>
      <c r="Q1636" s="87"/>
      <c r="R1636" s="87"/>
      <c r="S1636" s="87"/>
      <c r="T1636" s="87"/>
      <c r="U1636" s="87"/>
      <c r="V1636" s="87">
        <v>424</v>
      </c>
      <c r="W1636" s="87"/>
      <c r="X1636" s="87"/>
      <c r="Y1636" s="87"/>
      <c r="Z1636" s="87"/>
      <c r="AA1636" s="87"/>
      <c r="AB1636" s="87">
        <v>424</v>
      </c>
      <c r="AC1636" s="87"/>
      <c r="AD1636" s="87"/>
      <c r="AE1636" s="87"/>
      <c r="AF1636" s="87"/>
      <c r="AG1636" s="87"/>
      <c r="AH1636" s="87"/>
      <c r="AI1636" s="87"/>
      <c r="AJ1636" s="87"/>
      <c r="AK1636" s="87"/>
      <c r="AL1636" s="87"/>
      <c r="AM1636" s="87"/>
      <c r="AN1636" s="87"/>
      <c r="AO1636" s="87">
        <v>140</v>
      </c>
      <c r="AP1636" s="87"/>
      <c r="AQ1636" s="87">
        <v>150</v>
      </c>
      <c r="AR1636" s="87"/>
      <c r="AS1636" s="87">
        <v>30</v>
      </c>
      <c r="AT1636" s="87">
        <v>89</v>
      </c>
      <c r="AU1636" s="87">
        <v>15</v>
      </c>
      <c r="AV1636" s="87"/>
      <c r="AW1636" s="88" t="str">
        <f>HYPERLINK("http://www.openstreetmap.org/?mlat=35.3273&amp;mlon=44.496&amp;zoom=12#map=12/35.3273/44.496","Maplink1")</f>
        <v>Maplink1</v>
      </c>
      <c r="AX1636" s="88" t="str">
        <f>HYPERLINK("https://www.google.iq/maps/search/+35.3273,44.496/@35.3273,44.496,14z?hl=en","Maplink2")</f>
        <v>Maplink2</v>
      </c>
      <c r="AY1636" s="88" t="str">
        <f>HYPERLINK("http://www.bing.com/maps/?lvl=14&amp;sty=h&amp;cp=35.3273~44.496&amp;sp=point.35.3273_44.496","Maplink3")</f>
        <v>Maplink3</v>
      </c>
      <c r="AZ1636" s="76"/>
    </row>
    <row r="1637" spans="1:52" x14ac:dyDescent="0.25">
      <c r="A1637" s="86">
        <v>28476</v>
      </c>
      <c r="B1637" s="87" t="s">
        <v>20</v>
      </c>
      <c r="C1637" s="87" t="s">
        <v>3161</v>
      </c>
      <c r="D1637" s="87" t="s">
        <v>3195</v>
      </c>
      <c r="E1637" s="87" t="s">
        <v>3196</v>
      </c>
      <c r="F1637" s="87">
        <v>35.312368945700001</v>
      </c>
      <c r="G1637" s="87">
        <v>44.440336901000002</v>
      </c>
      <c r="H1637" s="86">
        <v>7</v>
      </c>
      <c r="I1637" s="86">
        <v>42</v>
      </c>
      <c r="J1637" s="87"/>
      <c r="K1637" s="87"/>
      <c r="L1637" s="87"/>
      <c r="M1637" s="87"/>
      <c r="N1637" s="87"/>
      <c r="O1637" s="87"/>
      <c r="P1637" s="87"/>
      <c r="Q1637" s="87"/>
      <c r="R1637" s="87">
        <v>5</v>
      </c>
      <c r="S1637" s="87"/>
      <c r="T1637" s="87"/>
      <c r="U1637" s="87"/>
      <c r="V1637" s="87"/>
      <c r="W1637" s="87"/>
      <c r="X1637" s="87">
        <v>2</v>
      </c>
      <c r="Y1637" s="87"/>
      <c r="Z1637" s="87"/>
      <c r="AA1637" s="87"/>
      <c r="AB1637" s="87"/>
      <c r="AC1637" s="87"/>
      <c r="AD1637" s="87"/>
      <c r="AE1637" s="87"/>
      <c r="AF1637" s="87"/>
      <c r="AG1637" s="87"/>
      <c r="AH1637" s="87">
        <v>7</v>
      </c>
      <c r="AI1637" s="87"/>
      <c r="AJ1637" s="87"/>
      <c r="AK1637" s="87"/>
      <c r="AL1637" s="87"/>
      <c r="AM1637" s="87"/>
      <c r="AN1637" s="87"/>
      <c r="AO1637" s="87"/>
      <c r="AP1637" s="87"/>
      <c r="AQ1637" s="87"/>
      <c r="AR1637" s="87"/>
      <c r="AS1637" s="87">
        <v>3</v>
      </c>
      <c r="AT1637" s="87">
        <v>2</v>
      </c>
      <c r="AU1637" s="87">
        <v>2</v>
      </c>
      <c r="AV1637" s="87"/>
      <c r="AW1637" s="88" t="str">
        <f>HYPERLINK("http://www.openstreetmap.org/?mlat=35.3124&amp;mlon=44.4403&amp;zoom=12#map=12/35.3124/44.4403","Maplink1")</f>
        <v>Maplink1</v>
      </c>
      <c r="AX1637" s="88" t="str">
        <f>HYPERLINK("https://www.google.iq/maps/search/+35.3124,44.4403/@35.3124,44.4403,14z?hl=en","Maplink2")</f>
        <v>Maplink2</v>
      </c>
      <c r="AY1637" s="88" t="str">
        <f>HYPERLINK("http://www.bing.com/maps/?lvl=14&amp;sty=h&amp;cp=35.3124~44.4403&amp;sp=point.35.3124_44.4403","Maplink3")</f>
        <v>Maplink3</v>
      </c>
      <c r="AZ1637" s="76"/>
    </row>
    <row r="1638" spans="1:52" x14ac:dyDescent="0.25">
      <c r="A1638" s="86">
        <v>22289</v>
      </c>
      <c r="B1638" s="87" t="s">
        <v>20</v>
      </c>
      <c r="C1638" s="87" t="s">
        <v>20</v>
      </c>
      <c r="D1638" s="87" t="s">
        <v>3197</v>
      </c>
      <c r="E1638" s="87" t="s">
        <v>3198</v>
      </c>
      <c r="F1638" s="87">
        <v>35.476173520300001</v>
      </c>
      <c r="G1638" s="87">
        <v>44.362057115100001</v>
      </c>
      <c r="H1638" s="86">
        <v>232</v>
      </c>
      <c r="I1638" s="86">
        <v>1392</v>
      </c>
      <c r="J1638" s="87"/>
      <c r="K1638" s="87"/>
      <c r="L1638" s="87"/>
      <c r="M1638" s="87"/>
      <c r="N1638" s="87"/>
      <c r="O1638" s="87">
        <v>5</v>
      </c>
      <c r="P1638" s="87"/>
      <c r="Q1638" s="87"/>
      <c r="R1638" s="87">
        <v>210</v>
      </c>
      <c r="S1638" s="87"/>
      <c r="T1638" s="87"/>
      <c r="U1638" s="87"/>
      <c r="V1638" s="87">
        <v>5</v>
      </c>
      <c r="W1638" s="87"/>
      <c r="X1638" s="87">
        <v>12</v>
      </c>
      <c r="Y1638" s="87"/>
      <c r="Z1638" s="87"/>
      <c r="AA1638" s="87"/>
      <c r="AB1638" s="87"/>
      <c r="AC1638" s="87">
        <v>5</v>
      </c>
      <c r="AD1638" s="87"/>
      <c r="AE1638" s="87"/>
      <c r="AF1638" s="87"/>
      <c r="AG1638" s="87"/>
      <c r="AH1638" s="87">
        <v>227</v>
      </c>
      <c r="AI1638" s="87"/>
      <c r="AJ1638" s="87"/>
      <c r="AK1638" s="87"/>
      <c r="AL1638" s="87"/>
      <c r="AM1638" s="87"/>
      <c r="AN1638" s="87"/>
      <c r="AO1638" s="87"/>
      <c r="AP1638" s="87"/>
      <c r="AQ1638" s="87">
        <v>15</v>
      </c>
      <c r="AR1638" s="87">
        <v>55</v>
      </c>
      <c r="AS1638" s="87">
        <v>60</v>
      </c>
      <c r="AT1638" s="87">
        <v>62</v>
      </c>
      <c r="AU1638" s="87">
        <v>40</v>
      </c>
      <c r="AV1638" s="87"/>
      <c r="AW1638" s="88" t="str">
        <f>HYPERLINK("http://www.openstreetmap.org/?mlat=35.4762&amp;mlon=44.3621&amp;zoom=12#map=12/35.4762/44.3621","Maplink1")</f>
        <v>Maplink1</v>
      </c>
      <c r="AX1638" s="88" t="str">
        <f>HYPERLINK("https://www.google.iq/maps/search/+35.4762,44.3621/@35.4762,44.3621,14z?hl=en","Maplink2")</f>
        <v>Maplink2</v>
      </c>
      <c r="AY1638" s="88" t="str">
        <f>HYPERLINK("http://www.bing.com/maps/?lvl=14&amp;sty=h&amp;cp=35.4762~44.3621&amp;sp=point.35.4762_44.3621","Maplink3")</f>
        <v>Maplink3</v>
      </c>
      <c r="AZ1638" s="76"/>
    </row>
    <row r="1639" spans="1:52" x14ac:dyDescent="0.25">
      <c r="A1639" s="86">
        <v>24359</v>
      </c>
      <c r="B1639" s="87" t="s">
        <v>20</v>
      </c>
      <c r="C1639" s="87" t="s">
        <v>20</v>
      </c>
      <c r="D1639" s="87" t="s">
        <v>3199</v>
      </c>
      <c r="E1639" s="87" t="s">
        <v>3200</v>
      </c>
      <c r="F1639" s="87">
        <v>35.439308783000001</v>
      </c>
      <c r="G1639" s="87">
        <v>44.413350271200002</v>
      </c>
      <c r="H1639" s="86">
        <v>315</v>
      </c>
      <c r="I1639" s="86">
        <v>1890</v>
      </c>
      <c r="J1639" s="87">
        <v>30</v>
      </c>
      <c r="K1639" s="87"/>
      <c r="L1639" s="87"/>
      <c r="M1639" s="87"/>
      <c r="N1639" s="87"/>
      <c r="O1639" s="87"/>
      <c r="P1639" s="87"/>
      <c r="Q1639" s="87"/>
      <c r="R1639" s="87">
        <v>180</v>
      </c>
      <c r="S1639" s="87"/>
      <c r="T1639" s="87"/>
      <c r="U1639" s="87"/>
      <c r="V1639" s="87">
        <v>30</v>
      </c>
      <c r="W1639" s="87"/>
      <c r="X1639" s="87">
        <v>75</v>
      </c>
      <c r="Y1639" s="87"/>
      <c r="Z1639" s="87"/>
      <c r="AA1639" s="87"/>
      <c r="AB1639" s="87"/>
      <c r="AC1639" s="87"/>
      <c r="AD1639" s="87"/>
      <c r="AE1639" s="87"/>
      <c r="AF1639" s="87"/>
      <c r="AG1639" s="87"/>
      <c r="AH1639" s="87">
        <v>315</v>
      </c>
      <c r="AI1639" s="87"/>
      <c r="AJ1639" s="87"/>
      <c r="AK1639" s="87"/>
      <c r="AL1639" s="87"/>
      <c r="AM1639" s="87"/>
      <c r="AN1639" s="87">
        <v>10</v>
      </c>
      <c r="AO1639" s="87">
        <v>15</v>
      </c>
      <c r="AP1639" s="87">
        <v>10</v>
      </c>
      <c r="AQ1639" s="87">
        <v>32</v>
      </c>
      <c r="AR1639" s="87">
        <v>78</v>
      </c>
      <c r="AS1639" s="87">
        <v>40</v>
      </c>
      <c r="AT1639" s="87">
        <v>95</v>
      </c>
      <c r="AU1639" s="87">
        <v>35</v>
      </c>
      <c r="AV1639" s="87"/>
      <c r="AW1639" s="88" t="str">
        <f>HYPERLINK("http://www.openstreetmap.org/?mlat=35.4393&amp;mlon=44.4134&amp;zoom=12#map=12/35.4393/44.4134","Maplink1")</f>
        <v>Maplink1</v>
      </c>
      <c r="AX1639" s="88" t="str">
        <f>HYPERLINK("https://www.google.iq/maps/search/+35.4393,44.4134/@35.4393,44.4134,14z?hl=en","Maplink2")</f>
        <v>Maplink2</v>
      </c>
      <c r="AY1639" s="88" t="str">
        <f>HYPERLINK("http://www.bing.com/maps/?lvl=14&amp;sty=h&amp;cp=35.4393~44.4134&amp;sp=point.35.4393_44.4134","Maplink3")</f>
        <v>Maplink3</v>
      </c>
      <c r="AZ1639" s="76"/>
    </row>
    <row r="1640" spans="1:52" x14ac:dyDescent="0.25">
      <c r="A1640" s="86">
        <v>14984</v>
      </c>
      <c r="B1640" s="87" t="s">
        <v>20</v>
      </c>
      <c r="C1640" s="87" t="s">
        <v>20</v>
      </c>
      <c r="D1640" s="87" t="s">
        <v>3201</v>
      </c>
      <c r="E1640" s="87" t="s">
        <v>3202</v>
      </c>
      <c r="F1640" s="87">
        <v>35.4223311983</v>
      </c>
      <c r="G1640" s="87">
        <v>44.352494799299997</v>
      </c>
      <c r="H1640" s="86">
        <v>340</v>
      </c>
      <c r="I1640" s="86">
        <v>2040</v>
      </c>
      <c r="J1640" s="87">
        <v>15</v>
      </c>
      <c r="K1640" s="87"/>
      <c r="L1640" s="87"/>
      <c r="M1640" s="87"/>
      <c r="N1640" s="87"/>
      <c r="O1640" s="87">
        <v>20</v>
      </c>
      <c r="P1640" s="87"/>
      <c r="Q1640" s="87"/>
      <c r="R1640" s="87">
        <v>170</v>
      </c>
      <c r="S1640" s="87"/>
      <c r="T1640" s="87"/>
      <c r="U1640" s="87"/>
      <c r="V1640" s="87">
        <v>40</v>
      </c>
      <c r="W1640" s="87"/>
      <c r="X1640" s="87">
        <v>95</v>
      </c>
      <c r="Y1640" s="87"/>
      <c r="Z1640" s="87"/>
      <c r="AA1640" s="87"/>
      <c r="AB1640" s="87"/>
      <c r="AC1640" s="87">
        <v>10</v>
      </c>
      <c r="AD1640" s="87"/>
      <c r="AE1640" s="87">
        <v>8</v>
      </c>
      <c r="AF1640" s="87"/>
      <c r="AG1640" s="87"/>
      <c r="AH1640" s="87">
        <v>307</v>
      </c>
      <c r="AI1640" s="87"/>
      <c r="AJ1640" s="87"/>
      <c r="AK1640" s="87">
        <v>10</v>
      </c>
      <c r="AL1640" s="87">
        <v>5</v>
      </c>
      <c r="AM1640" s="87"/>
      <c r="AN1640" s="87">
        <v>5</v>
      </c>
      <c r="AO1640" s="87">
        <v>50</v>
      </c>
      <c r="AP1640" s="87">
        <v>30</v>
      </c>
      <c r="AQ1640" s="87">
        <v>50</v>
      </c>
      <c r="AR1640" s="87">
        <v>65</v>
      </c>
      <c r="AS1640" s="87">
        <v>70</v>
      </c>
      <c r="AT1640" s="87">
        <v>55</v>
      </c>
      <c r="AU1640" s="87">
        <v>15</v>
      </c>
      <c r="AV1640" s="87"/>
      <c r="AW1640" s="88" t="str">
        <f>HYPERLINK("http://www.openstreetmap.org/?mlat=35.4223&amp;mlon=44.3525&amp;zoom=12#map=12/35.4223/44.3525","Maplink1")</f>
        <v>Maplink1</v>
      </c>
      <c r="AX1640" s="88" t="str">
        <f>HYPERLINK("https://www.google.iq/maps/search/+35.4223,44.3525/@35.4223,44.3525,14z?hl=en","Maplink2")</f>
        <v>Maplink2</v>
      </c>
      <c r="AY1640" s="88" t="str">
        <f>HYPERLINK("http://www.bing.com/maps/?lvl=14&amp;sty=h&amp;cp=35.4223~44.3525&amp;sp=point.35.4223_44.3525","Maplink3")</f>
        <v>Maplink3</v>
      </c>
      <c r="AZ1640" s="76"/>
    </row>
    <row r="1641" spans="1:52" x14ac:dyDescent="0.25">
      <c r="A1641" s="86">
        <v>24084</v>
      </c>
      <c r="B1641" s="87" t="s">
        <v>20</v>
      </c>
      <c r="C1641" s="87" t="s">
        <v>20</v>
      </c>
      <c r="D1641" s="87" t="s">
        <v>3203</v>
      </c>
      <c r="E1641" s="87" t="s">
        <v>3204</v>
      </c>
      <c r="F1641" s="87">
        <v>35.410123721700003</v>
      </c>
      <c r="G1641" s="87">
        <v>44.3873049404</v>
      </c>
      <c r="H1641" s="86">
        <v>900</v>
      </c>
      <c r="I1641" s="86">
        <v>5400</v>
      </c>
      <c r="J1641" s="87">
        <v>10</v>
      </c>
      <c r="K1641" s="87"/>
      <c r="L1641" s="87">
        <v>40</v>
      </c>
      <c r="M1641" s="87"/>
      <c r="N1641" s="87"/>
      <c r="O1641" s="87">
        <v>90</v>
      </c>
      <c r="P1641" s="87"/>
      <c r="Q1641" s="87"/>
      <c r="R1641" s="87">
        <v>440</v>
      </c>
      <c r="S1641" s="87"/>
      <c r="T1641" s="87"/>
      <c r="U1641" s="87"/>
      <c r="V1641" s="87">
        <v>50</v>
      </c>
      <c r="W1641" s="87"/>
      <c r="X1641" s="87">
        <v>270</v>
      </c>
      <c r="Y1641" s="87"/>
      <c r="Z1641" s="87"/>
      <c r="AA1641" s="87"/>
      <c r="AB1641" s="87"/>
      <c r="AC1641" s="87">
        <v>20</v>
      </c>
      <c r="AD1641" s="87"/>
      <c r="AE1641" s="87">
        <v>30</v>
      </c>
      <c r="AF1641" s="87"/>
      <c r="AG1641" s="87"/>
      <c r="AH1641" s="87">
        <v>850</v>
      </c>
      <c r="AI1641" s="87"/>
      <c r="AJ1641" s="87"/>
      <c r="AK1641" s="87"/>
      <c r="AL1641" s="87"/>
      <c r="AM1641" s="87"/>
      <c r="AN1641" s="87">
        <v>10</v>
      </c>
      <c r="AO1641" s="87">
        <v>160</v>
      </c>
      <c r="AP1641" s="87">
        <v>90</v>
      </c>
      <c r="AQ1641" s="87">
        <v>300</v>
      </c>
      <c r="AR1641" s="87">
        <v>90</v>
      </c>
      <c r="AS1641" s="87">
        <v>70</v>
      </c>
      <c r="AT1641" s="87">
        <v>90</v>
      </c>
      <c r="AU1641" s="87">
        <v>90</v>
      </c>
      <c r="AV1641" s="87"/>
      <c r="AW1641" s="88" t="str">
        <f>HYPERLINK("http://www.openstreetmap.org/?mlat=35.4101&amp;mlon=44.3873&amp;zoom=12#map=12/35.4101/44.3873","Maplink1")</f>
        <v>Maplink1</v>
      </c>
      <c r="AX1641" s="88" t="str">
        <f>HYPERLINK("https://www.google.iq/maps/search/+35.4101,44.3873/@35.4101,44.3873,14z?hl=en","Maplink2")</f>
        <v>Maplink2</v>
      </c>
      <c r="AY1641" s="88" t="str">
        <f>HYPERLINK("http://www.bing.com/maps/?lvl=14&amp;sty=h&amp;cp=35.4101~44.3873&amp;sp=point.35.4101_44.3873","Maplink3")</f>
        <v>Maplink3</v>
      </c>
      <c r="AZ1641" s="76"/>
    </row>
    <row r="1642" spans="1:52" x14ac:dyDescent="0.25">
      <c r="A1642" s="86">
        <v>24453</v>
      </c>
      <c r="B1642" s="87" t="s">
        <v>20</v>
      </c>
      <c r="C1642" s="87" t="s">
        <v>20</v>
      </c>
      <c r="D1642" s="87" t="s">
        <v>3205</v>
      </c>
      <c r="E1642" s="87" t="s">
        <v>3206</v>
      </c>
      <c r="F1642" s="87">
        <v>35.376701341199997</v>
      </c>
      <c r="G1642" s="87">
        <v>44.349320987500001</v>
      </c>
      <c r="H1642" s="86">
        <v>340</v>
      </c>
      <c r="I1642" s="86">
        <v>2040</v>
      </c>
      <c r="J1642" s="87">
        <v>1</v>
      </c>
      <c r="K1642" s="87"/>
      <c r="L1642" s="87"/>
      <c r="M1642" s="87"/>
      <c r="N1642" s="87"/>
      <c r="O1642" s="87"/>
      <c r="P1642" s="87"/>
      <c r="Q1642" s="87"/>
      <c r="R1642" s="87">
        <v>310</v>
      </c>
      <c r="S1642" s="87"/>
      <c r="T1642" s="87"/>
      <c r="U1642" s="87"/>
      <c r="V1642" s="87">
        <v>5</v>
      </c>
      <c r="W1642" s="87"/>
      <c r="X1642" s="87">
        <v>24</v>
      </c>
      <c r="Y1642" s="87"/>
      <c r="Z1642" s="87"/>
      <c r="AA1642" s="87"/>
      <c r="AB1642" s="87"/>
      <c r="AC1642" s="87">
        <v>40</v>
      </c>
      <c r="AD1642" s="87"/>
      <c r="AE1642" s="87">
        <v>45</v>
      </c>
      <c r="AF1642" s="87"/>
      <c r="AG1642" s="87"/>
      <c r="AH1642" s="87">
        <v>175</v>
      </c>
      <c r="AI1642" s="87"/>
      <c r="AJ1642" s="87"/>
      <c r="AK1642" s="87"/>
      <c r="AL1642" s="87">
        <v>80</v>
      </c>
      <c r="AM1642" s="87"/>
      <c r="AN1642" s="87">
        <v>1</v>
      </c>
      <c r="AO1642" s="87"/>
      <c r="AP1642" s="87">
        <v>10</v>
      </c>
      <c r="AQ1642" s="87">
        <v>40</v>
      </c>
      <c r="AR1642" s="87">
        <v>45</v>
      </c>
      <c r="AS1642" s="87">
        <v>44</v>
      </c>
      <c r="AT1642" s="87">
        <v>150</v>
      </c>
      <c r="AU1642" s="87">
        <v>50</v>
      </c>
      <c r="AV1642" s="87"/>
      <c r="AW1642" s="88" t="str">
        <f>HYPERLINK("http://www.openstreetmap.org/?mlat=35.3767&amp;mlon=44.3493&amp;zoom=12#map=12/35.3767/44.3493","Maplink1")</f>
        <v>Maplink1</v>
      </c>
      <c r="AX1642" s="88" t="str">
        <f>HYPERLINK("https://www.google.iq/maps/search/+35.3767,44.3493/@35.3767,44.3493,14z?hl=en","Maplink2")</f>
        <v>Maplink2</v>
      </c>
      <c r="AY1642" s="88" t="str">
        <f>HYPERLINK("http://www.bing.com/maps/?lvl=14&amp;sty=h&amp;cp=35.3767~44.3493&amp;sp=point.35.3767_44.3493","Maplink3")</f>
        <v>Maplink3</v>
      </c>
      <c r="AZ1642" s="76"/>
    </row>
    <row r="1643" spans="1:52" x14ac:dyDescent="0.25">
      <c r="A1643" s="86">
        <v>31726</v>
      </c>
      <c r="B1643" s="87" t="s">
        <v>20</v>
      </c>
      <c r="C1643" s="87" t="s">
        <v>20</v>
      </c>
      <c r="D1643" s="87" t="s">
        <v>3207</v>
      </c>
      <c r="E1643" s="87" t="s">
        <v>3208</v>
      </c>
      <c r="F1643" s="87">
        <v>35.414716994000003</v>
      </c>
      <c r="G1643" s="87">
        <v>44.4191466921</v>
      </c>
      <c r="H1643" s="86">
        <v>405</v>
      </c>
      <c r="I1643" s="86">
        <v>2430</v>
      </c>
      <c r="J1643" s="87">
        <v>30</v>
      </c>
      <c r="K1643" s="87"/>
      <c r="L1643" s="87"/>
      <c r="M1643" s="87"/>
      <c r="N1643" s="87"/>
      <c r="O1643" s="87">
        <v>20</v>
      </c>
      <c r="P1643" s="87"/>
      <c r="Q1643" s="87"/>
      <c r="R1643" s="87">
        <v>230</v>
      </c>
      <c r="S1643" s="87"/>
      <c r="T1643" s="87"/>
      <c r="U1643" s="87"/>
      <c r="V1643" s="87">
        <v>65</v>
      </c>
      <c r="W1643" s="87"/>
      <c r="X1643" s="87">
        <v>60</v>
      </c>
      <c r="Y1643" s="87"/>
      <c r="Z1643" s="87"/>
      <c r="AA1643" s="87"/>
      <c r="AB1643" s="87"/>
      <c r="AC1643" s="87">
        <v>15</v>
      </c>
      <c r="AD1643" s="87"/>
      <c r="AE1643" s="87"/>
      <c r="AF1643" s="87"/>
      <c r="AG1643" s="87"/>
      <c r="AH1643" s="87">
        <v>390</v>
      </c>
      <c r="AI1643" s="87"/>
      <c r="AJ1643" s="87"/>
      <c r="AK1643" s="87"/>
      <c r="AL1643" s="87"/>
      <c r="AM1643" s="87"/>
      <c r="AN1643" s="87">
        <v>5</v>
      </c>
      <c r="AO1643" s="87">
        <v>45</v>
      </c>
      <c r="AP1643" s="87">
        <v>25</v>
      </c>
      <c r="AQ1643" s="87">
        <v>190</v>
      </c>
      <c r="AR1643" s="87">
        <v>50</v>
      </c>
      <c r="AS1643" s="87">
        <v>40</v>
      </c>
      <c r="AT1643" s="87">
        <v>30</v>
      </c>
      <c r="AU1643" s="87">
        <v>20</v>
      </c>
      <c r="AV1643" s="87"/>
      <c r="AW1643" s="88" t="str">
        <f>HYPERLINK("http://www.openstreetmap.org/?mlat=35.4147&amp;mlon=44.4191&amp;zoom=12#map=12/35.4147/44.4191","Maplink1")</f>
        <v>Maplink1</v>
      </c>
      <c r="AX1643" s="88" t="str">
        <f>HYPERLINK("https://www.google.iq/maps/search/+35.4147,44.4191/@35.4147,44.4191,14z?hl=en","Maplink2")</f>
        <v>Maplink2</v>
      </c>
      <c r="AY1643" s="88" t="str">
        <f>HYPERLINK("http://www.bing.com/maps/?lvl=14&amp;sty=h&amp;cp=35.4147~44.4191&amp;sp=point.35.4147_44.4191","Maplink3")</f>
        <v>Maplink3</v>
      </c>
      <c r="AZ1643" s="76"/>
    </row>
    <row r="1644" spans="1:52" x14ac:dyDescent="0.25">
      <c r="A1644" s="86">
        <v>31727</v>
      </c>
      <c r="B1644" s="87" t="s">
        <v>20</v>
      </c>
      <c r="C1644" s="87" t="s">
        <v>20</v>
      </c>
      <c r="D1644" s="87" t="s">
        <v>3209</v>
      </c>
      <c r="E1644" s="87" t="s">
        <v>3210</v>
      </c>
      <c r="F1644" s="87">
        <v>35.4269064653</v>
      </c>
      <c r="G1644" s="87">
        <v>44.421259770500001</v>
      </c>
      <c r="H1644" s="86">
        <v>435</v>
      </c>
      <c r="I1644" s="86">
        <v>2610</v>
      </c>
      <c r="J1644" s="87">
        <v>30</v>
      </c>
      <c r="K1644" s="87"/>
      <c r="L1644" s="87"/>
      <c r="M1644" s="87"/>
      <c r="N1644" s="87"/>
      <c r="O1644" s="87">
        <v>10</v>
      </c>
      <c r="P1644" s="87"/>
      <c r="Q1644" s="87"/>
      <c r="R1644" s="87">
        <v>280</v>
      </c>
      <c r="S1644" s="87"/>
      <c r="T1644" s="87"/>
      <c r="U1644" s="87"/>
      <c r="V1644" s="87">
        <v>60</v>
      </c>
      <c r="W1644" s="87"/>
      <c r="X1644" s="87">
        <v>55</v>
      </c>
      <c r="Y1644" s="87"/>
      <c r="Z1644" s="87"/>
      <c r="AA1644" s="87"/>
      <c r="AB1644" s="87"/>
      <c r="AC1644" s="87">
        <v>10</v>
      </c>
      <c r="AD1644" s="87"/>
      <c r="AE1644" s="87"/>
      <c r="AF1644" s="87"/>
      <c r="AG1644" s="87"/>
      <c r="AH1644" s="87">
        <v>425</v>
      </c>
      <c r="AI1644" s="87"/>
      <c r="AJ1644" s="87"/>
      <c r="AK1644" s="87"/>
      <c r="AL1644" s="87"/>
      <c r="AM1644" s="87"/>
      <c r="AN1644" s="87">
        <v>10</v>
      </c>
      <c r="AO1644" s="87">
        <v>55</v>
      </c>
      <c r="AP1644" s="87">
        <v>20</v>
      </c>
      <c r="AQ1644" s="87">
        <v>160</v>
      </c>
      <c r="AR1644" s="87">
        <v>55</v>
      </c>
      <c r="AS1644" s="87">
        <v>45</v>
      </c>
      <c r="AT1644" s="87">
        <v>40</v>
      </c>
      <c r="AU1644" s="87">
        <v>50</v>
      </c>
      <c r="AV1644" s="87"/>
      <c r="AW1644" s="88" t="str">
        <f>HYPERLINK("http://www.openstreetmap.org/?mlat=35.4269&amp;mlon=44.4213&amp;zoom=12#map=12/35.4269/44.4213","Maplink1")</f>
        <v>Maplink1</v>
      </c>
      <c r="AX1644" s="88" t="str">
        <f>HYPERLINK("https://www.google.iq/maps/search/+35.4269,44.4213/@35.4269,44.4213,14z?hl=en","Maplink2")</f>
        <v>Maplink2</v>
      </c>
      <c r="AY1644" s="88" t="str">
        <f>HYPERLINK("http://www.bing.com/maps/?lvl=14&amp;sty=h&amp;cp=35.4269~44.4213&amp;sp=point.35.4269_44.4213","Maplink3")</f>
        <v>Maplink3</v>
      </c>
      <c r="AZ1644" s="76"/>
    </row>
    <row r="1645" spans="1:52" x14ac:dyDescent="0.25">
      <c r="A1645" s="86">
        <v>15648</v>
      </c>
      <c r="B1645" s="87" t="s">
        <v>20</v>
      </c>
      <c r="C1645" s="87" t="s">
        <v>20</v>
      </c>
      <c r="D1645" s="87" t="s">
        <v>3211</v>
      </c>
      <c r="E1645" s="87" t="s">
        <v>3212</v>
      </c>
      <c r="F1645" s="87">
        <v>35.380658699900003</v>
      </c>
      <c r="G1645" s="87">
        <v>44.332444966499999</v>
      </c>
      <c r="H1645" s="86">
        <v>270</v>
      </c>
      <c r="I1645" s="86">
        <v>1620</v>
      </c>
      <c r="J1645" s="87"/>
      <c r="K1645" s="87">
        <v>2</v>
      </c>
      <c r="L1645" s="87">
        <v>5</v>
      </c>
      <c r="M1645" s="87"/>
      <c r="N1645" s="87"/>
      <c r="O1645" s="87">
        <v>3</v>
      </c>
      <c r="P1645" s="87"/>
      <c r="Q1645" s="87"/>
      <c r="R1645" s="87">
        <v>254</v>
      </c>
      <c r="S1645" s="87"/>
      <c r="T1645" s="87"/>
      <c r="U1645" s="87"/>
      <c r="V1645" s="87">
        <v>3</v>
      </c>
      <c r="W1645" s="87"/>
      <c r="X1645" s="87">
        <v>3</v>
      </c>
      <c r="Y1645" s="87"/>
      <c r="Z1645" s="87"/>
      <c r="AA1645" s="87"/>
      <c r="AB1645" s="87"/>
      <c r="AC1645" s="87"/>
      <c r="AD1645" s="87"/>
      <c r="AE1645" s="87"/>
      <c r="AF1645" s="87"/>
      <c r="AG1645" s="87"/>
      <c r="AH1645" s="87">
        <v>270</v>
      </c>
      <c r="AI1645" s="87"/>
      <c r="AJ1645" s="87"/>
      <c r="AK1645" s="87"/>
      <c r="AL1645" s="87"/>
      <c r="AM1645" s="87"/>
      <c r="AN1645" s="87"/>
      <c r="AO1645" s="87">
        <v>15</v>
      </c>
      <c r="AP1645" s="87"/>
      <c r="AQ1645" s="87">
        <v>25</v>
      </c>
      <c r="AR1645" s="87">
        <v>35</v>
      </c>
      <c r="AS1645" s="87">
        <v>100</v>
      </c>
      <c r="AT1645" s="87">
        <v>80</v>
      </c>
      <c r="AU1645" s="87">
        <v>15</v>
      </c>
      <c r="AV1645" s="87"/>
      <c r="AW1645" s="88" t="str">
        <f>HYPERLINK("http://www.openstreetmap.org/?mlat=35.3807&amp;mlon=44.3324&amp;zoom=12#map=12/35.3807/44.3324","Maplink1")</f>
        <v>Maplink1</v>
      </c>
      <c r="AX1645" s="88" t="str">
        <f>HYPERLINK("https://www.google.iq/maps/search/+35.3807,44.3324/@35.3807,44.3324,14z?hl=en","Maplink2")</f>
        <v>Maplink2</v>
      </c>
      <c r="AY1645" s="88" t="str">
        <f>HYPERLINK("http://www.bing.com/maps/?lvl=14&amp;sty=h&amp;cp=35.3807~44.3324&amp;sp=point.35.3807_44.3324","Maplink3")</f>
        <v>Maplink3</v>
      </c>
      <c r="AZ1645" s="76"/>
    </row>
    <row r="1646" spans="1:52" x14ac:dyDescent="0.25">
      <c r="A1646" s="86">
        <v>15433</v>
      </c>
      <c r="B1646" s="87" t="s">
        <v>20</v>
      </c>
      <c r="C1646" s="87" t="s">
        <v>20</v>
      </c>
      <c r="D1646" s="87" t="s">
        <v>3213</v>
      </c>
      <c r="E1646" s="87" t="s">
        <v>3214</v>
      </c>
      <c r="F1646" s="87">
        <v>35.5024861156</v>
      </c>
      <c r="G1646" s="87">
        <v>44.334610401399999</v>
      </c>
      <c r="H1646" s="86">
        <v>560</v>
      </c>
      <c r="I1646" s="86">
        <v>3360</v>
      </c>
      <c r="J1646" s="87">
        <v>3</v>
      </c>
      <c r="K1646" s="87"/>
      <c r="L1646" s="87"/>
      <c r="M1646" s="87"/>
      <c r="N1646" s="87"/>
      <c r="O1646" s="87">
        <v>15</v>
      </c>
      <c r="P1646" s="87"/>
      <c r="Q1646" s="87"/>
      <c r="R1646" s="87">
        <v>462</v>
      </c>
      <c r="S1646" s="87"/>
      <c r="T1646" s="87"/>
      <c r="U1646" s="87"/>
      <c r="V1646" s="87">
        <v>30</v>
      </c>
      <c r="W1646" s="87"/>
      <c r="X1646" s="87">
        <v>50</v>
      </c>
      <c r="Y1646" s="87"/>
      <c r="Z1646" s="87"/>
      <c r="AA1646" s="87"/>
      <c r="AB1646" s="87"/>
      <c r="AC1646" s="87"/>
      <c r="AD1646" s="87"/>
      <c r="AE1646" s="87">
        <v>15</v>
      </c>
      <c r="AF1646" s="87"/>
      <c r="AG1646" s="87"/>
      <c r="AH1646" s="87">
        <v>535</v>
      </c>
      <c r="AI1646" s="87"/>
      <c r="AJ1646" s="87"/>
      <c r="AK1646" s="87">
        <v>10</v>
      </c>
      <c r="AL1646" s="87"/>
      <c r="AM1646" s="87"/>
      <c r="AN1646" s="87">
        <v>2</v>
      </c>
      <c r="AO1646" s="87">
        <v>10</v>
      </c>
      <c r="AP1646" s="87">
        <v>15</v>
      </c>
      <c r="AQ1646" s="87">
        <v>115</v>
      </c>
      <c r="AR1646" s="87">
        <v>95</v>
      </c>
      <c r="AS1646" s="87">
        <v>118</v>
      </c>
      <c r="AT1646" s="87">
        <v>100</v>
      </c>
      <c r="AU1646" s="87">
        <v>105</v>
      </c>
      <c r="AV1646" s="87"/>
      <c r="AW1646" s="88" t="str">
        <f>HYPERLINK("http://www.openstreetmap.org/?mlat=35.5025&amp;mlon=44.3346&amp;zoom=12#map=12/35.5025/44.3346","Maplink1")</f>
        <v>Maplink1</v>
      </c>
      <c r="AX1646" s="88" t="str">
        <f>HYPERLINK("https://www.google.iq/maps/search/+35.5025,44.3346/@35.5025,44.3346,14z?hl=en","Maplink2")</f>
        <v>Maplink2</v>
      </c>
      <c r="AY1646" s="88" t="str">
        <f>HYPERLINK("http://www.bing.com/maps/?lvl=14&amp;sty=h&amp;cp=35.5025~44.3346&amp;sp=point.35.5025_44.3346","Maplink3")</f>
        <v>Maplink3</v>
      </c>
      <c r="AZ1646" s="76"/>
    </row>
    <row r="1647" spans="1:52" x14ac:dyDescent="0.25">
      <c r="A1647" s="86">
        <v>24807</v>
      </c>
      <c r="B1647" s="87" t="s">
        <v>20</v>
      </c>
      <c r="C1647" s="87" t="s">
        <v>20</v>
      </c>
      <c r="D1647" s="87" t="s">
        <v>3215</v>
      </c>
      <c r="E1647" s="87" t="s">
        <v>3216</v>
      </c>
      <c r="F1647" s="87">
        <v>35.473541242400003</v>
      </c>
      <c r="G1647" s="87">
        <v>44.387761656000002</v>
      </c>
      <c r="H1647" s="86">
        <v>70</v>
      </c>
      <c r="I1647" s="86">
        <v>420</v>
      </c>
      <c r="J1647" s="87"/>
      <c r="K1647" s="87"/>
      <c r="L1647" s="87"/>
      <c r="M1647" s="87"/>
      <c r="N1647" s="87"/>
      <c r="O1647" s="87"/>
      <c r="P1647" s="87"/>
      <c r="Q1647" s="87"/>
      <c r="R1647" s="87">
        <v>17</v>
      </c>
      <c r="S1647" s="87"/>
      <c r="T1647" s="87"/>
      <c r="U1647" s="87"/>
      <c r="V1647" s="87">
        <v>13</v>
      </c>
      <c r="W1647" s="87"/>
      <c r="X1647" s="87">
        <v>40</v>
      </c>
      <c r="Y1647" s="87"/>
      <c r="Z1647" s="87"/>
      <c r="AA1647" s="87"/>
      <c r="AB1647" s="87"/>
      <c r="AC1647" s="87"/>
      <c r="AD1647" s="87"/>
      <c r="AE1647" s="87"/>
      <c r="AF1647" s="87"/>
      <c r="AG1647" s="87"/>
      <c r="AH1647" s="87">
        <v>70</v>
      </c>
      <c r="AI1647" s="87"/>
      <c r="AJ1647" s="87"/>
      <c r="AK1647" s="87"/>
      <c r="AL1647" s="87"/>
      <c r="AM1647" s="87"/>
      <c r="AN1647" s="87"/>
      <c r="AO1647" s="87">
        <v>2</v>
      </c>
      <c r="AP1647" s="87">
        <v>13</v>
      </c>
      <c r="AQ1647" s="87">
        <v>10</v>
      </c>
      <c r="AR1647" s="87">
        <v>10</v>
      </c>
      <c r="AS1647" s="87">
        <v>20</v>
      </c>
      <c r="AT1647" s="87">
        <v>10</v>
      </c>
      <c r="AU1647" s="87">
        <v>5</v>
      </c>
      <c r="AV1647" s="87"/>
      <c r="AW1647" s="88" t="str">
        <f>HYPERLINK("http://www.openstreetmap.org/?mlat=35.4735&amp;mlon=44.3878&amp;zoom=12#map=12/35.4735/44.3878","Maplink1")</f>
        <v>Maplink1</v>
      </c>
      <c r="AX1647" s="88" t="str">
        <f>HYPERLINK("https://www.google.iq/maps/search/+35.4735,44.3878/@35.4735,44.3878,14z?hl=en","Maplink2")</f>
        <v>Maplink2</v>
      </c>
      <c r="AY1647" s="88" t="str">
        <f>HYPERLINK("http://www.bing.com/maps/?lvl=14&amp;sty=h&amp;cp=35.4735~44.3878&amp;sp=point.35.4735_44.3878","Maplink3")</f>
        <v>Maplink3</v>
      </c>
      <c r="AZ1647" s="76"/>
    </row>
    <row r="1648" spans="1:52" x14ac:dyDescent="0.25">
      <c r="A1648" s="86">
        <v>15449</v>
      </c>
      <c r="B1648" s="87" t="s">
        <v>20</v>
      </c>
      <c r="C1648" s="87" t="s">
        <v>20</v>
      </c>
      <c r="D1648" s="87" t="s">
        <v>3217</v>
      </c>
      <c r="E1648" s="87" t="s">
        <v>3218</v>
      </c>
      <c r="F1648" s="87">
        <v>35.541104092099999</v>
      </c>
      <c r="G1648" s="87">
        <v>44.281880157899998</v>
      </c>
      <c r="H1648" s="86">
        <v>110</v>
      </c>
      <c r="I1648" s="86">
        <v>660</v>
      </c>
      <c r="J1648" s="87"/>
      <c r="K1648" s="87"/>
      <c r="L1648" s="87"/>
      <c r="M1648" s="87"/>
      <c r="N1648" s="87"/>
      <c r="O1648" s="87"/>
      <c r="P1648" s="87"/>
      <c r="Q1648" s="87"/>
      <c r="R1648" s="87">
        <v>108</v>
      </c>
      <c r="S1648" s="87"/>
      <c r="T1648" s="87"/>
      <c r="U1648" s="87"/>
      <c r="V1648" s="87">
        <v>2</v>
      </c>
      <c r="W1648" s="87"/>
      <c r="X1648" s="87"/>
      <c r="Y1648" s="87"/>
      <c r="Z1648" s="87"/>
      <c r="AA1648" s="87"/>
      <c r="AB1648" s="87"/>
      <c r="AC1648" s="87">
        <v>25</v>
      </c>
      <c r="AD1648" s="87"/>
      <c r="AE1648" s="87"/>
      <c r="AF1648" s="87"/>
      <c r="AG1648" s="87"/>
      <c r="AH1648" s="87">
        <v>85</v>
      </c>
      <c r="AI1648" s="87"/>
      <c r="AJ1648" s="87"/>
      <c r="AK1648" s="87"/>
      <c r="AL1648" s="87"/>
      <c r="AM1648" s="87"/>
      <c r="AN1648" s="87"/>
      <c r="AO1648" s="87">
        <v>2</v>
      </c>
      <c r="AP1648" s="87"/>
      <c r="AQ1648" s="87">
        <v>10</v>
      </c>
      <c r="AR1648" s="87">
        <v>20</v>
      </c>
      <c r="AS1648" s="87">
        <v>25</v>
      </c>
      <c r="AT1648" s="87">
        <v>18</v>
      </c>
      <c r="AU1648" s="87">
        <v>35</v>
      </c>
      <c r="AV1648" s="87"/>
      <c r="AW1648" s="88" t="str">
        <f>HYPERLINK("http://www.openstreetmap.org/?mlat=35.5411&amp;mlon=44.2819&amp;zoom=12#map=12/35.5411/44.2819","Maplink1")</f>
        <v>Maplink1</v>
      </c>
      <c r="AX1648" s="88" t="str">
        <f>HYPERLINK("https://www.google.iq/maps/search/+35.5411,44.2819/@35.5411,44.2819,14z?hl=en","Maplink2")</f>
        <v>Maplink2</v>
      </c>
      <c r="AY1648" s="88" t="str">
        <f>HYPERLINK("http://www.bing.com/maps/?lvl=14&amp;sty=h&amp;cp=35.5411~44.2819&amp;sp=point.35.5411_44.2819","Maplink3")</f>
        <v>Maplink3</v>
      </c>
      <c r="AZ1648" s="76"/>
    </row>
    <row r="1649" spans="1:52" x14ac:dyDescent="0.25">
      <c r="A1649" s="86">
        <v>22847</v>
      </c>
      <c r="B1649" s="87" t="s">
        <v>20</v>
      </c>
      <c r="C1649" s="87" t="s">
        <v>20</v>
      </c>
      <c r="D1649" s="87" t="s">
        <v>3219</v>
      </c>
      <c r="E1649" s="87" t="s">
        <v>3220</v>
      </c>
      <c r="F1649" s="87">
        <v>35.355678356299997</v>
      </c>
      <c r="G1649" s="87">
        <v>44.312788763199997</v>
      </c>
      <c r="H1649" s="86">
        <v>150</v>
      </c>
      <c r="I1649" s="86">
        <v>900</v>
      </c>
      <c r="J1649" s="87">
        <v>2</v>
      </c>
      <c r="K1649" s="87"/>
      <c r="L1649" s="87"/>
      <c r="M1649" s="87"/>
      <c r="N1649" s="87"/>
      <c r="O1649" s="87">
        <v>5</v>
      </c>
      <c r="P1649" s="87"/>
      <c r="Q1649" s="87"/>
      <c r="R1649" s="87">
        <v>140</v>
      </c>
      <c r="S1649" s="87"/>
      <c r="T1649" s="87"/>
      <c r="U1649" s="87"/>
      <c r="V1649" s="87"/>
      <c r="W1649" s="87"/>
      <c r="X1649" s="87">
        <v>3</v>
      </c>
      <c r="Y1649" s="87"/>
      <c r="Z1649" s="87"/>
      <c r="AA1649" s="87"/>
      <c r="AB1649" s="87"/>
      <c r="AC1649" s="87">
        <v>30</v>
      </c>
      <c r="AD1649" s="87"/>
      <c r="AE1649" s="87">
        <v>35</v>
      </c>
      <c r="AF1649" s="87"/>
      <c r="AG1649" s="87"/>
      <c r="AH1649" s="87">
        <v>85</v>
      </c>
      <c r="AI1649" s="87"/>
      <c r="AJ1649" s="87"/>
      <c r="AK1649" s="87"/>
      <c r="AL1649" s="87"/>
      <c r="AM1649" s="87"/>
      <c r="AN1649" s="87"/>
      <c r="AO1649" s="87">
        <v>5</v>
      </c>
      <c r="AP1649" s="87">
        <v>5</v>
      </c>
      <c r="AQ1649" s="87">
        <v>5</v>
      </c>
      <c r="AR1649" s="87">
        <v>25</v>
      </c>
      <c r="AS1649" s="87">
        <v>35</v>
      </c>
      <c r="AT1649" s="87">
        <v>30</v>
      </c>
      <c r="AU1649" s="87">
        <v>45</v>
      </c>
      <c r="AV1649" s="87"/>
      <c r="AW1649" s="88" t="str">
        <f>HYPERLINK("http://www.openstreetmap.org/?mlat=35.3557&amp;mlon=44.3128&amp;zoom=12#map=12/35.3557/44.3128","Maplink1")</f>
        <v>Maplink1</v>
      </c>
      <c r="AX1649" s="88" t="str">
        <f>HYPERLINK("https://www.google.iq/maps/search/+35.3557,44.3128/@35.3557,44.3128,14z?hl=en","Maplink2")</f>
        <v>Maplink2</v>
      </c>
      <c r="AY1649" s="88" t="str">
        <f>HYPERLINK("http://www.bing.com/maps/?lvl=14&amp;sty=h&amp;cp=35.3557~44.3128&amp;sp=point.35.3557_44.3128","Maplink3")</f>
        <v>Maplink3</v>
      </c>
      <c r="AZ1649" s="76"/>
    </row>
    <row r="1650" spans="1:52" x14ac:dyDescent="0.25">
      <c r="A1650" s="86">
        <v>25556</v>
      </c>
      <c r="B1650" s="87" t="s">
        <v>20</v>
      </c>
      <c r="C1650" s="87" t="s">
        <v>20</v>
      </c>
      <c r="D1650" s="87" t="s">
        <v>3221</v>
      </c>
      <c r="E1650" s="87" t="s">
        <v>3222</v>
      </c>
      <c r="F1650" s="87">
        <v>35.473398661899999</v>
      </c>
      <c r="G1650" s="87">
        <v>44.416254822699997</v>
      </c>
      <c r="H1650" s="86">
        <v>35</v>
      </c>
      <c r="I1650" s="86">
        <v>210</v>
      </c>
      <c r="J1650" s="87">
        <v>2</v>
      </c>
      <c r="K1650" s="87"/>
      <c r="L1650" s="87"/>
      <c r="M1650" s="87"/>
      <c r="N1650" s="87"/>
      <c r="O1650" s="87"/>
      <c r="P1650" s="87"/>
      <c r="Q1650" s="87"/>
      <c r="R1650" s="87">
        <v>3</v>
      </c>
      <c r="S1650" s="87"/>
      <c r="T1650" s="87"/>
      <c r="U1650" s="87"/>
      <c r="V1650" s="87">
        <v>2</v>
      </c>
      <c r="W1650" s="87"/>
      <c r="X1650" s="87">
        <v>28</v>
      </c>
      <c r="Y1650" s="87"/>
      <c r="Z1650" s="87"/>
      <c r="AA1650" s="87"/>
      <c r="AB1650" s="87"/>
      <c r="AC1650" s="87"/>
      <c r="AD1650" s="87"/>
      <c r="AE1650" s="87"/>
      <c r="AF1650" s="87"/>
      <c r="AG1650" s="87"/>
      <c r="AH1650" s="87">
        <v>35</v>
      </c>
      <c r="AI1650" s="87"/>
      <c r="AJ1650" s="87"/>
      <c r="AK1650" s="87"/>
      <c r="AL1650" s="87"/>
      <c r="AM1650" s="87"/>
      <c r="AN1650" s="87"/>
      <c r="AO1650" s="87">
        <v>2</v>
      </c>
      <c r="AP1650" s="87">
        <v>20</v>
      </c>
      <c r="AQ1650" s="87">
        <v>5</v>
      </c>
      <c r="AR1650" s="87"/>
      <c r="AS1650" s="87"/>
      <c r="AT1650" s="87">
        <v>5</v>
      </c>
      <c r="AU1650" s="87">
        <v>3</v>
      </c>
      <c r="AV1650" s="87"/>
      <c r="AW1650" s="88" t="str">
        <f>HYPERLINK("http://www.openstreetmap.org/?mlat=35.4734&amp;mlon=44.4163&amp;zoom=12#map=12/35.4734/44.4163","Maplink1")</f>
        <v>Maplink1</v>
      </c>
      <c r="AX1650" s="88" t="str">
        <f>HYPERLINK("https://www.google.iq/maps/search/+35.4734,44.4163/@35.4734,44.4163,14z?hl=en","Maplink2")</f>
        <v>Maplink2</v>
      </c>
      <c r="AY1650" s="88" t="str">
        <f>HYPERLINK("http://www.bing.com/maps/?lvl=14&amp;sty=h&amp;cp=35.4734~44.4163&amp;sp=point.35.4734_44.4163","Maplink3")</f>
        <v>Maplink3</v>
      </c>
      <c r="AZ1650" s="76"/>
    </row>
    <row r="1651" spans="1:52" x14ac:dyDescent="0.25">
      <c r="A1651" s="86">
        <v>15603</v>
      </c>
      <c r="B1651" s="87" t="s">
        <v>20</v>
      </c>
      <c r="C1651" s="87" t="s">
        <v>20</v>
      </c>
      <c r="D1651" s="87" t="s">
        <v>3223</v>
      </c>
      <c r="E1651" s="87" t="s">
        <v>3224</v>
      </c>
      <c r="F1651" s="87">
        <v>35.397969429600003</v>
      </c>
      <c r="G1651" s="87">
        <v>44.364338634100001</v>
      </c>
      <c r="H1651" s="86">
        <v>138</v>
      </c>
      <c r="I1651" s="86">
        <v>828</v>
      </c>
      <c r="J1651" s="87">
        <v>8</v>
      </c>
      <c r="K1651" s="87"/>
      <c r="L1651" s="87"/>
      <c r="M1651" s="87"/>
      <c r="N1651" s="87"/>
      <c r="O1651" s="87"/>
      <c r="P1651" s="87"/>
      <c r="Q1651" s="87"/>
      <c r="R1651" s="87">
        <v>70</v>
      </c>
      <c r="S1651" s="87"/>
      <c r="T1651" s="87"/>
      <c r="U1651" s="87"/>
      <c r="V1651" s="87">
        <v>20</v>
      </c>
      <c r="W1651" s="87"/>
      <c r="X1651" s="87">
        <v>40</v>
      </c>
      <c r="Y1651" s="87"/>
      <c r="Z1651" s="87"/>
      <c r="AA1651" s="87"/>
      <c r="AB1651" s="87"/>
      <c r="AC1651" s="87">
        <v>8</v>
      </c>
      <c r="AD1651" s="87"/>
      <c r="AE1651" s="87">
        <v>30</v>
      </c>
      <c r="AF1651" s="87"/>
      <c r="AG1651" s="87"/>
      <c r="AH1651" s="87">
        <v>100</v>
      </c>
      <c r="AI1651" s="87"/>
      <c r="AJ1651" s="87"/>
      <c r="AK1651" s="87"/>
      <c r="AL1651" s="87"/>
      <c r="AM1651" s="87"/>
      <c r="AN1651" s="87">
        <v>5</v>
      </c>
      <c r="AO1651" s="87">
        <v>5</v>
      </c>
      <c r="AP1651" s="87"/>
      <c r="AQ1651" s="87">
        <v>10</v>
      </c>
      <c r="AR1651" s="87">
        <v>28</v>
      </c>
      <c r="AS1651" s="87">
        <v>20</v>
      </c>
      <c r="AT1651" s="87">
        <v>30</v>
      </c>
      <c r="AU1651" s="87">
        <v>40</v>
      </c>
      <c r="AV1651" s="87"/>
      <c r="AW1651" s="88" t="str">
        <f>HYPERLINK("http://www.openstreetmap.org/?mlat=35.398&amp;mlon=44.3643&amp;zoom=12#map=12/35.398/44.3643","Maplink1")</f>
        <v>Maplink1</v>
      </c>
      <c r="AX1651" s="88" t="str">
        <f>HYPERLINK("https://www.google.iq/maps/search/+35.398,44.3643/@35.398,44.3643,14z?hl=en","Maplink2")</f>
        <v>Maplink2</v>
      </c>
      <c r="AY1651" s="88" t="str">
        <f>HYPERLINK("http://www.bing.com/maps/?lvl=14&amp;sty=h&amp;cp=35.398~44.3643&amp;sp=point.35.398_44.3643","Maplink3")</f>
        <v>Maplink3</v>
      </c>
      <c r="AZ1651" s="76"/>
    </row>
    <row r="1652" spans="1:52" x14ac:dyDescent="0.25">
      <c r="A1652" s="86">
        <v>15624</v>
      </c>
      <c r="B1652" s="87" t="s">
        <v>20</v>
      </c>
      <c r="C1652" s="87" t="s">
        <v>20</v>
      </c>
      <c r="D1652" s="87" t="s">
        <v>3225</v>
      </c>
      <c r="E1652" s="87" t="s">
        <v>3226</v>
      </c>
      <c r="F1652" s="87">
        <v>35.408876466000002</v>
      </c>
      <c r="G1652" s="87">
        <v>44.377040580100001</v>
      </c>
      <c r="H1652" s="86">
        <v>205</v>
      </c>
      <c r="I1652" s="86">
        <v>1230</v>
      </c>
      <c r="J1652" s="87">
        <v>10</v>
      </c>
      <c r="K1652" s="87"/>
      <c r="L1652" s="87"/>
      <c r="M1652" s="87"/>
      <c r="N1652" s="87"/>
      <c r="O1652" s="87">
        <v>5</v>
      </c>
      <c r="P1652" s="87"/>
      <c r="Q1652" s="87"/>
      <c r="R1652" s="87">
        <v>145</v>
      </c>
      <c r="S1652" s="87"/>
      <c r="T1652" s="87"/>
      <c r="U1652" s="87"/>
      <c r="V1652" s="87">
        <v>20</v>
      </c>
      <c r="W1652" s="87"/>
      <c r="X1652" s="87">
        <v>25</v>
      </c>
      <c r="Y1652" s="87"/>
      <c r="Z1652" s="87"/>
      <c r="AA1652" s="87"/>
      <c r="AB1652" s="87"/>
      <c r="AC1652" s="87"/>
      <c r="AD1652" s="87"/>
      <c r="AE1652" s="87"/>
      <c r="AF1652" s="87"/>
      <c r="AG1652" s="87"/>
      <c r="AH1652" s="87">
        <v>205</v>
      </c>
      <c r="AI1652" s="87"/>
      <c r="AJ1652" s="87"/>
      <c r="AK1652" s="87"/>
      <c r="AL1652" s="87"/>
      <c r="AM1652" s="87"/>
      <c r="AN1652" s="87"/>
      <c r="AO1652" s="87">
        <v>5</v>
      </c>
      <c r="AP1652" s="87">
        <v>5</v>
      </c>
      <c r="AQ1652" s="87">
        <v>30</v>
      </c>
      <c r="AR1652" s="87">
        <v>30</v>
      </c>
      <c r="AS1652" s="87">
        <v>40</v>
      </c>
      <c r="AT1652" s="87">
        <v>60</v>
      </c>
      <c r="AU1652" s="87">
        <v>35</v>
      </c>
      <c r="AV1652" s="87"/>
      <c r="AW1652" s="88" t="str">
        <f>HYPERLINK("http://www.openstreetmap.org/?mlat=35.4089&amp;mlon=44.377&amp;zoom=12#map=12/35.4089/44.377","Maplink1")</f>
        <v>Maplink1</v>
      </c>
      <c r="AX1652" s="88" t="str">
        <f>HYPERLINK("https://www.google.iq/maps/search/+35.4089,44.377/@35.4089,44.377,14z?hl=en","Maplink2")</f>
        <v>Maplink2</v>
      </c>
      <c r="AY1652" s="88" t="str">
        <f>HYPERLINK("http://www.bing.com/maps/?lvl=14&amp;sty=h&amp;cp=35.4089~44.377&amp;sp=point.35.4089_44.377","Maplink3")</f>
        <v>Maplink3</v>
      </c>
      <c r="AZ1652" s="76"/>
    </row>
    <row r="1653" spans="1:52" x14ac:dyDescent="0.25">
      <c r="A1653" s="86">
        <v>14907</v>
      </c>
      <c r="B1653" s="87" t="s">
        <v>20</v>
      </c>
      <c r="C1653" s="87" t="s">
        <v>20</v>
      </c>
      <c r="D1653" s="87" t="s">
        <v>3227</v>
      </c>
      <c r="E1653" s="87" t="s">
        <v>3228</v>
      </c>
      <c r="F1653" s="87">
        <v>35.489092684100001</v>
      </c>
      <c r="G1653" s="87">
        <v>44.354960248700003</v>
      </c>
      <c r="H1653" s="86">
        <v>76</v>
      </c>
      <c r="I1653" s="86">
        <v>456</v>
      </c>
      <c r="J1653" s="87"/>
      <c r="K1653" s="87"/>
      <c r="L1653" s="87"/>
      <c r="M1653" s="87"/>
      <c r="N1653" s="87"/>
      <c r="O1653" s="87"/>
      <c r="P1653" s="87"/>
      <c r="Q1653" s="87"/>
      <c r="R1653" s="87">
        <v>76</v>
      </c>
      <c r="S1653" s="87"/>
      <c r="T1653" s="87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87"/>
      <c r="AE1653" s="87">
        <v>5</v>
      </c>
      <c r="AF1653" s="87"/>
      <c r="AG1653" s="87"/>
      <c r="AH1653" s="87">
        <v>67</v>
      </c>
      <c r="AI1653" s="87">
        <v>4</v>
      </c>
      <c r="AJ1653" s="87"/>
      <c r="AK1653" s="87"/>
      <c r="AL1653" s="87"/>
      <c r="AM1653" s="87"/>
      <c r="AN1653" s="87"/>
      <c r="AO1653" s="87"/>
      <c r="AP1653" s="87"/>
      <c r="AQ1653" s="87">
        <v>5</v>
      </c>
      <c r="AR1653" s="87">
        <v>14</v>
      </c>
      <c r="AS1653" s="87">
        <v>20</v>
      </c>
      <c r="AT1653" s="87">
        <v>37</v>
      </c>
      <c r="AU1653" s="87"/>
      <c r="AV1653" s="87"/>
      <c r="AW1653" s="88" t="str">
        <f>HYPERLINK("http://www.openstreetmap.org/?mlat=35.4891&amp;mlon=44.355&amp;zoom=12#map=12/35.4891/44.355","Maplink1")</f>
        <v>Maplink1</v>
      </c>
      <c r="AX1653" s="88" t="str">
        <f>HYPERLINK("https://www.google.iq/maps/search/+35.4891,44.355/@35.4891,44.355,14z?hl=en","Maplink2")</f>
        <v>Maplink2</v>
      </c>
      <c r="AY1653" s="88" t="str">
        <f>HYPERLINK("http://www.bing.com/maps/?lvl=14&amp;sty=h&amp;cp=35.4891~44.355&amp;sp=point.35.4891_44.355","Maplink3")</f>
        <v>Maplink3</v>
      </c>
      <c r="AZ1653" s="76"/>
    </row>
    <row r="1654" spans="1:52" x14ac:dyDescent="0.25">
      <c r="A1654" s="86">
        <v>24779</v>
      </c>
      <c r="B1654" s="87" t="s">
        <v>20</v>
      </c>
      <c r="C1654" s="87" t="s">
        <v>20</v>
      </c>
      <c r="D1654" s="87" t="s">
        <v>3229</v>
      </c>
      <c r="E1654" s="87" t="s">
        <v>3230</v>
      </c>
      <c r="F1654" s="87">
        <v>35.455098903699998</v>
      </c>
      <c r="G1654" s="87">
        <v>44.366823938899998</v>
      </c>
      <c r="H1654" s="86">
        <v>76</v>
      </c>
      <c r="I1654" s="86">
        <v>456</v>
      </c>
      <c r="J1654" s="87"/>
      <c r="K1654" s="87"/>
      <c r="L1654" s="87"/>
      <c r="M1654" s="87"/>
      <c r="N1654" s="87"/>
      <c r="O1654" s="87"/>
      <c r="P1654" s="87"/>
      <c r="Q1654" s="87"/>
      <c r="R1654" s="87">
        <v>39</v>
      </c>
      <c r="S1654" s="87"/>
      <c r="T1654" s="87"/>
      <c r="U1654" s="87"/>
      <c r="V1654" s="87">
        <v>15</v>
      </c>
      <c r="W1654" s="87"/>
      <c r="X1654" s="87">
        <v>22</v>
      </c>
      <c r="Y1654" s="87"/>
      <c r="Z1654" s="87"/>
      <c r="AA1654" s="87"/>
      <c r="AB1654" s="87"/>
      <c r="AC1654" s="87">
        <v>15</v>
      </c>
      <c r="AD1654" s="87"/>
      <c r="AE1654" s="87"/>
      <c r="AF1654" s="87"/>
      <c r="AG1654" s="87"/>
      <c r="AH1654" s="87">
        <v>59</v>
      </c>
      <c r="AI1654" s="87"/>
      <c r="AJ1654" s="87"/>
      <c r="AK1654" s="87">
        <v>2</v>
      </c>
      <c r="AL1654" s="87"/>
      <c r="AM1654" s="87"/>
      <c r="AN1654" s="87"/>
      <c r="AO1654" s="87">
        <v>8</v>
      </c>
      <c r="AP1654" s="87">
        <v>15</v>
      </c>
      <c r="AQ1654" s="87">
        <v>5</v>
      </c>
      <c r="AR1654" s="87">
        <v>14</v>
      </c>
      <c r="AS1654" s="87">
        <v>14</v>
      </c>
      <c r="AT1654" s="87">
        <v>15</v>
      </c>
      <c r="AU1654" s="87">
        <v>5</v>
      </c>
      <c r="AV1654" s="87"/>
      <c r="AW1654" s="88" t="str">
        <f>HYPERLINK("http://www.openstreetmap.org/?mlat=35.4551&amp;mlon=44.3668&amp;zoom=12#map=12/35.4551/44.3668","Maplink1")</f>
        <v>Maplink1</v>
      </c>
      <c r="AX1654" s="88" t="str">
        <f>HYPERLINK("https://www.google.iq/maps/search/+35.4551,44.3668/@35.4551,44.3668,14z?hl=en","Maplink2")</f>
        <v>Maplink2</v>
      </c>
      <c r="AY1654" s="88" t="str">
        <f>HYPERLINK("http://www.bing.com/maps/?lvl=14&amp;sty=h&amp;cp=35.4551~44.3668&amp;sp=point.35.4551_44.3668","Maplink3")</f>
        <v>Maplink3</v>
      </c>
      <c r="AZ1654" s="76"/>
    </row>
    <row r="1655" spans="1:52" x14ac:dyDescent="0.25">
      <c r="A1655" s="86">
        <v>22296</v>
      </c>
      <c r="B1655" s="87" t="s">
        <v>20</v>
      </c>
      <c r="C1655" s="87" t="s">
        <v>20</v>
      </c>
      <c r="D1655" s="87" t="s">
        <v>3231</v>
      </c>
      <c r="E1655" s="87" t="s">
        <v>3232</v>
      </c>
      <c r="F1655" s="87">
        <v>35.407938181900001</v>
      </c>
      <c r="G1655" s="87">
        <v>44.326736264099999</v>
      </c>
      <c r="H1655" s="86">
        <v>2180</v>
      </c>
      <c r="I1655" s="86">
        <v>13080</v>
      </c>
      <c r="J1655" s="87">
        <v>70</v>
      </c>
      <c r="K1655" s="87"/>
      <c r="L1655" s="87">
        <v>35</v>
      </c>
      <c r="M1655" s="87"/>
      <c r="N1655" s="87"/>
      <c r="O1655" s="87">
        <v>160</v>
      </c>
      <c r="P1655" s="87"/>
      <c r="Q1655" s="87"/>
      <c r="R1655" s="87">
        <v>1450</v>
      </c>
      <c r="S1655" s="87"/>
      <c r="T1655" s="87"/>
      <c r="U1655" s="87"/>
      <c r="V1655" s="87">
        <v>200</v>
      </c>
      <c r="W1655" s="87"/>
      <c r="X1655" s="87">
        <v>265</v>
      </c>
      <c r="Y1655" s="87"/>
      <c r="Z1655" s="87"/>
      <c r="AA1655" s="87"/>
      <c r="AB1655" s="87"/>
      <c r="AC1655" s="87">
        <v>50</v>
      </c>
      <c r="AD1655" s="87"/>
      <c r="AE1655" s="87">
        <v>350</v>
      </c>
      <c r="AF1655" s="87"/>
      <c r="AG1655" s="87"/>
      <c r="AH1655" s="87">
        <v>1670</v>
      </c>
      <c r="AI1655" s="87">
        <v>110</v>
      </c>
      <c r="AJ1655" s="87"/>
      <c r="AK1655" s="87"/>
      <c r="AL1655" s="87"/>
      <c r="AM1655" s="87"/>
      <c r="AN1655" s="87">
        <v>30</v>
      </c>
      <c r="AO1655" s="87">
        <v>560</v>
      </c>
      <c r="AP1655" s="87">
        <v>315</v>
      </c>
      <c r="AQ1655" s="87">
        <v>450</v>
      </c>
      <c r="AR1655" s="87">
        <v>380</v>
      </c>
      <c r="AS1655" s="87">
        <v>85</v>
      </c>
      <c r="AT1655" s="87">
        <v>175</v>
      </c>
      <c r="AU1655" s="87">
        <v>185</v>
      </c>
      <c r="AV1655" s="87"/>
      <c r="AW1655" s="88" t="str">
        <f>HYPERLINK("http://www.openstreetmap.org/?mlat=35.4079&amp;mlon=44.3267&amp;zoom=12#map=12/35.4079/44.3267","Maplink1")</f>
        <v>Maplink1</v>
      </c>
      <c r="AX1655" s="88" t="str">
        <f>HYPERLINK("https://www.google.iq/maps/search/+35.4079,44.3267/@35.4079,44.3267,14z?hl=en","Maplink2")</f>
        <v>Maplink2</v>
      </c>
      <c r="AY1655" s="88" t="str">
        <f>HYPERLINK("http://www.bing.com/maps/?lvl=14&amp;sty=h&amp;cp=35.4079~44.3267&amp;sp=point.35.4079_44.3267","Maplink3")</f>
        <v>Maplink3</v>
      </c>
      <c r="AZ1655" s="76"/>
    </row>
    <row r="1656" spans="1:52" x14ac:dyDescent="0.25">
      <c r="A1656" s="86">
        <v>24089</v>
      </c>
      <c r="B1656" s="87" t="s">
        <v>20</v>
      </c>
      <c r="C1656" s="87" t="s">
        <v>20</v>
      </c>
      <c r="D1656" s="87" t="s">
        <v>3233</v>
      </c>
      <c r="E1656" s="87" t="s">
        <v>3234</v>
      </c>
      <c r="F1656" s="87">
        <v>35.438993552299998</v>
      </c>
      <c r="G1656" s="87">
        <v>44.369115529399998</v>
      </c>
      <c r="H1656" s="86">
        <v>35</v>
      </c>
      <c r="I1656" s="86">
        <v>210</v>
      </c>
      <c r="J1656" s="87">
        <v>3</v>
      </c>
      <c r="K1656" s="87"/>
      <c r="L1656" s="87"/>
      <c r="M1656" s="87"/>
      <c r="N1656" s="87"/>
      <c r="O1656" s="87"/>
      <c r="P1656" s="87"/>
      <c r="Q1656" s="87"/>
      <c r="R1656" s="87">
        <v>9</v>
      </c>
      <c r="S1656" s="87"/>
      <c r="T1656" s="87"/>
      <c r="U1656" s="87"/>
      <c r="V1656" s="87">
        <v>8</v>
      </c>
      <c r="W1656" s="87"/>
      <c r="X1656" s="87">
        <v>15</v>
      </c>
      <c r="Y1656" s="87"/>
      <c r="Z1656" s="87"/>
      <c r="AA1656" s="87"/>
      <c r="AB1656" s="87"/>
      <c r="AC1656" s="87"/>
      <c r="AD1656" s="87"/>
      <c r="AE1656" s="87"/>
      <c r="AF1656" s="87"/>
      <c r="AG1656" s="87"/>
      <c r="AH1656" s="87">
        <v>35</v>
      </c>
      <c r="AI1656" s="87"/>
      <c r="AJ1656" s="87"/>
      <c r="AK1656" s="87"/>
      <c r="AL1656" s="87"/>
      <c r="AM1656" s="87"/>
      <c r="AN1656" s="87">
        <v>3</v>
      </c>
      <c r="AO1656" s="87">
        <v>5</v>
      </c>
      <c r="AP1656" s="87">
        <v>5</v>
      </c>
      <c r="AQ1656" s="87"/>
      <c r="AR1656" s="87">
        <v>7</v>
      </c>
      <c r="AS1656" s="87">
        <v>5</v>
      </c>
      <c r="AT1656" s="87">
        <v>10</v>
      </c>
      <c r="AU1656" s="87"/>
      <c r="AV1656" s="87"/>
      <c r="AW1656" s="88" t="str">
        <f>HYPERLINK("http://www.openstreetmap.org/?mlat=35.439&amp;mlon=44.3691&amp;zoom=12#map=12/35.439/44.3691","Maplink1")</f>
        <v>Maplink1</v>
      </c>
      <c r="AX1656" s="88" t="str">
        <f>HYPERLINK("https://www.google.iq/maps/search/+35.439,44.3691/@35.439,44.3691,14z?hl=en","Maplink2")</f>
        <v>Maplink2</v>
      </c>
      <c r="AY1656" s="88" t="str">
        <f>HYPERLINK("http://www.bing.com/maps/?lvl=14&amp;sty=h&amp;cp=35.439~44.3691&amp;sp=point.35.439_44.3691","Maplink3")</f>
        <v>Maplink3</v>
      </c>
      <c r="AZ1656" s="76"/>
    </row>
    <row r="1657" spans="1:52" x14ac:dyDescent="0.25">
      <c r="A1657" s="86">
        <v>15582</v>
      </c>
      <c r="B1657" s="87" t="s">
        <v>20</v>
      </c>
      <c r="C1657" s="87" t="s">
        <v>20</v>
      </c>
      <c r="D1657" s="87" t="s">
        <v>3235</v>
      </c>
      <c r="E1657" s="87" t="s">
        <v>3236</v>
      </c>
      <c r="F1657" s="87">
        <v>35.480287893499998</v>
      </c>
      <c r="G1657" s="87">
        <v>44.3859447464</v>
      </c>
      <c r="H1657" s="86">
        <v>65</v>
      </c>
      <c r="I1657" s="86">
        <v>390</v>
      </c>
      <c r="J1657" s="87"/>
      <c r="K1657" s="87"/>
      <c r="L1657" s="87"/>
      <c r="M1657" s="87"/>
      <c r="N1657" s="87"/>
      <c r="O1657" s="87"/>
      <c r="P1657" s="87"/>
      <c r="Q1657" s="87"/>
      <c r="R1657" s="87">
        <v>10</v>
      </c>
      <c r="S1657" s="87"/>
      <c r="T1657" s="87"/>
      <c r="U1657" s="87"/>
      <c r="V1657" s="87">
        <v>15</v>
      </c>
      <c r="W1657" s="87"/>
      <c r="X1657" s="87">
        <v>40</v>
      </c>
      <c r="Y1657" s="87"/>
      <c r="Z1657" s="87"/>
      <c r="AA1657" s="87"/>
      <c r="AB1657" s="87"/>
      <c r="AC1657" s="87"/>
      <c r="AD1657" s="87"/>
      <c r="AE1657" s="87"/>
      <c r="AF1657" s="87"/>
      <c r="AG1657" s="87"/>
      <c r="AH1657" s="87">
        <v>65</v>
      </c>
      <c r="AI1657" s="87"/>
      <c r="AJ1657" s="87"/>
      <c r="AK1657" s="87"/>
      <c r="AL1657" s="87"/>
      <c r="AM1657" s="87"/>
      <c r="AN1657" s="87"/>
      <c r="AO1657" s="87">
        <v>20</v>
      </c>
      <c r="AP1657" s="87">
        <v>20</v>
      </c>
      <c r="AQ1657" s="87"/>
      <c r="AR1657" s="87">
        <v>15</v>
      </c>
      <c r="AS1657" s="87">
        <v>5</v>
      </c>
      <c r="AT1657" s="87">
        <v>5</v>
      </c>
      <c r="AU1657" s="87"/>
      <c r="AV1657" s="87"/>
      <c r="AW1657" s="88" t="str">
        <f>HYPERLINK("http://www.openstreetmap.org/?mlat=35.4803&amp;mlon=44.3859&amp;zoom=12#map=12/35.4803/44.3859","Maplink1")</f>
        <v>Maplink1</v>
      </c>
      <c r="AX1657" s="88" t="str">
        <f>HYPERLINK("https://www.google.iq/maps/search/+35.4803,44.3859/@35.4803,44.3859,14z?hl=en","Maplink2")</f>
        <v>Maplink2</v>
      </c>
      <c r="AY1657" s="88" t="str">
        <f>HYPERLINK("http://www.bing.com/maps/?lvl=14&amp;sty=h&amp;cp=35.4803~44.3859&amp;sp=point.35.4803_44.3859","Maplink3")</f>
        <v>Maplink3</v>
      </c>
      <c r="AZ1657" s="76"/>
    </row>
    <row r="1658" spans="1:52" x14ac:dyDescent="0.25">
      <c r="A1658" s="86">
        <v>21016</v>
      </c>
      <c r="B1658" s="87" t="s">
        <v>20</v>
      </c>
      <c r="C1658" s="87" t="s">
        <v>20</v>
      </c>
      <c r="D1658" s="87" t="s">
        <v>3237</v>
      </c>
      <c r="E1658" s="87" t="s">
        <v>70</v>
      </c>
      <c r="F1658" s="87">
        <v>35.427845330700002</v>
      </c>
      <c r="G1658" s="87">
        <v>44.4071895955</v>
      </c>
      <c r="H1658" s="86">
        <v>420</v>
      </c>
      <c r="I1658" s="86">
        <v>2520</v>
      </c>
      <c r="J1658" s="87">
        <v>35</v>
      </c>
      <c r="K1658" s="87"/>
      <c r="L1658" s="87">
        <v>15</v>
      </c>
      <c r="M1658" s="87"/>
      <c r="N1658" s="87"/>
      <c r="O1658" s="87">
        <v>60</v>
      </c>
      <c r="P1658" s="87"/>
      <c r="Q1658" s="87"/>
      <c r="R1658" s="87">
        <v>135</v>
      </c>
      <c r="S1658" s="87"/>
      <c r="T1658" s="87"/>
      <c r="U1658" s="87"/>
      <c r="V1658" s="87">
        <v>75</v>
      </c>
      <c r="W1658" s="87"/>
      <c r="X1658" s="87">
        <v>100</v>
      </c>
      <c r="Y1658" s="87"/>
      <c r="Z1658" s="87"/>
      <c r="AA1658" s="87"/>
      <c r="AB1658" s="87"/>
      <c r="AC1658" s="87">
        <v>20</v>
      </c>
      <c r="AD1658" s="87"/>
      <c r="AE1658" s="87">
        <v>10</v>
      </c>
      <c r="AF1658" s="87"/>
      <c r="AG1658" s="87"/>
      <c r="AH1658" s="87">
        <v>390</v>
      </c>
      <c r="AI1658" s="87"/>
      <c r="AJ1658" s="87"/>
      <c r="AK1658" s="87"/>
      <c r="AL1658" s="87"/>
      <c r="AM1658" s="87"/>
      <c r="AN1658" s="87"/>
      <c r="AO1658" s="87">
        <v>85</v>
      </c>
      <c r="AP1658" s="87">
        <v>55</v>
      </c>
      <c r="AQ1658" s="87">
        <v>100</v>
      </c>
      <c r="AR1658" s="87">
        <v>60</v>
      </c>
      <c r="AS1658" s="87">
        <v>70</v>
      </c>
      <c r="AT1658" s="87">
        <v>30</v>
      </c>
      <c r="AU1658" s="87">
        <v>20</v>
      </c>
      <c r="AV1658" s="87"/>
      <c r="AW1658" s="88" t="str">
        <f>HYPERLINK("http://www.openstreetmap.org/?mlat=35.4278&amp;mlon=44.4072&amp;zoom=12#map=12/35.4278/44.4072","Maplink1")</f>
        <v>Maplink1</v>
      </c>
      <c r="AX1658" s="88" t="str">
        <f>HYPERLINK("https://www.google.iq/maps/search/+35.4278,44.4072/@35.4278,44.4072,14z?hl=en","Maplink2")</f>
        <v>Maplink2</v>
      </c>
      <c r="AY1658" s="88" t="str">
        <f>HYPERLINK("http://www.bing.com/maps/?lvl=14&amp;sty=h&amp;cp=35.4278~44.4072&amp;sp=point.35.4278_44.4072","Maplink3")</f>
        <v>Maplink3</v>
      </c>
      <c r="AZ1658" s="76"/>
    </row>
    <row r="1659" spans="1:52" x14ac:dyDescent="0.25">
      <c r="A1659" s="86">
        <v>24780</v>
      </c>
      <c r="B1659" s="87" t="s">
        <v>20</v>
      </c>
      <c r="C1659" s="87" t="s">
        <v>20</v>
      </c>
      <c r="D1659" s="87" t="s">
        <v>3238</v>
      </c>
      <c r="E1659" s="87" t="s">
        <v>3239</v>
      </c>
      <c r="F1659" s="87">
        <v>35.4214561414</v>
      </c>
      <c r="G1659" s="87">
        <v>44.336116811799997</v>
      </c>
      <c r="H1659" s="86">
        <v>350</v>
      </c>
      <c r="I1659" s="86">
        <v>2100</v>
      </c>
      <c r="J1659" s="87">
        <v>5</v>
      </c>
      <c r="K1659" s="87"/>
      <c r="L1659" s="87">
        <v>15</v>
      </c>
      <c r="M1659" s="87"/>
      <c r="N1659" s="87"/>
      <c r="O1659" s="87">
        <v>10</v>
      </c>
      <c r="P1659" s="87"/>
      <c r="Q1659" s="87"/>
      <c r="R1659" s="87">
        <v>215</v>
      </c>
      <c r="S1659" s="87"/>
      <c r="T1659" s="87"/>
      <c r="U1659" s="87"/>
      <c r="V1659" s="87">
        <v>15</v>
      </c>
      <c r="W1659" s="87"/>
      <c r="X1659" s="87">
        <v>90</v>
      </c>
      <c r="Y1659" s="87"/>
      <c r="Z1659" s="87"/>
      <c r="AA1659" s="87"/>
      <c r="AB1659" s="87"/>
      <c r="AC1659" s="87">
        <v>15</v>
      </c>
      <c r="AD1659" s="87"/>
      <c r="AE1659" s="87"/>
      <c r="AF1659" s="87"/>
      <c r="AG1659" s="87"/>
      <c r="AH1659" s="87">
        <v>335</v>
      </c>
      <c r="AI1659" s="87"/>
      <c r="AJ1659" s="87"/>
      <c r="AK1659" s="87"/>
      <c r="AL1659" s="87"/>
      <c r="AM1659" s="87"/>
      <c r="AN1659" s="87">
        <v>5</v>
      </c>
      <c r="AO1659" s="87">
        <v>25</v>
      </c>
      <c r="AP1659" s="87">
        <v>45</v>
      </c>
      <c r="AQ1659" s="87">
        <v>45</v>
      </c>
      <c r="AR1659" s="87">
        <v>65</v>
      </c>
      <c r="AS1659" s="87">
        <v>70</v>
      </c>
      <c r="AT1659" s="87">
        <v>65</v>
      </c>
      <c r="AU1659" s="87">
        <v>30</v>
      </c>
      <c r="AV1659" s="87"/>
      <c r="AW1659" s="88" t="str">
        <f>HYPERLINK("http://www.openstreetmap.org/?mlat=35.4215&amp;mlon=44.3361&amp;zoom=12#map=12/35.4215/44.3361","Maplink1")</f>
        <v>Maplink1</v>
      </c>
      <c r="AX1659" s="88" t="str">
        <f>HYPERLINK("https://www.google.iq/maps/search/+35.4215,44.3361/@35.4215,44.3361,14z?hl=en","Maplink2")</f>
        <v>Maplink2</v>
      </c>
      <c r="AY1659" s="88" t="str">
        <f>HYPERLINK("http://www.bing.com/maps/?lvl=14&amp;sty=h&amp;cp=35.4215~44.3361&amp;sp=point.35.4215_44.3361","Maplink3")</f>
        <v>Maplink3</v>
      </c>
      <c r="AZ1659" s="76"/>
    </row>
    <row r="1660" spans="1:52" x14ac:dyDescent="0.25">
      <c r="A1660" s="86">
        <v>31728</v>
      </c>
      <c r="B1660" s="87" t="s">
        <v>20</v>
      </c>
      <c r="C1660" s="87" t="s">
        <v>20</v>
      </c>
      <c r="D1660" s="87" t="s">
        <v>3240</v>
      </c>
      <c r="E1660" s="87" t="s">
        <v>3241</v>
      </c>
      <c r="F1660" s="87">
        <v>35.407134954199996</v>
      </c>
      <c r="G1660" s="87">
        <v>44.404639884399998</v>
      </c>
      <c r="H1660" s="86">
        <v>490</v>
      </c>
      <c r="I1660" s="86">
        <v>2940</v>
      </c>
      <c r="J1660" s="87">
        <v>40</v>
      </c>
      <c r="K1660" s="87"/>
      <c r="L1660" s="87"/>
      <c r="M1660" s="87"/>
      <c r="N1660" s="87"/>
      <c r="O1660" s="87">
        <v>35</v>
      </c>
      <c r="P1660" s="87"/>
      <c r="Q1660" s="87"/>
      <c r="R1660" s="87">
        <v>250</v>
      </c>
      <c r="S1660" s="87"/>
      <c r="T1660" s="87"/>
      <c r="U1660" s="87"/>
      <c r="V1660" s="87">
        <v>45</v>
      </c>
      <c r="W1660" s="87"/>
      <c r="X1660" s="87">
        <v>120</v>
      </c>
      <c r="Y1660" s="87"/>
      <c r="Z1660" s="87"/>
      <c r="AA1660" s="87"/>
      <c r="AB1660" s="87"/>
      <c r="AC1660" s="87">
        <v>20</v>
      </c>
      <c r="AD1660" s="87"/>
      <c r="AE1660" s="87">
        <v>15</v>
      </c>
      <c r="AF1660" s="87"/>
      <c r="AG1660" s="87"/>
      <c r="AH1660" s="87">
        <v>455</v>
      </c>
      <c r="AI1660" s="87"/>
      <c r="AJ1660" s="87"/>
      <c r="AK1660" s="87"/>
      <c r="AL1660" s="87"/>
      <c r="AM1660" s="87"/>
      <c r="AN1660" s="87">
        <v>30</v>
      </c>
      <c r="AO1660" s="87">
        <v>60</v>
      </c>
      <c r="AP1660" s="87">
        <v>50</v>
      </c>
      <c r="AQ1660" s="87">
        <v>95</v>
      </c>
      <c r="AR1660" s="87">
        <v>50</v>
      </c>
      <c r="AS1660" s="87">
        <v>35</v>
      </c>
      <c r="AT1660" s="87">
        <v>120</v>
      </c>
      <c r="AU1660" s="87">
        <v>50</v>
      </c>
      <c r="AV1660" s="87"/>
      <c r="AW1660" s="88" t="str">
        <f>HYPERLINK("http://www.openstreetmap.org/?mlat=35.4071&amp;mlon=44.4046&amp;zoom=12#map=12/35.4071/44.4046","Maplink1")</f>
        <v>Maplink1</v>
      </c>
      <c r="AX1660" s="88" t="str">
        <f>HYPERLINK("https://www.google.iq/maps/search/+35.4071,44.4046/@35.4071,44.4046,14z?hl=en","Maplink2")</f>
        <v>Maplink2</v>
      </c>
      <c r="AY1660" s="88" t="str">
        <f>HYPERLINK("http://www.bing.com/maps/?lvl=14&amp;sty=h&amp;cp=35.4071~44.4046&amp;sp=point.35.4071_44.4046","Maplink3")</f>
        <v>Maplink3</v>
      </c>
      <c r="AZ1660" s="76"/>
    </row>
    <row r="1661" spans="1:52" x14ac:dyDescent="0.25">
      <c r="A1661" s="86">
        <v>31729</v>
      </c>
      <c r="B1661" s="87" t="s">
        <v>20</v>
      </c>
      <c r="C1661" s="87" t="s">
        <v>20</v>
      </c>
      <c r="D1661" s="87" t="s">
        <v>3242</v>
      </c>
      <c r="E1661" s="87" t="s">
        <v>3243</v>
      </c>
      <c r="F1661" s="87">
        <v>35.406109199900001</v>
      </c>
      <c r="G1661" s="87">
        <v>44.4136108605</v>
      </c>
      <c r="H1661" s="86">
        <v>430</v>
      </c>
      <c r="I1661" s="86">
        <v>2580</v>
      </c>
      <c r="J1661" s="87">
        <v>45</v>
      </c>
      <c r="K1661" s="87">
        <v>10</v>
      </c>
      <c r="L1661" s="87"/>
      <c r="M1661" s="87"/>
      <c r="N1661" s="87"/>
      <c r="O1661" s="87">
        <v>15</v>
      </c>
      <c r="P1661" s="87"/>
      <c r="Q1661" s="87"/>
      <c r="R1661" s="87">
        <v>125</v>
      </c>
      <c r="S1661" s="87"/>
      <c r="T1661" s="87"/>
      <c r="U1661" s="87"/>
      <c r="V1661" s="87">
        <v>60</v>
      </c>
      <c r="W1661" s="87"/>
      <c r="X1661" s="87">
        <v>175</v>
      </c>
      <c r="Y1661" s="87"/>
      <c r="Z1661" s="87"/>
      <c r="AA1661" s="87"/>
      <c r="AB1661" s="87"/>
      <c r="AC1661" s="87">
        <v>15</v>
      </c>
      <c r="AD1661" s="87"/>
      <c r="AE1661" s="87">
        <v>10</v>
      </c>
      <c r="AF1661" s="87"/>
      <c r="AG1661" s="87"/>
      <c r="AH1661" s="87">
        <v>405</v>
      </c>
      <c r="AI1661" s="87"/>
      <c r="AJ1661" s="87"/>
      <c r="AK1661" s="87"/>
      <c r="AL1661" s="87"/>
      <c r="AM1661" s="87"/>
      <c r="AN1661" s="87">
        <v>25</v>
      </c>
      <c r="AO1661" s="87">
        <v>80</v>
      </c>
      <c r="AP1661" s="87">
        <v>65</v>
      </c>
      <c r="AQ1661" s="87">
        <v>115</v>
      </c>
      <c r="AR1661" s="87">
        <v>50</v>
      </c>
      <c r="AS1661" s="87">
        <v>35</v>
      </c>
      <c r="AT1661" s="87">
        <v>50</v>
      </c>
      <c r="AU1661" s="87">
        <v>10</v>
      </c>
      <c r="AV1661" s="87"/>
      <c r="AW1661" s="88" t="str">
        <f>HYPERLINK("http://www.openstreetmap.org/?mlat=35.4061&amp;mlon=44.4136&amp;zoom=12#map=12/35.4061/44.4136","Maplink1")</f>
        <v>Maplink1</v>
      </c>
      <c r="AX1661" s="88" t="str">
        <f>HYPERLINK("https://www.google.iq/maps/search/+35.4061,44.4136/@35.4061,44.4136,14z?hl=en","Maplink2")</f>
        <v>Maplink2</v>
      </c>
      <c r="AY1661" s="88" t="str">
        <f>HYPERLINK("http://www.bing.com/maps/?lvl=14&amp;sty=h&amp;cp=35.4061~44.4136&amp;sp=point.35.4061_44.4136","Maplink3")</f>
        <v>Maplink3</v>
      </c>
      <c r="AZ1661" s="76"/>
    </row>
    <row r="1662" spans="1:52" x14ac:dyDescent="0.25">
      <c r="A1662" s="86">
        <v>15578</v>
      </c>
      <c r="B1662" s="87" t="s">
        <v>20</v>
      </c>
      <c r="C1662" s="87" t="s">
        <v>20</v>
      </c>
      <c r="D1662" s="87" t="s">
        <v>3244</v>
      </c>
      <c r="E1662" s="87" t="s">
        <v>1793</v>
      </c>
      <c r="F1662" s="87">
        <v>35.434324768499998</v>
      </c>
      <c r="G1662" s="87">
        <v>44.353204454999997</v>
      </c>
      <c r="H1662" s="86">
        <v>125</v>
      </c>
      <c r="I1662" s="86">
        <v>750</v>
      </c>
      <c r="J1662" s="87"/>
      <c r="K1662" s="87"/>
      <c r="L1662" s="87"/>
      <c r="M1662" s="87"/>
      <c r="N1662" s="87"/>
      <c r="O1662" s="87"/>
      <c r="P1662" s="87"/>
      <c r="Q1662" s="87"/>
      <c r="R1662" s="87">
        <v>50</v>
      </c>
      <c r="S1662" s="87"/>
      <c r="T1662" s="87"/>
      <c r="U1662" s="87"/>
      <c r="V1662" s="87">
        <v>20</v>
      </c>
      <c r="W1662" s="87"/>
      <c r="X1662" s="87">
        <v>55</v>
      </c>
      <c r="Y1662" s="87"/>
      <c r="Z1662" s="87"/>
      <c r="AA1662" s="87"/>
      <c r="AB1662" s="87"/>
      <c r="AC1662" s="87">
        <v>10</v>
      </c>
      <c r="AD1662" s="87"/>
      <c r="AE1662" s="87"/>
      <c r="AF1662" s="87"/>
      <c r="AG1662" s="87"/>
      <c r="AH1662" s="87">
        <v>115</v>
      </c>
      <c r="AI1662" s="87"/>
      <c r="AJ1662" s="87"/>
      <c r="AK1662" s="87"/>
      <c r="AL1662" s="87"/>
      <c r="AM1662" s="87"/>
      <c r="AN1662" s="87"/>
      <c r="AO1662" s="87">
        <v>10</v>
      </c>
      <c r="AP1662" s="87">
        <v>20</v>
      </c>
      <c r="AQ1662" s="87">
        <v>25</v>
      </c>
      <c r="AR1662" s="87">
        <v>15</v>
      </c>
      <c r="AS1662" s="87">
        <v>25</v>
      </c>
      <c r="AT1662" s="87">
        <v>20</v>
      </c>
      <c r="AU1662" s="87">
        <v>10</v>
      </c>
      <c r="AV1662" s="87"/>
      <c r="AW1662" s="88" t="str">
        <f>HYPERLINK("http://www.openstreetmap.org/?mlat=35.4343&amp;mlon=44.3532&amp;zoom=12#map=12/35.4343/44.3532","Maplink1")</f>
        <v>Maplink1</v>
      </c>
      <c r="AX1662" s="88" t="str">
        <f>HYPERLINK("https://www.google.iq/maps/search/+35.4343,44.3532/@35.4343,44.3532,14z?hl=en","Maplink2")</f>
        <v>Maplink2</v>
      </c>
      <c r="AY1662" s="88" t="str">
        <f>HYPERLINK("http://www.bing.com/maps/?lvl=14&amp;sty=h&amp;cp=35.4343~44.3532&amp;sp=point.35.4343_44.3532","Maplink3")</f>
        <v>Maplink3</v>
      </c>
      <c r="AZ1662" s="76"/>
    </row>
    <row r="1663" spans="1:52" x14ac:dyDescent="0.25">
      <c r="A1663" s="86">
        <v>15650</v>
      </c>
      <c r="B1663" s="87" t="s">
        <v>20</v>
      </c>
      <c r="C1663" s="87" t="s">
        <v>20</v>
      </c>
      <c r="D1663" s="87" t="s">
        <v>3245</v>
      </c>
      <c r="E1663" s="87" t="s">
        <v>3246</v>
      </c>
      <c r="F1663" s="87">
        <v>35.416348712500003</v>
      </c>
      <c r="G1663" s="87">
        <v>44.395339999999997</v>
      </c>
      <c r="H1663" s="86">
        <v>475</v>
      </c>
      <c r="I1663" s="86">
        <v>2850</v>
      </c>
      <c r="J1663" s="87">
        <v>20</v>
      </c>
      <c r="K1663" s="87"/>
      <c r="L1663" s="87">
        <v>20</v>
      </c>
      <c r="M1663" s="87"/>
      <c r="N1663" s="87"/>
      <c r="O1663" s="87">
        <v>70</v>
      </c>
      <c r="P1663" s="87"/>
      <c r="Q1663" s="87"/>
      <c r="R1663" s="87">
        <v>180</v>
      </c>
      <c r="S1663" s="87"/>
      <c r="T1663" s="87"/>
      <c r="U1663" s="87"/>
      <c r="V1663" s="87">
        <v>60</v>
      </c>
      <c r="W1663" s="87"/>
      <c r="X1663" s="87">
        <v>125</v>
      </c>
      <c r="Y1663" s="87"/>
      <c r="Z1663" s="87"/>
      <c r="AA1663" s="87"/>
      <c r="AB1663" s="87"/>
      <c r="AC1663" s="87">
        <v>20</v>
      </c>
      <c r="AD1663" s="87"/>
      <c r="AE1663" s="87">
        <v>75</v>
      </c>
      <c r="AF1663" s="87"/>
      <c r="AG1663" s="87"/>
      <c r="AH1663" s="87">
        <v>380</v>
      </c>
      <c r="AI1663" s="87"/>
      <c r="AJ1663" s="87"/>
      <c r="AK1663" s="87"/>
      <c r="AL1663" s="87"/>
      <c r="AM1663" s="87"/>
      <c r="AN1663" s="87">
        <v>5</v>
      </c>
      <c r="AO1663" s="87">
        <v>40</v>
      </c>
      <c r="AP1663" s="87">
        <v>80</v>
      </c>
      <c r="AQ1663" s="87">
        <v>80</v>
      </c>
      <c r="AR1663" s="87">
        <v>85</v>
      </c>
      <c r="AS1663" s="87">
        <v>90</v>
      </c>
      <c r="AT1663" s="87">
        <v>65</v>
      </c>
      <c r="AU1663" s="87">
        <v>30</v>
      </c>
      <c r="AV1663" s="87"/>
      <c r="AW1663" s="88" t="str">
        <f>HYPERLINK("http://www.openstreetmap.org/?mlat=35.4163&amp;mlon=44.3953&amp;zoom=12#map=12/35.4163/44.3953","Maplink1")</f>
        <v>Maplink1</v>
      </c>
      <c r="AX1663" s="88" t="str">
        <f>HYPERLINK("https://www.google.iq/maps/search/+35.4163,44.3953/@35.4163,44.3953,14z?hl=en","Maplink2")</f>
        <v>Maplink2</v>
      </c>
      <c r="AY1663" s="88" t="str">
        <f>HYPERLINK("http://www.bing.com/maps/?lvl=14&amp;sty=h&amp;cp=35.4163~44.3953&amp;sp=point.35.4163_44.3953","Maplink3")</f>
        <v>Maplink3</v>
      </c>
      <c r="AZ1663" s="76"/>
    </row>
    <row r="1664" spans="1:52" x14ac:dyDescent="0.25">
      <c r="A1664" s="86">
        <v>15639</v>
      </c>
      <c r="B1664" s="87" t="s">
        <v>20</v>
      </c>
      <c r="C1664" s="87" t="s">
        <v>20</v>
      </c>
      <c r="D1664" s="87" t="s">
        <v>3247</v>
      </c>
      <c r="E1664" s="87" t="s">
        <v>3248</v>
      </c>
      <c r="F1664" s="87">
        <v>35.397851000000003</v>
      </c>
      <c r="G1664" s="87">
        <v>44.375688998199998</v>
      </c>
      <c r="H1664" s="86">
        <v>255</v>
      </c>
      <c r="I1664" s="86">
        <v>1530</v>
      </c>
      <c r="J1664" s="87">
        <v>3</v>
      </c>
      <c r="K1664" s="87"/>
      <c r="L1664" s="87">
        <v>8</v>
      </c>
      <c r="M1664" s="87"/>
      <c r="N1664" s="87"/>
      <c r="O1664" s="87">
        <v>25</v>
      </c>
      <c r="P1664" s="87"/>
      <c r="Q1664" s="87"/>
      <c r="R1664" s="87">
        <v>100</v>
      </c>
      <c r="S1664" s="87"/>
      <c r="T1664" s="87"/>
      <c r="U1664" s="87"/>
      <c r="V1664" s="87">
        <v>6</v>
      </c>
      <c r="W1664" s="87"/>
      <c r="X1664" s="87">
        <v>113</v>
      </c>
      <c r="Y1664" s="87"/>
      <c r="Z1664" s="87"/>
      <c r="AA1664" s="87"/>
      <c r="AB1664" s="87"/>
      <c r="AC1664" s="87"/>
      <c r="AD1664" s="87"/>
      <c r="AE1664" s="87">
        <v>65</v>
      </c>
      <c r="AF1664" s="87"/>
      <c r="AG1664" s="87"/>
      <c r="AH1664" s="87">
        <v>175</v>
      </c>
      <c r="AI1664" s="87">
        <v>15</v>
      </c>
      <c r="AJ1664" s="87"/>
      <c r="AK1664" s="87"/>
      <c r="AL1664" s="87"/>
      <c r="AM1664" s="87"/>
      <c r="AN1664" s="87"/>
      <c r="AO1664" s="87">
        <v>11</v>
      </c>
      <c r="AP1664" s="87">
        <v>28</v>
      </c>
      <c r="AQ1664" s="87">
        <v>45</v>
      </c>
      <c r="AR1664" s="87">
        <v>55</v>
      </c>
      <c r="AS1664" s="87">
        <v>60</v>
      </c>
      <c r="AT1664" s="87">
        <v>30</v>
      </c>
      <c r="AU1664" s="87">
        <v>26</v>
      </c>
      <c r="AV1664" s="87"/>
      <c r="AW1664" s="88" t="str">
        <f>HYPERLINK("http://www.openstreetmap.org/?mlat=35.3979&amp;mlon=44.3757&amp;zoom=12#map=12/35.3979/44.3757","Maplink1")</f>
        <v>Maplink1</v>
      </c>
      <c r="AX1664" s="88" t="str">
        <f>HYPERLINK("https://www.google.iq/maps/search/+35.3979,44.3757/@35.3979,44.3757,14z?hl=en","Maplink2")</f>
        <v>Maplink2</v>
      </c>
      <c r="AY1664" s="88" t="str">
        <f>HYPERLINK("http://www.bing.com/maps/?lvl=14&amp;sty=h&amp;cp=35.3979~44.3757&amp;sp=point.35.3979_44.3757","Maplink3")</f>
        <v>Maplink3</v>
      </c>
      <c r="AZ1664" s="76"/>
    </row>
    <row r="1665" spans="1:52" x14ac:dyDescent="0.25">
      <c r="A1665" s="86">
        <v>15658</v>
      </c>
      <c r="B1665" s="87" t="s">
        <v>20</v>
      </c>
      <c r="C1665" s="87" t="s">
        <v>20</v>
      </c>
      <c r="D1665" s="87" t="s">
        <v>3249</v>
      </c>
      <c r="E1665" s="87" t="s">
        <v>3250</v>
      </c>
      <c r="F1665" s="87">
        <v>35.356029025200002</v>
      </c>
      <c r="G1665" s="87">
        <v>44.301678119800002</v>
      </c>
      <c r="H1665" s="86">
        <v>175</v>
      </c>
      <c r="I1665" s="86">
        <v>1050</v>
      </c>
      <c r="J1665" s="87"/>
      <c r="K1665" s="87"/>
      <c r="L1665" s="87"/>
      <c r="M1665" s="87"/>
      <c r="N1665" s="87"/>
      <c r="O1665" s="87"/>
      <c r="P1665" s="87"/>
      <c r="Q1665" s="87"/>
      <c r="R1665" s="87">
        <v>175</v>
      </c>
      <c r="S1665" s="87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>
        <v>15</v>
      </c>
      <c r="AD1665" s="87"/>
      <c r="AE1665" s="87">
        <v>65</v>
      </c>
      <c r="AF1665" s="87"/>
      <c r="AG1665" s="87"/>
      <c r="AH1665" s="87">
        <v>95</v>
      </c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>
        <v>25</v>
      </c>
      <c r="AS1665" s="87">
        <v>25</v>
      </c>
      <c r="AT1665" s="87">
        <v>35</v>
      </c>
      <c r="AU1665" s="87">
        <v>90</v>
      </c>
      <c r="AV1665" s="87"/>
      <c r="AW1665" s="88" t="str">
        <f>HYPERLINK("http://www.openstreetmap.org/?mlat=35.356&amp;mlon=44.3017&amp;zoom=12#map=12/35.356/44.3017","Maplink1")</f>
        <v>Maplink1</v>
      </c>
      <c r="AX1665" s="88" t="str">
        <f>HYPERLINK("https://www.google.iq/maps/search/+35.356,44.3017/@35.356,44.3017,14z?hl=en","Maplink2")</f>
        <v>Maplink2</v>
      </c>
      <c r="AY1665" s="88" t="str">
        <f>HYPERLINK("http://www.bing.com/maps/?lvl=14&amp;sty=h&amp;cp=35.356~44.3017&amp;sp=point.35.356_44.3017","Maplink3")</f>
        <v>Maplink3</v>
      </c>
      <c r="AZ1665" s="76"/>
    </row>
    <row r="1666" spans="1:52" x14ac:dyDescent="0.25">
      <c r="A1666" s="86">
        <v>15550</v>
      </c>
      <c r="B1666" s="87" t="s">
        <v>20</v>
      </c>
      <c r="C1666" s="87" t="s">
        <v>20</v>
      </c>
      <c r="D1666" s="87" t="s">
        <v>3251</v>
      </c>
      <c r="E1666" s="87" t="s">
        <v>1298</v>
      </c>
      <c r="F1666" s="87">
        <v>35.429651104199998</v>
      </c>
      <c r="G1666" s="87">
        <v>44.391836051699997</v>
      </c>
      <c r="H1666" s="86">
        <v>581</v>
      </c>
      <c r="I1666" s="86">
        <v>3486</v>
      </c>
      <c r="J1666" s="87">
        <v>13</v>
      </c>
      <c r="K1666" s="87"/>
      <c r="L1666" s="87">
        <v>5</v>
      </c>
      <c r="M1666" s="87"/>
      <c r="N1666" s="87"/>
      <c r="O1666" s="87">
        <v>65</v>
      </c>
      <c r="P1666" s="87"/>
      <c r="Q1666" s="87"/>
      <c r="R1666" s="87">
        <v>362</v>
      </c>
      <c r="S1666" s="87"/>
      <c r="T1666" s="87"/>
      <c r="U1666" s="87"/>
      <c r="V1666" s="87">
        <v>46</v>
      </c>
      <c r="W1666" s="87"/>
      <c r="X1666" s="87">
        <v>90</v>
      </c>
      <c r="Y1666" s="87"/>
      <c r="Z1666" s="87"/>
      <c r="AA1666" s="87"/>
      <c r="AB1666" s="87"/>
      <c r="AC1666" s="87"/>
      <c r="AD1666" s="87"/>
      <c r="AE1666" s="87">
        <v>35</v>
      </c>
      <c r="AF1666" s="87"/>
      <c r="AG1666" s="87"/>
      <c r="AH1666" s="87">
        <v>521</v>
      </c>
      <c r="AI1666" s="87">
        <v>25</v>
      </c>
      <c r="AJ1666" s="87"/>
      <c r="AK1666" s="87"/>
      <c r="AL1666" s="87"/>
      <c r="AM1666" s="87"/>
      <c r="AN1666" s="87">
        <v>8</v>
      </c>
      <c r="AO1666" s="87">
        <v>29</v>
      </c>
      <c r="AP1666" s="87">
        <v>18</v>
      </c>
      <c r="AQ1666" s="87">
        <v>87</v>
      </c>
      <c r="AR1666" s="87">
        <v>282</v>
      </c>
      <c r="AS1666" s="87">
        <v>70</v>
      </c>
      <c r="AT1666" s="87">
        <v>42</v>
      </c>
      <c r="AU1666" s="87">
        <v>45</v>
      </c>
      <c r="AV1666" s="87"/>
      <c r="AW1666" s="88" t="str">
        <f>HYPERLINK("http://www.openstreetmap.org/?mlat=35.4297&amp;mlon=44.3918&amp;zoom=12#map=12/35.4297/44.3918","Maplink1")</f>
        <v>Maplink1</v>
      </c>
      <c r="AX1666" s="88" t="str">
        <f>HYPERLINK("https://www.google.iq/maps/search/+35.4297,44.3918/@35.4297,44.3918,14z?hl=en","Maplink2")</f>
        <v>Maplink2</v>
      </c>
      <c r="AY1666" s="88" t="str">
        <f>HYPERLINK("http://www.bing.com/maps/?lvl=14&amp;sty=h&amp;cp=35.4297~44.3918&amp;sp=point.35.4297_44.3918","Maplink3")</f>
        <v>Maplink3</v>
      </c>
      <c r="AZ1666" s="76"/>
    </row>
    <row r="1667" spans="1:52" x14ac:dyDescent="0.25">
      <c r="A1667" s="86">
        <v>23899</v>
      </c>
      <c r="B1667" s="87" t="s">
        <v>20</v>
      </c>
      <c r="C1667" s="87" t="s">
        <v>20</v>
      </c>
      <c r="D1667" s="87" t="s">
        <v>3252</v>
      </c>
      <c r="E1667" s="87" t="s">
        <v>3253</v>
      </c>
      <c r="F1667" s="87">
        <v>35.389977749099998</v>
      </c>
      <c r="G1667" s="87">
        <v>44.391680307599998</v>
      </c>
      <c r="H1667" s="86">
        <v>519</v>
      </c>
      <c r="I1667" s="86">
        <v>3114</v>
      </c>
      <c r="J1667" s="87">
        <v>4</v>
      </c>
      <c r="K1667" s="87">
        <v>10</v>
      </c>
      <c r="L1667" s="87"/>
      <c r="M1667" s="87"/>
      <c r="N1667" s="87"/>
      <c r="O1667" s="87">
        <v>95</v>
      </c>
      <c r="P1667" s="87"/>
      <c r="Q1667" s="87"/>
      <c r="R1667" s="87">
        <v>145</v>
      </c>
      <c r="S1667" s="87"/>
      <c r="T1667" s="87"/>
      <c r="U1667" s="87"/>
      <c r="V1667" s="87">
        <v>25</v>
      </c>
      <c r="W1667" s="87"/>
      <c r="X1667" s="87">
        <v>240</v>
      </c>
      <c r="Y1667" s="87"/>
      <c r="Z1667" s="87"/>
      <c r="AA1667" s="87"/>
      <c r="AB1667" s="87"/>
      <c r="AC1667" s="87">
        <v>10</v>
      </c>
      <c r="AD1667" s="87"/>
      <c r="AE1667" s="87">
        <v>20</v>
      </c>
      <c r="AF1667" s="87"/>
      <c r="AG1667" s="87"/>
      <c r="AH1667" s="87">
        <v>489</v>
      </c>
      <c r="AI1667" s="87"/>
      <c r="AJ1667" s="87"/>
      <c r="AK1667" s="87"/>
      <c r="AL1667" s="87"/>
      <c r="AM1667" s="87"/>
      <c r="AN1667" s="87">
        <v>1</v>
      </c>
      <c r="AO1667" s="87">
        <v>20</v>
      </c>
      <c r="AP1667" s="87">
        <v>65</v>
      </c>
      <c r="AQ1667" s="87">
        <v>135</v>
      </c>
      <c r="AR1667" s="87">
        <v>88</v>
      </c>
      <c r="AS1667" s="87">
        <v>85</v>
      </c>
      <c r="AT1667" s="87">
        <v>70</v>
      </c>
      <c r="AU1667" s="87">
        <v>55</v>
      </c>
      <c r="AV1667" s="87"/>
      <c r="AW1667" s="88" t="str">
        <f>HYPERLINK("http://www.openstreetmap.org/?mlat=35.39&amp;mlon=44.3917&amp;zoom=12#map=12/35.39/44.3917","Maplink1")</f>
        <v>Maplink1</v>
      </c>
      <c r="AX1667" s="88" t="str">
        <f>HYPERLINK("https://www.google.iq/maps/search/+35.39,44.3917/@35.39,44.3917,14z?hl=en","Maplink2")</f>
        <v>Maplink2</v>
      </c>
      <c r="AY1667" s="88" t="str">
        <f>HYPERLINK("http://www.bing.com/maps/?lvl=14&amp;sty=h&amp;cp=35.39~44.3917&amp;sp=point.35.39_44.3917","Maplink3")</f>
        <v>Maplink3</v>
      </c>
      <c r="AZ1667" s="76"/>
    </row>
    <row r="1668" spans="1:52" x14ac:dyDescent="0.25">
      <c r="A1668" s="86">
        <v>24142</v>
      </c>
      <c r="B1668" s="87" t="s">
        <v>20</v>
      </c>
      <c r="C1668" s="87" t="s">
        <v>20</v>
      </c>
      <c r="D1668" s="87" t="s">
        <v>3254</v>
      </c>
      <c r="E1668" s="87" t="s">
        <v>3255</v>
      </c>
      <c r="F1668" s="87">
        <v>35.488773069300002</v>
      </c>
      <c r="G1668" s="87">
        <v>44.3711684031</v>
      </c>
      <c r="H1668" s="86">
        <v>29</v>
      </c>
      <c r="I1668" s="86">
        <v>174</v>
      </c>
      <c r="J1668" s="87"/>
      <c r="K1668" s="87"/>
      <c r="L1668" s="87"/>
      <c r="M1668" s="87"/>
      <c r="N1668" s="87"/>
      <c r="O1668" s="87"/>
      <c r="P1668" s="87"/>
      <c r="Q1668" s="87"/>
      <c r="R1668" s="87">
        <v>12</v>
      </c>
      <c r="S1668" s="87"/>
      <c r="T1668" s="87"/>
      <c r="U1668" s="87"/>
      <c r="V1668" s="87">
        <v>7</v>
      </c>
      <c r="W1668" s="87"/>
      <c r="X1668" s="87">
        <v>10</v>
      </c>
      <c r="Y1668" s="87"/>
      <c r="Z1668" s="87"/>
      <c r="AA1668" s="87"/>
      <c r="AB1668" s="87"/>
      <c r="AC1668" s="87">
        <v>3</v>
      </c>
      <c r="AD1668" s="87"/>
      <c r="AE1668" s="87"/>
      <c r="AF1668" s="87"/>
      <c r="AG1668" s="87"/>
      <c r="AH1668" s="87">
        <v>26</v>
      </c>
      <c r="AI1668" s="87"/>
      <c r="AJ1668" s="87"/>
      <c r="AK1668" s="87"/>
      <c r="AL1668" s="87"/>
      <c r="AM1668" s="87"/>
      <c r="AN1668" s="87"/>
      <c r="AO1668" s="87">
        <v>5</v>
      </c>
      <c r="AP1668" s="87">
        <v>2</v>
      </c>
      <c r="AQ1668" s="87">
        <v>10</v>
      </c>
      <c r="AR1668" s="87"/>
      <c r="AS1668" s="87">
        <v>5</v>
      </c>
      <c r="AT1668" s="87"/>
      <c r="AU1668" s="87">
        <v>7</v>
      </c>
      <c r="AV1668" s="87"/>
      <c r="AW1668" s="88" t="str">
        <f>HYPERLINK("http://www.openstreetmap.org/?mlat=35.4888&amp;mlon=44.3712&amp;zoom=12#map=12/35.4888/44.3712","Maplink1")</f>
        <v>Maplink1</v>
      </c>
      <c r="AX1668" s="88" t="str">
        <f>HYPERLINK("https://www.google.iq/maps/search/+35.4888,44.3712/@35.4888,44.3712,14z?hl=en","Maplink2")</f>
        <v>Maplink2</v>
      </c>
      <c r="AY1668" s="88" t="str">
        <f>HYPERLINK("http://www.bing.com/maps/?lvl=14&amp;sty=h&amp;cp=35.4888~44.3712&amp;sp=point.35.4888_44.3712","Maplink3")</f>
        <v>Maplink3</v>
      </c>
      <c r="AZ1668" s="76"/>
    </row>
    <row r="1669" spans="1:52" x14ac:dyDescent="0.25">
      <c r="A1669" s="86">
        <v>21702</v>
      </c>
      <c r="B1669" s="87" t="s">
        <v>20</v>
      </c>
      <c r="C1669" s="87" t="s">
        <v>20</v>
      </c>
      <c r="D1669" s="87" t="s">
        <v>3256</v>
      </c>
      <c r="E1669" s="87" t="s">
        <v>3257</v>
      </c>
      <c r="F1669" s="87">
        <v>35.481445273699997</v>
      </c>
      <c r="G1669" s="87">
        <v>44.418603880200003</v>
      </c>
      <c r="H1669" s="86">
        <v>90</v>
      </c>
      <c r="I1669" s="86">
        <v>540</v>
      </c>
      <c r="J1669" s="87">
        <v>15</v>
      </c>
      <c r="K1669" s="87"/>
      <c r="L1669" s="87"/>
      <c r="M1669" s="87"/>
      <c r="N1669" s="87"/>
      <c r="O1669" s="87">
        <v>1</v>
      </c>
      <c r="P1669" s="87"/>
      <c r="Q1669" s="87"/>
      <c r="R1669" s="87">
        <v>39</v>
      </c>
      <c r="S1669" s="87"/>
      <c r="T1669" s="87"/>
      <c r="U1669" s="87"/>
      <c r="V1669" s="87">
        <v>15</v>
      </c>
      <c r="W1669" s="87"/>
      <c r="X1669" s="87">
        <v>20</v>
      </c>
      <c r="Y1669" s="87"/>
      <c r="Z1669" s="87"/>
      <c r="AA1669" s="87"/>
      <c r="AB1669" s="87"/>
      <c r="AC1669" s="87"/>
      <c r="AD1669" s="87"/>
      <c r="AE1669" s="87"/>
      <c r="AF1669" s="87"/>
      <c r="AG1669" s="87"/>
      <c r="AH1669" s="87">
        <v>90</v>
      </c>
      <c r="AI1669" s="87"/>
      <c r="AJ1669" s="87"/>
      <c r="AK1669" s="87"/>
      <c r="AL1669" s="87"/>
      <c r="AM1669" s="87"/>
      <c r="AN1669" s="87">
        <v>5</v>
      </c>
      <c r="AO1669" s="87">
        <v>10</v>
      </c>
      <c r="AP1669" s="87">
        <v>1</v>
      </c>
      <c r="AQ1669" s="87">
        <v>9</v>
      </c>
      <c r="AR1669" s="87">
        <v>10</v>
      </c>
      <c r="AS1669" s="87">
        <v>35</v>
      </c>
      <c r="AT1669" s="87">
        <v>15</v>
      </c>
      <c r="AU1669" s="87">
        <v>5</v>
      </c>
      <c r="AV1669" s="87"/>
      <c r="AW1669" s="88" t="str">
        <f>HYPERLINK("http://www.openstreetmap.org/?mlat=35.4814&amp;mlon=44.4186&amp;zoom=12#map=12/35.4814/44.4186","Maplink1")</f>
        <v>Maplink1</v>
      </c>
      <c r="AX1669" s="88" t="str">
        <f>HYPERLINK("https://www.google.iq/maps/search/+35.4814,44.4186/@35.4814,44.4186,14z?hl=en","Maplink2")</f>
        <v>Maplink2</v>
      </c>
      <c r="AY1669" s="88" t="str">
        <f>HYPERLINK("http://www.bing.com/maps/?lvl=14&amp;sty=h&amp;cp=35.4814~44.4186&amp;sp=point.35.4814_44.4186","Maplink3")</f>
        <v>Maplink3</v>
      </c>
      <c r="AZ1669" s="76"/>
    </row>
    <row r="1670" spans="1:52" x14ac:dyDescent="0.25">
      <c r="A1670" s="86">
        <v>15584</v>
      </c>
      <c r="B1670" s="87" t="s">
        <v>20</v>
      </c>
      <c r="C1670" s="87" t="s">
        <v>20</v>
      </c>
      <c r="D1670" s="87" t="s">
        <v>3258</v>
      </c>
      <c r="E1670" s="87" t="s">
        <v>3259</v>
      </c>
      <c r="F1670" s="87">
        <v>35.435250627000002</v>
      </c>
      <c r="G1670" s="87">
        <v>44.3814867022</v>
      </c>
      <c r="H1670" s="86">
        <v>260</v>
      </c>
      <c r="I1670" s="86">
        <v>1560</v>
      </c>
      <c r="J1670" s="87">
        <v>15</v>
      </c>
      <c r="K1670" s="87"/>
      <c r="L1670" s="87">
        <v>5</v>
      </c>
      <c r="M1670" s="87"/>
      <c r="N1670" s="87"/>
      <c r="O1670" s="87"/>
      <c r="P1670" s="87"/>
      <c r="Q1670" s="87"/>
      <c r="R1670" s="87">
        <v>140</v>
      </c>
      <c r="S1670" s="87"/>
      <c r="T1670" s="87"/>
      <c r="U1670" s="87"/>
      <c r="V1670" s="87">
        <v>25</v>
      </c>
      <c r="W1670" s="87"/>
      <c r="X1670" s="87">
        <v>75</v>
      </c>
      <c r="Y1670" s="87"/>
      <c r="Z1670" s="87"/>
      <c r="AA1670" s="87"/>
      <c r="AB1670" s="87"/>
      <c r="AC1670" s="87"/>
      <c r="AD1670" s="87"/>
      <c r="AE1670" s="87"/>
      <c r="AF1670" s="87"/>
      <c r="AG1670" s="87"/>
      <c r="AH1670" s="87">
        <v>260</v>
      </c>
      <c r="AI1670" s="87"/>
      <c r="AJ1670" s="87"/>
      <c r="AK1670" s="87"/>
      <c r="AL1670" s="87"/>
      <c r="AM1670" s="87"/>
      <c r="AN1670" s="87">
        <v>10</v>
      </c>
      <c r="AO1670" s="87">
        <v>20</v>
      </c>
      <c r="AP1670" s="87">
        <v>50</v>
      </c>
      <c r="AQ1670" s="87">
        <v>25</v>
      </c>
      <c r="AR1670" s="87">
        <v>50</v>
      </c>
      <c r="AS1670" s="87">
        <v>40</v>
      </c>
      <c r="AT1670" s="87">
        <v>30</v>
      </c>
      <c r="AU1670" s="87">
        <v>35</v>
      </c>
      <c r="AV1670" s="87"/>
      <c r="AW1670" s="88" t="str">
        <f>HYPERLINK("http://www.openstreetmap.org/?mlat=35.4353&amp;mlon=44.3815&amp;zoom=12#map=12/35.4353/44.3815","Maplink1")</f>
        <v>Maplink1</v>
      </c>
      <c r="AX1670" s="88" t="str">
        <f>HYPERLINK("https://www.google.iq/maps/search/+35.4353,44.3815/@35.4353,44.3815,14z?hl=en","Maplink2")</f>
        <v>Maplink2</v>
      </c>
      <c r="AY1670" s="88" t="str">
        <f>HYPERLINK("http://www.bing.com/maps/?lvl=14&amp;sty=h&amp;cp=35.4353~44.3815&amp;sp=point.35.4353_44.3815","Maplink3")</f>
        <v>Maplink3</v>
      </c>
      <c r="AZ1670" s="76"/>
    </row>
    <row r="1671" spans="1:52" x14ac:dyDescent="0.25">
      <c r="A1671" s="86">
        <v>15694</v>
      </c>
      <c r="B1671" s="87" t="s">
        <v>20</v>
      </c>
      <c r="C1671" s="87" t="s">
        <v>20</v>
      </c>
      <c r="D1671" s="87" t="s">
        <v>3260</v>
      </c>
      <c r="E1671" s="87" t="s">
        <v>3261</v>
      </c>
      <c r="F1671" s="87">
        <v>35.463182013100003</v>
      </c>
      <c r="G1671" s="87">
        <v>44.395708596299997</v>
      </c>
      <c r="H1671" s="86">
        <v>250</v>
      </c>
      <c r="I1671" s="86">
        <v>1500</v>
      </c>
      <c r="J1671" s="87">
        <v>10</v>
      </c>
      <c r="K1671" s="87"/>
      <c r="L1671" s="87"/>
      <c r="M1671" s="87"/>
      <c r="N1671" s="87"/>
      <c r="O1671" s="87">
        <v>10</v>
      </c>
      <c r="P1671" s="87"/>
      <c r="Q1671" s="87"/>
      <c r="R1671" s="87">
        <v>60</v>
      </c>
      <c r="S1671" s="87"/>
      <c r="T1671" s="87"/>
      <c r="U1671" s="87"/>
      <c r="V1671" s="87">
        <v>90</v>
      </c>
      <c r="W1671" s="87"/>
      <c r="X1671" s="87">
        <v>80</v>
      </c>
      <c r="Y1671" s="87"/>
      <c r="Z1671" s="87"/>
      <c r="AA1671" s="87"/>
      <c r="AB1671" s="87"/>
      <c r="AC1671" s="87"/>
      <c r="AD1671" s="87"/>
      <c r="AE1671" s="87"/>
      <c r="AF1671" s="87"/>
      <c r="AG1671" s="87"/>
      <c r="AH1671" s="87">
        <v>248</v>
      </c>
      <c r="AI1671" s="87"/>
      <c r="AJ1671" s="87"/>
      <c r="AK1671" s="87"/>
      <c r="AL1671" s="87">
        <v>2</v>
      </c>
      <c r="AM1671" s="87"/>
      <c r="AN1671" s="87"/>
      <c r="AO1671" s="87">
        <v>20</v>
      </c>
      <c r="AP1671" s="87">
        <v>25</v>
      </c>
      <c r="AQ1671" s="87">
        <v>35</v>
      </c>
      <c r="AR1671" s="87">
        <v>60</v>
      </c>
      <c r="AS1671" s="87">
        <v>50</v>
      </c>
      <c r="AT1671" s="87">
        <v>50</v>
      </c>
      <c r="AU1671" s="87">
        <v>10</v>
      </c>
      <c r="AV1671" s="87"/>
      <c r="AW1671" s="88" t="str">
        <f>HYPERLINK("http://www.openstreetmap.org/?mlat=35.4632&amp;mlon=44.3957&amp;zoom=12#map=12/35.4632/44.3957","Maplink1")</f>
        <v>Maplink1</v>
      </c>
      <c r="AX1671" s="88" t="str">
        <f>HYPERLINK("https://www.google.iq/maps/search/+35.4632,44.3957/@35.4632,44.3957,14z?hl=en","Maplink2")</f>
        <v>Maplink2</v>
      </c>
      <c r="AY1671" s="88" t="str">
        <f>HYPERLINK("http://www.bing.com/maps/?lvl=14&amp;sty=h&amp;cp=35.4632~44.3957&amp;sp=point.35.4632_44.3957","Maplink3")</f>
        <v>Maplink3</v>
      </c>
      <c r="AZ1671" s="76"/>
    </row>
    <row r="1672" spans="1:52" x14ac:dyDescent="0.25">
      <c r="A1672" s="86">
        <v>15679</v>
      </c>
      <c r="B1672" s="87" t="s">
        <v>20</v>
      </c>
      <c r="C1672" s="87" t="s">
        <v>20</v>
      </c>
      <c r="D1672" s="87" t="s">
        <v>3262</v>
      </c>
      <c r="E1672" s="87" t="s">
        <v>3263</v>
      </c>
      <c r="F1672" s="87">
        <v>35.391075623699997</v>
      </c>
      <c r="G1672" s="87">
        <v>44.381545809999999</v>
      </c>
      <c r="H1672" s="86">
        <v>130</v>
      </c>
      <c r="I1672" s="86">
        <v>780</v>
      </c>
      <c r="J1672" s="87"/>
      <c r="K1672" s="87"/>
      <c r="L1672" s="87"/>
      <c r="M1672" s="87"/>
      <c r="N1672" s="87"/>
      <c r="O1672" s="87">
        <v>25</v>
      </c>
      <c r="P1672" s="87"/>
      <c r="Q1672" s="87"/>
      <c r="R1672" s="87">
        <v>40</v>
      </c>
      <c r="S1672" s="87"/>
      <c r="T1672" s="87"/>
      <c r="U1672" s="87"/>
      <c r="V1672" s="87">
        <v>5</v>
      </c>
      <c r="W1672" s="87"/>
      <c r="X1672" s="87">
        <v>60</v>
      </c>
      <c r="Y1672" s="87"/>
      <c r="Z1672" s="87"/>
      <c r="AA1672" s="87"/>
      <c r="AB1672" s="87"/>
      <c r="AC1672" s="87"/>
      <c r="AD1672" s="87"/>
      <c r="AE1672" s="87"/>
      <c r="AF1672" s="87"/>
      <c r="AG1672" s="87"/>
      <c r="AH1672" s="87">
        <v>128</v>
      </c>
      <c r="AI1672" s="87">
        <v>2</v>
      </c>
      <c r="AJ1672" s="87"/>
      <c r="AK1672" s="87"/>
      <c r="AL1672" s="87"/>
      <c r="AM1672" s="87"/>
      <c r="AN1672" s="87"/>
      <c r="AO1672" s="87">
        <v>10</v>
      </c>
      <c r="AP1672" s="87"/>
      <c r="AQ1672" s="87">
        <v>40</v>
      </c>
      <c r="AR1672" s="87">
        <v>30</v>
      </c>
      <c r="AS1672" s="87">
        <v>25</v>
      </c>
      <c r="AT1672" s="87">
        <v>15</v>
      </c>
      <c r="AU1672" s="87">
        <v>10</v>
      </c>
      <c r="AV1672" s="87"/>
      <c r="AW1672" s="88" t="str">
        <f>HYPERLINK("http://www.openstreetmap.org/?mlat=35.3911&amp;mlon=44.3815&amp;zoom=12#map=12/35.3911/44.3815","Maplink1")</f>
        <v>Maplink1</v>
      </c>
      <c r="AX1672" s="88" t="str">
        <f>HYPERLINK("https://www.google.iq/maps/search/+35.3911,44.3815/@35.3911,44.3815,14z?hl=en","Maplink2")</f>
        <v>Maplink2</v>
      </c>
      <c r="AY1672" s="88" t="str">
        <f>HYPERLINK("http://www.bing.com/maps/?lvl=14&amp;sty=h&amp;cp=35.3911~44.3815&amp;sp=point.35.3911_44.3815","Maplink3")</f>
        <v>Maplink3</v>
      </c>
      <c r="AZ1672" s="76"/>
    </row>
    <row r="1673" spans="1:52" x14ac:dyDescent="0.25">
      <c r="A1673" s="86">
        <v>14530</v>
      </c>
      <c r="B1673" s="87" t="s">
        <v>20</v>
      </c>
      <c r="C1673" s="87" t="s">
        <v>20</v>
      </c>
      <c r="D1673" s="87" t="s">
        <v>3264</v>
      </c>
      <c r="E1673" s="87" t="s">
        <v>3265</v>
      </c>
      <c r="F1673" s="87">
        <v>35.436920007499999</v>
      </c>
      <c r="G1673" s="87">
        <v>44.427631388800002</v>
      </c>
      <c r="H1673" s="86">
        <v>710</v>
      </c>
      <c r="I1673" s="86">
        <v>4260</v>
      </c>
      <c r="J1673" s="87">
        <v>15</v>
      </c>
      <c r="K1673" s="87"/>
      <c r="L1673" s="87">
        <v>15</v>
      </c>
      <c r="M1673" s="87"/>
      <c r="N1673" s="87"/>
      <c r="O1673" s="87">
        <v>40</v>
      </c>
      <c r="P1673" s="87"/>
      <c r="Q1673" s="87"/>
      <c r="R1673" s="87">
        <v>350</v>
      </c>
      <c r="S1673" s="87"/>
      <c r="T1673" s="87"/>
      <c r="U1673" s="87"/>
      <c r="V1673" s="87">
        <v>80</v>
      </c>
      <c r="W1673" s="87"/>
      <c r="X1673" s="87">
        <v>210</v>
      </c>
      <c r="Y1673" s="87"/>
      <c r="Z1673" s="87"/>
      <c r="AA1673" s="87"/>
      <c r="AB1673" s="87"/>
      <c r="AC1673" s="87">
        <v>30</v>
      </c>
      <c r="AD1673" s="87"/>
      <c r="AE1673" s="87"/>
      <c r="AF1673" s="87"/>
      <c r="AG1673" s="87"/>
      <c r="AH1673" s="87">
        <v>650</v>
      </c>
      <c r="AI1673" s="87">
        <v>30</v>
      </c>
      <c r="AJ1673" s="87"/>
      <c r="AK1673" s="87"/>
      <c r="AL1673" s="87"/>
      <c r="AM1673" s="87"/>
      <c r="AN1673" s="87">
        <v>5</v>
      </c>
      <c r="AO1673" s="87">
        <v>25</v>
      </c>
      <c r="AP1673" s="87">
        <v>75</v>
      </c>
      <c r="AQ1673" s="87">
        <v>80</v>
      </c>
      <c r="AR1673" s="87">
        <v>125</v>
      </c>
      <c r="AS1673" s="87">
        <v>130</v>
      </c>
      <c r="AT1673" s="87">
        <v>140</v>
      </c>
      <c r="AU1673" s="87">
        <v>130</v>
      </c>
      <c r="AV1673" s="87"/>
      <c r="AW1673" s="88" t="str">
        <f>HYPERLINK("http://www.openstreetmap.org/?mlat=35.4369&amp;mlon=44.4276&amp;zoom=12#map=12/35.4369/44.4276","Maplink1")</f>
        <v>Maplink1</v>
      </c>
      <c r="AX1673" s="88" t="str">
        <f>HYPERLINK("https://www.google.iq/maps/search/+35.4369,44.4276/@35.4369,44.4276,14z?hl=en","Maplink2")</f>
        <v>Maplink2</v>
      </c>
      <c r="AY1673" s="88" t="str">
        <f>HYPERLINK("http://www.bing.com/maps/?lvl=14&amp;sty=h&amp;cp=35.4369~44.4276&amp;sp=point.35.4369_44.4276","Maplink3")</f>
        <v>Maplink3</v>
      </c>
      <c r="AZ1673" s="76"/>
    </row>
    <row r="1674" spans="1:52" x14ac:dyDescent="0.25">
      <c r="A1674" s="86">
        <v>22199</v>
      </c>
      <c r="B1674" s="87" t="s">
        <v>20</v>
      </c>
      <c r="C1674" s="87" t="s">
        <v>20</v>
      </c>
      <c r="D1674" s="87" t="s">
        <v>3266</v>
      </c>
      <c r="E1674" s="87" t="s">
        <v>3267</v>
      </c>
      <c r="F1674" s="87">
        <v>35.5075219569</v>
      </c>
      <c r="G1674" s="87">
        <v>44.270250922700001</v>
      </c>
      <c r="H1674" s="86">
        <v>47</v>
      </c>
      <c r="I1674" s="86">
        <v>282</v>
      </c>
      <c r="J1674" s="87"/>
      <c r="K1674" s="87"/>
      <c r="L1674" s="87"/>
      <c r="M1674" s="87"/>
      <c r="N1674" s="87"/>
      <c r="O1674" s="87"/>
      <c r="P1674" s="87"/>
      <c r="Q1674" s="87"/>
      <c r="R1674" s="87">
        <v>24</v>
      </c>
      <c r="S1674" s="87"/>
      <c r="T1674" s="87"/>
      <c r="U1674" s="87"/>
      <c r="V1674" s="87">
        <v>22</v>
      </c>
      <c r="W1674" s="87"/>
      <c r="X1674" s="87">
        <v>1</v>
      </c>
      <c r="Y1674" s="87"/>
      <c r="Z1674" s="87"/>
      <c r="AA1674" s="87"/>
      <c r="AB1674" s="87"/>
      <c r="AC1674" s="87">
        <v>5</v>
      </c>
      <c r="AD1674" s="87"/>
      <c r="AE1674" s="87"/>
      <c r="AF1674" s="87"/>
      <c r="AG1674" s="87"/>
      <c r="AH1674" s="87">
        <v>42</v>
      </c>
      <c r="AI1674" s="87"/>
      <c r="AJ1674" s="87"/>
      <c r="AK1674" s="87"/>
      <c r="AL1674" s="87"/>
      <c r="AM1674" s="87"/>
      <c r="AN1674" s="87"/>
      <c r="AO1674" s="87"/>
      <c r="AP1674" s="87"/>
      <c r="AQ1674" s="87">
        <v>5</v>
      </c>
      <c r="AR1674" s="87">
        <v>20</v>
      </c>
      <c r="AS1674" s="87">
        <v>15</v>
      </c>
      <c r="AT1674" s="87">
        <v>7</v>
      </c>
      <c r="AU1674" s="87"/>
      <c r="AV1674" s="87"/>
      <c r="AW1674" s="88" t="str">
        <f>HYPERLINK("http://www.openstreetmap.org/?mlat=35.5075&amp;mlon=44.2703&amp;zoom=12#map=12/35.5075/44.2703","Maplink1")</f>
        <v>Maplink1</v>
      </c>
      <c r="AX1674" s="88" t="str">
        <f>HYPERLINK("https://www.google.iq/maps/search/+35.5075,44.2703/@35.5075,44.2703,14z?hl=en","Maplink2")</f>
        <v>Maplink2</v>
      </c>
      <c r="AY1674" s="88" t="str">
        <f>HYPERLINK("http://www.bing.com/maps/?lvl=14&amp;sty=h&amp;cp=35.5075~44.2703&amp;sp=point.35.5075_44.2703","Maplink3")</f>
        <v>Maplink3</v>
      </c>
      <c r="AZ1674" s="76"/>
    </row>
    <row r="1675" spans="1:52" x14ac:dyDescent="0.25">
      <c r="A1675" s="86">
        <v>22495</v>
      </c>
      <c r="B1675" s="87" t="s">
        <v>20</v>
      </c>
      <c r="C1675" s="87" t="s">
        <v>20</v>
      </c>
      <c r="D1675" s="87" t="s">
        <v>3268</v>
      </c>
      <c r="E1675" s="87" t="s">
        <v>3269</v>
      </c>
      <c r="F1675" s="87">
        <v>35.395848425300002</v>
      </c>
      <c r="G1675" s="87">
        <v>44.274991163999999</v>
      </c>
      <c r="H1675" s="86">
        <v>130</v>
      </c>
      <c r="I1675" s="86">
        <v>780</v>
      </c>
      <c r="J1675" s="87"/>
      <c r="K1675" s="87"/>
      <c r="L1675" s="87"/>
      <c r="M1675" s="87"/>
      <c r="N1675" s="87"/>
      <c r="O1675" s="87"/>
      <c r="P1675" s="87"/>
      <c r="Q1675" s="87"/>
      <c r="R1675" s="87">
        <v>115</v>
      </c>
      <c r="S1675" s="87"/>
      <c r="T1675" s="87"/>
      <c r="U1675" s="87"/>
      <c r="V1675" s="87">
        <v>5</v>
      </c>
      <c r="W1675" s="87"/>
      <c r="X1675" s="87">
        <v>10</v>
      </c>
      <c r="Y1675" s="87"/>
      <c r="Z1675" s="87"/>
      <c r="AA1675" s="87"/>
      <c r="AB1675" s="87"/>
      <c r="AC1675" s="87"/>
      <c r="AD1675" s="87"/>
      <c r="AE1675" s="87"/>
      <c r="AF1675" s="87"/>
      <c r="AG1675" s="87"/>
      <c r="AH1675" s="87">
        <v>130</v>
      </c>
      <c r="AI1675" s="87"/>
      <c r="AJ1675" s="87"/>
      <c r="AK1675" s="87"/>
      <c r="AL1675" s="87"/>
      <c r="AM1675" s="87"/>
      <c r="AN1675" s="87"/>
      <c r="AO1675" s="87">
        <v>30</v>
      </c>
      <c r="AP1675" s="87"/>
      <c r="AQ1675" s="87">
        <v>40</v>
      </c>
      <c r="AR1675" s="87">
        <v>20</v>
      </c>
      <c r="AS1675" s="87">
        <v>10</v>
      </c>
      <c r="AT1675" s="87">
        <v>15</v>
      </c>
      <c r="AU1675" s="87">
        <v>15</v>
      </c>
      <c r="AV1675" s="87"/>
      <c r="AW1675" s="88" t="str">
        <f>HYPERLINK("http://www.openstreetmap.org/?mlat=35.3958&amp;mlon=44.275&amp;zoom=12#map=12/35.3958/44.275","Maplink1")</f>
        <v>Maplink1</v>
      </c>
      <c r="AX1675" s="88" t="str">
        <f>HYPERLINK("https://www.google.iq/maps/search/+35.3958,44.275/@35.3958,44.275,14z?hl=en","Maplink2")</f>
        <v>Maplink2</v>
      </c>
      <c r="AY1675" s="88" t="str">
        <f>HYPERLINK("http://www.bing.com/maps/?lvl=14&amp;sty=h&amp;cp=35.3958~44.275&amp;sp=point.35.3958_44.275","Maplink3")</f>
        <v>Maplink3</v>
      </c>
      <c r="AZ1675" s="76"/>
    </row>
    <row r="1676" spans="1:52" x14ac:dyDescent="0.25">
      <c r="A1676" s="86">
        <v>14763</v>
      </c>
      <c r="B1676" s="87" t="s">
        <v>20</v>
      </c>
      <c r="C1676" s="87" t="s">
        <v>20</v>
      </c>
      <c r="D1676" s="87" t="s">
        <v>3270</v>
      </c>
      <c r="E1676" s="87" t="s">
        <v>3271</v>
      </c>
      <c r="F1676" s="87">
        <v>35.497493596799998</v>
      </c>
      <c r="G1676" s="87">
        <v>44.3956196906</v>
      </c>
      <c r="H1676" s="86">
        <v>60</v>
      </c>
      <c r="I1676" s="86">
        <v>360</v>
      </c>
      <c r="J1676" s="87"/>
      <c r="K1676" s="87"/>
      <c r="L1676" s="87"/>
      <c r="M1676" s="87"/>
      <c r="N1676" s="87"/>
      <c r="O1676" s="87"/>
      <c r="P1676" s="87"/>
      <c r="Q1676" s="87"/>
      <c r="R1676" s="87">
        <v>10</v>
      </c>
      <c r="S1676" s="87"/>
      <c r="T1676" s="87"/>
      <c r="U1676" s="87"/>
      <c r="V1676" s="87">
        <v>35</v>
      </c>
      <c r="W1676" s="87"/>
      <c r="X1676" s="87">
        <v>15</v>
      </c>
      <c r="Y1676" s="87"/>
      <c r="Z1676" s="87"/>
      <c r="AA1676" s="87"/>
      <c r="AB1676" s="87"/>
      <c r="AC1676" s="87"/>
      <c r="AD1676" s="87"/>
      <c r="AE1676" s="87"/>
      <c r="AF1676" s="87"/>
      <c r="AG1676" s="87"/>
      <c r="AH1676" s="87">
        <v>60</v>
      </c>
      <c r="AI1676" s="87"/>
      <c r="AJ1676" s="87"/>
      <c r="AK1676" s="87"/>
      <c r="AL1676" s="87"/>
      <c r="AM1676" s="87"/>
      <c r="AN1676" s="87"/>
      <c r="AO1676" s="87"/>
      <c r="AP1676" s="87">
        <v>5</v>
      </c>
      <c r="AQ1676" s="87">
        <v>5</v>
      </c>
      <c r="AR1676" s="87">
        <v>10</v>
      </c>
      <c r="AS1676" s="87">
        <v>15</v>
      </c>
      <c r="AT1676" s="87">
        <v>15</v>
      </c>
      <c r="AU1676" s="87">
        <v>10</v>
      </c>
      <c r="AV1676" s="87"/>
      <c r="AW1676" s="88" t="str">
        <f>HYPERLINK("http://www.openstreetmap.org/?mlat=35.4975&amp;mlon=44.3956&amp;zoom=12#map=12/35.4975/44.3956","Maplink1")</f>
        <v>Maplink1</v>
      </c>
      <c r="AX1676" s="88" t="str">
        <f>HYPERLINK("https://www.google.iq/maps/search/+35.4975,44.3956/@35.4975,44.3956,14z?hl=en","Maplink2")</f>
        <v>Maplink2</v>
      </c>
      <c r="AY1676" s="88" t="str">
        <f>HYPERLINK("http://www.bing.com/maps/?lvl=14&amp;sty=h&amp;cp=35.4975~44.3956&amp;sp=point.35.4975_44.3956","Maplink3")</f>
        <v>Maplink3</v>
      </c>
      <c r="AZ1676" s="76"/>
    </row>
    <row r="1677" spans="1:52" x14ac:dyDescent="0.25">
      <c r="A1677" s="86">
        <v>23634</v>
      </c>
      <c r="B1677" s="87" t="s">
        <v>20</v>
      </c>
      <c r="C1677" s="87" t="s">
        <v>20</v>
      </c>
      <c r="D1677" s="87" t="s">
        <v>2747</v>
      </c>
      <c r="E1677" s="87" t="s">
        <v>3272</v>
      </c>
      <c r="F1677" s="87">
        <v>35.4456806353</v>
      </c>
      <c r="G1677" s="87">
        <v>44.405374536899998</v>
      </c>
      <c r="H1677" s="86">
        <v>180</v>
      </c>
      <c r="I1677" s="86">
        <v>1080</v>
      </c>
      <c r="J1677" s="87">
        <v>10</v>
      </c>
      <c r="K1677" s="87"/>
      <c r="L1677" s="87"/>
      <c r="M1677" s="87"/>
      <c r="N1677" s="87"/>
      <c r="O1677" s="87"/>
      <c r="P1677" s="87"/>
      <c r="Q1677" s="87"/>
      <c r="R1677" s="87">
        <v>100</v>
      </c>
      <c r="S1677" s="87"/>
      <c r="T1677" s="87"/>
      <c r="U1677" s="87"/>
      <c r="V1677" s="87">
        <v>15</v>
      </c>
      <c r="W1677" s="87"/>
      <c r="X1677" s="87">
        <v>55</v>
      </c>
      <c r="Y1677" s="87"/>
      <c r="Z1677" s="87"/>
      <c r="AA1677" s="87"/>
      <c r="AB1677" s="87"/>
      <c r="AC1677" s="87"/>
      <c r="AD1677" s="87"/>
      <c r="AE1677" s="87"/>
      <c r="AF1677" s="87"/>
      <c r="AG1677" s="87"/>
      <c r="AH1677" s="87">
        <v>180</v>
      </c>
      <c r="AI1677" s="87"/>
      <c r="AJ1677" s="87"/>
      <c r="AK1677" s="87"/>
      <c r="AL1677" s="87"/>
      <c r="AM1677" s="87"/>
      <c r="AN1677" s="87"/>
      <c r="AO1677" s="87">
        <v>15</v>
      </c>
      <c r="AP1677" s="87">
        <v>10</v>
      </c>
      <c r="AQ1677" s="87">
        <v>5</v>
      </c>
      <c r="AR1677" s="87">
        <v>40</v>
      </c>
      <c r="AS1677" s="87">
        <v>35</v>
      </c>
      <c r="AT1677" s="87">
        <v>55</v>
      </c>
      <c r="AU1677" s="87">
        <v>20</v>
      </c>
      <c r="AV1677" s="87"/>
      <c r="AW1677" s="88" t="str">
        <f>HYPERLINK("http://www.openstreetmap.org/?mlat=35.4457&amp;mlon=44.4054&amp;zoom=12#map=12/35.4457/44.4054","Maplink1")</f>
        <v>Maplink1</v>
      </c>
      <c r="AX1677" s="88" t="str">
        <f>HYPERLINK("https://www.google.iq/maps/search/+35.4457,44.4054/@35.4457,44.4054,14z?hl=en","Maplink2")</f>
        <v>Maplink2</v>
      </c>
      <c r="AY1677" s="88" t="str">
        <f>HYPERLINK("http://www.bing.com/maps/?lvl=14&amp;sty=h&amp;cp=35.4457~44.4054&amp;sp=point.35.4457_44.4054","Maplink3")</f>
        <v>Maplink3</v>
      </c>
      <c r="AZ1677" s="76"/>
    </row>
    <row r="1678" spans="1:52" x14ac:dyDescent="0.25">
      <c r="A1678" s="86">
        <v>24806</v>
      </c>
      <c r="B1678" s="87" t="s">
        <v>20</v>
      </c>
      <c r="C1678" s="87" t="s">
        <v>20</v>
      </c>
      <c r="D1678" s="87" t="s">
        <v>3273</v>
      </c>
      <c r="E1678" s="87" t="s">
        <v>3274</v>
      </c>
      <c r="F1678" s="87">
        <v>35.466291830599999</v>
      </c>
      <c r="G1678" s="87">
        <v>44.377209190400002</v>
      </c>
      <c r="H1678" s="86">
        <v>202</v>
      </c>
      <c r="I1678" s="86">
        <v>1212</v>
      </c>
      <c r="J1678" s="87"/>
      <c r="K1678" s="87"/>
      <c r="L1678" s="87"/>
      <c r="M1678" s="87"/>
      <c r="N1678" s="87"/>
      <c r="O1678" s="87"/>
      <c r="P1678" s="87"/>
      <c r="Q1678" s="87"/>
      <c r="R1678" s="87">
        <v>85</v>
      </c>
      <c r="S1678" s="87"/>
      <c r="T1678" s="87"/>
      <c r="U1678" s="87"/>
      <c r="V1678" s="87">
        <v>14</v>
      </c>
      <c r="W1678" s="87"/>
      <c r="X1678" s="87">
        <v>103</v>
      </c>
      <c r="Y1678" s="87"/>
      <c r="Z1678" s="87"/>
      <c r="AA1678" s="87"/>
      <c r="AB1678" s="87"/>
      <c r="AC1678" s="87"/>
      <c r="AD1678" s="87"/>
      <c r="AE1678" s="87"/>
      <c r="AF1678" s="87"/>
      <c r="AG1678" s="87"/>
      <c r="AH1678" s="87">
        <v>202</v>
      </c>
      <c r="AI1678" s="87"/>
      <c r="AJ1678" s="87"/>
      <c r="AK1678" s="87"/>
      <c r="AL1678" s="87"/>
      <c r="AM1678" s="87"/>
      <c r="AN1678" s="87"/>
      <c r="AO1678" s="87">
        <v>14</v>
      </c>
      <c r="AP1678" s="87">
        <v>30</v>
      </c>
      <c r="AQ1678" s="87">
        <v>23</v>
      </c>
      <c r="AR1678" s="87">
        <v>43</v>
      </c>
      <c r="AS1678" s="87">
        <v>25</v>
      </c>
      <c r="AT1678" s="87">
        <v>50</v>
      </c>
      <c r="AU1678" s="87">
        <v>17</v>
      </c>
      <c r="AV1678" s="87"/>
      <c r="AW1678" s="88" t="str">
        <f>HYPERLINK("http://www.openstreetmap.org/?mlat=35.4663&amp;mlon=44.3772&amp;zoom=12#map=12/35.4663/44.3772","Maplink1")</f>
        <v>Maplink1</v>
      </c>
      <c r="AX1678" s="88" t="str">
        <f>HYPERLINK("https://www.google.iq/maps/search/+35.4663,44.3772/@35.4663,44.3772,14z?hl=en","Maplink2")</f>
        <v>Maplink2</v>
      </c>
      <c r="AY1678" s="88" t="str">
        <f>HYPERLINK("http://www.bing.com/maps/?lvl=14&amp;sty=h&amp;cp=35.4663~44.3772&amp;sp=point.35.4663_44.3772","Maplink3")</f>
        <v>Maplink3</v>
      </c>
      <c r="AZ1678" s="76"/>
    </row>
    <row r="1679" spans="1:52" x14ac:dyDescent="0.25">
      <c r="A1679" s="86">
        <v>24422</v>
      </c>
      <c r="B1679" s="87" t="s">
        <v>20</v>
      </c>
      <c r="C1679" s="87" t="s">
        <v>20</v>
      </c>
      <c r="D1679" s="87" t="s">
        <v>3275</v>
      </c>
      <c r="E1679" s="87" t="s">
        <v>3276</v>
      </c>
      <c r="F1679" s="87">
        <v>35.361092420799999</v>
      </c>
      <c r="G1679" s="87">
        <v>44.331459664699999</v>
      </c>
      <c r="H1679" s="86">
        <v>50</v>
      </c>
      <c r="I1679" s="86">
        <v>300</v>
      </c>
      <c r="J1679" s="87"/>
      <c r="K1679" s="87"/>
      <c r="L1679" s="87"/>
      <c r="M1679" s="87"/>
      <c r="N1679" s="87"/>
      <c r="O1679" s="87">
        <v>5</v>
      </c>
      <c r="P1679" s="87"/>
      <c r="Q1679" s="87"/>
      <c r="R1679" s="87">
        <v>30</v>
      </c>
      <c r="S1679" s="87"/>
      <c r="T1679" s="87"/>
      <c r="U1679" s="87"/>
      <c r="V1679" s="87"/>
      <c r="W1679" s="87"/>
      <c r="X1679" s="87">
        <v>15</v>
      </c>
      <c r="Y1679" s="87"/>
      <c r="Z1679" s="87"/>
      <c r="AA1679" s="87"/>
      <c r="AB1679" s="87"/>
      <c r="AC1679" s="87">
        <v>15</v>
      </c>
      <c r="AD1679" s="87"/>
      <c r="AE1679" s="87">
        <v>35</v>
      </c>
      <c r="AF1679" s="87"/>
      <c r="AG1679" s="87"/>
      <c r="AH1679" s="87"/>
      <c r="AI1679" s="87"/>
      <c r="AJ1679" s="87"/>
      <c r="AK1679" s="87"/>
      <c r="AL1679" s="87"/>
      <c r="AM1679" s="87"/>
      <c r="AN1679" s="87"/>
      <c r="AO1679" s="87"/>
      <c r="AP1679" s="87">
        <v>5</v>
      </c>
      <c r="AQ1679" s="87">
        <v>5</v>
      </c>
      <c r="AR1679" s="87">
        <v>5</v>
      </c>
      <c r="AS1679" s="87">
        <v>10</v>
      </c>
      <c r="AT1679" s="87">
        <v>15</v>
      </c>
      <c r="AU1679" s="87">
        <v>10</v>
      </c>
      <c r="AV1679" s="87"/>
      <c r="AW1679" s="88" t="str">
        <f>HYPERLINK("http://www.openstreetmap.org/?mlat=35.3611&amp;mlon=44.3315&amp;zoom=12#map=12/35.3611/44.3315","Maplink1")</f>
        <v>Maplink1</v>
      </c>
      <c r="AX1679" s="88" t="str">
        <f>HYPERLINK("https://www.google.iq/maps/search/+35.3611,44.3315/@35.3611,44.3315,14z?hl=en","Maplink2")</f>
        <v>Maplink2</v>
      </c>
      <c r="AY1679" s="88" t="str">
        <f>HYPERLINK("http://www.bing.com/maps/?lvl=14&amp;sty=h&amp;cp=35.3611~44.3315&amp;sp=point.35.3611_44.3315","Maplink3")</f>
        <v>Maplink3</v>
      </c>
      <c r="AZ1679" s="76"/>
    </row>
    <row r="1680" spans="1:52" x14ac:dyDescent="0.25">
      <c r="A1680" s="86">
        <v>28410</v>
      </c>
      <c r="B1680" s="87" t="s">
        <v>20</v>
      </c>
      <c r="C1680" s="87" t="s">
        <v>20</v>
      </c>
      <c r="D1680" s="87" t="s">
        <v>3277</v>
      </c>
      <c r="E1680" s="87" t="s">
        <v>3278</v>
      </c>
      <c r="F1680" s="87">
        <v>35.554119393400001</v>
      </c>
      <c r="G1680" s="87">
        <v>44.360257535000002</v>
      </c>
      <c r="H1680" s="86">
        <v>46</v>
      </c>
      <c r="I1680" s="86">
        <v>276</v>
      </c>
      <c r="J1680" s="87"/>
      <c r="K1680" s="87"/>
      <c r="L1680" s="87"/>
      <c r="M1680" s="87"/>
      <c r="N1680" s="87"/>
      <c r="O1680" s="87">
        <v>5</v>
      </c>
      <c r="P1680" s="87"/>
      <c r="Q1680" s="87"/>
      <c r="R1680" s="87">
        <v>10</v>
      </c>
      <c r="S1680" s="87"/>
      <c r="T1680" s="87"/>
      <c r="U1680" s="87"/>
      <c r="V1680" s="87">
        <v>31</v>
      </c>
      <c r="W1680" s="87"/>
      <c r="X1680" s="87"/>
      <c r="Y1680" s="87"/>
      <c r="Z1680" s="87"/>
      <c r="AA1680" s="87"/>
      <c r="AB1680" s="87"/>
      <c r="AC1680" s="87"/>
      <c r="AD1680" s="87"/>
      <c r="AE1680" s="87"/>
      <c r="AF1680" s="87"/>
      <c r="AG1680" s="87"/>
      <c r="AH1680" s="87">
        <v>46</v>
      </c>
      <c r="AI1680" s="87"/>
      <c r="AJ1680" s="87"/>
      <c r="AK1680" s="87"/>
      <c r="AL1680" s="87"/>
      <c r="AM1680" s="87"/>
      <c r="AN1680" s="87"/>
      <c r="AO1680" s="87">
        <v>4</v>
      </c>
      <c r="AP1680" s="87">
        <v>21</v>
      </c>
      <c r="AQ1680" s="87"/>
      <c r="AR1680" s="87"/>
      <c r="AS1680" s="87">
        <v>2</v>
      </c>
      <c r="AT1680" s="87">
        <v>15</v>
      </c>
      <c r="AU1680" s="87">
        <v>4</v>
      </c>
      <c r="AV1680" s="87"/>
      <c r="AW1680" s="88" t="str">
        <f>HYPERLINK("http://www.openstreetmap.org/?mlat=35.5541&amp;mlon=44.3603&amp;zoom=12#map=12/35.5541/44.3603","Maplink1")</f>
        <v>Maplink1</v>
      </c>
      <c r="AX1680" s="88" t="str">
        <f>HYPERLINK("https://www.google.iq/maps/search/+35.5541,44.3603/@35.5541,44.3603,14z?hl=en","Maplink2")</f>
        <v>Maplink2</v>
      </c>
      <c r="AY1680" s="88" t="str">
        <f>HYPERLINK("http://www.bing.com/maps/?lvl=14&amp;sty=h&amp;cp=35.5541~44.3603&amp;sp=point.35.5541_44.3603","Maplink3")</f>
        <v>Maplink3</v>
      </c>
      <c r="AZ1680" s="76"/>
    </row>
    <row r="1681" spans="1:52" x14ac:dyDescent="0.25">
      <c r="A1681" s="86">
        <v>15442</v>
      </c>
      <c r="B1681" s="87" t="s">
        <v>20</v>
      </c>
      <c r="C1681" s="87" t="s">
        <v>20</v>
      </c>
      <c r="D1681" s="87" t="s">
        <v>3279</v>
      </c>
      <c r="E1681" s="87" t="s">
        <v>3280</v>
      </c>
      <c r="F1681" s="87">
        <v>35.525015224900002</v>
      </c>
      <c r="G1681" s="87">
        <v>44.384843031800003</v>
      </c>
      <c r="H1681" s="86">
        <v>25</v>
      </c>
      <c r="I1681" s="86">
        <v>150</v>
      </c>
      <c r="J1681" s="87"/>
      <c r="K1681" s="87"/>
      <c r="L1681" s="87"/>
      <c r="M1681" s="87"/>
      <c r="N1681" s="87"/>
      <c r="O1681" s="87"/>
      <c r="P1681" s="87"/>
      <c r="Q1681" s="87"/>
      <c r="R1681" s="87">
        <v>11</v>
      </c>
      <c r="S1681" s="87"/>
      <c r="T1681" s="87"/>
      <c r="U1681" s="87"/>
      <c r="V1681" s="87">
        <v>14</v>
      </c>
      <c r="W1681" s="87"/>
      <c r="X1681" s="87"/>
      <c r="Y1681" s="87"/>
      <c r="Z1681" s="87"/>
      <c r="AA1681" s="87"/>
      <c r="AB1681" s="87"/>
      <c r="AC1681" s="87"/>
      <c r="AD1681" s="87"/>
      <c r="AE1681" s="87"/>
      <c r="AF1681" s="87"/>
      <c r="AG1681" s="87"/>
      <c r="AH1681" s="87">
        <v>25</v>
      </c>
      <c r="AI1681" s="87"/>
      <c r="AJ1681" s="87"/>
      <c r="AK1681" s="87"/>
      <c r="AL1681" s="87"/>
      <c r="AM1681" s="87"/>
      <c r="AN1681" s="87"/>
      <c r="AO1681" s="87"/>
      <c r="AP1681" s="87"/>
      <c r="AQ1681" s="87"/>
      <c r="AR1681" s="87">
        <v>15</v>
      </c>
      <c r="AS1681" s="87"/>
      <c r="AT1681" s="87">
        <v>10</v>
      </c>
      <c r="AU1681" s="87"/>
      <c r="AV1681" s="87"/>
      <c r="AW1681" s="88" t="str">
        <f>HYPERLINK("http://www.openstreetmap.org/?mlat=35.525&amp;mlon=44.3848&amp;zoom=12#map=12/35.525/44.3848","Maplink1")</f>
        <v>Maplink1</v>
      </c>
      <c r="AX1681" s="88" t="str">
        <f>HYPERLINK("https://www.google.iq/maps/search/+35.525,44.3848/@35.525,44.3848,14z?hl=en","Maplink2")</f>
        <v>Maplink2</v>
      </c>
      <c r="AY1681" s="88" t="str">
        <f>HYPERLINK("http://www.bing.com/maps/?lvl=14&amp;sty=h&amp;cp=35.525~44.3848&amp;sp=point.35.525_44.3848","Maplink3")</f>
        <v>Maplink3</v>
      </c>
      <c r="AZ1681" s="76"/>
    </row>
    <row r="1682" spans="1:52" x14ac:dyDescent="0.25">
      <c r="A1682" s="86">
        <v>15522</v>
      </c>
      <c r="B1682" s="87" t="s">
        <v>20</v>
      </c>
      <c r="C1682" s="87" t="s">
        <v>20</v>
      </c>
      <c r="D1682" s="87" t="s">
        <v>3281</v>
      </c>
      <c r="E1682" s="87" t="s">
        <v>3282</v>
      </c>
      <c r="F1682" s="87">
        <v>35.735184229200001</v>
      </c>
      <c r="G1682" s="87">
        <v>44.487031852400001</v>
      </c>
      <c r="H1682" s="86">
        <v>10</v>
      </c>
      <c r="I1682" s="86">
        <v>60</v>
      </c>
      <c r="J1682" s="87"/>
      <c r="K1682" s="87"/>
      <c r="L1682" s="87"/>
      <c r="M1682" s="87"/>
      <c r="N1682" s="87"/>
      <c r="O1682" s="87"/>
      <c r="P1682" s="87"/>
      <c r="Q1682" s="87"/>
      <c r="R1682" s="87"/>
      <c r="S1682" s="87"/>
      <c r="T1682" s="87"/>
      <c r="U1682" s="87"/>
      <c r="V1682" s="87">
        <v>7</v>
      </c>
      <c r="W1682" s="87"/>
      <c r="X1682" s="87">
        <v>3</v>
      </c>
      <c r="Y1682" s="87"/>
      <c r="Z1682" s="87"/>
      <c r="AA1682" s="87"/>
      <c r="AB1682" s="87"/>
      <c r="AC1682" s="87"/>
      <c r="AD1682" s="87"/>
      <c r="AE1682" s="87"/>
      <c r="AF1682" s="87"/>
      <c r="AG1682" s="87"/>
      <c r="AH1682" s="87">
        <v>10</v>
      </c>
      <c r="AI1682" s="87"/>
      <c r="AJ1682" s="87"/>
      <c r="AK1682" s="87"/>
      <c r="AL1682" s="87"/>
      <c r="AM1682" s="87"/>
      <c r="AN1682" s="87"/>
      <c r="AO1682" s="87">
        <v>3</v>
      </c>
      <c r="AP1682" s="87"/>
      <c r="AQ1682" s="87">
        <v>2</v>
      </c>
      <c r="AR1682" s="87"/>
      <c r="AS1682" s="87"/>
      <c r="AT1682" s="87">
        <v>5</v>
      </c>
      <c r="AU1682" s="87"/>
      <c r="AV1682" s="87"/>
      <c r="AW1682" s="88" t="str">
        <f>HYPERLINK("http://www.openstreetmap.org/?mlat=35.7352&amp;mlon=44.487&amp;zoom=12#map=12/35.7352/44.487","Maplink1")</f>
        <v>Maplink1</v>
      </c>
      <c r="AX1682" s="88" t="str">
        <f>HYPERLINK("https://www.google.iq/maps/search/+35.7352,44.487/@35.7352,44.487,14z?hl=en","Maplink2")</f>
        <v>Maplink2</v>
      </c>
      <c r="AY1682" s="88" t="str">
        <f>HYPERLINK("http://www.bing.com/maps/?lvl=14&amp;sty=h&amp;cp=35.7352~44.487&amp;sp=point.35.7352_44.487","Maplink3")</f>
        <v>Maplink3</v>
      </c>
      <c r="AZ1682" s="76"/>
    </row>
    <row r="1683" spans="1:52" x14ac:dyDescent="0.25">
      <c r="A1683" s="86">
        <v>14703</v>
      </c>
      <c r="B1683" s="87" t="s">
        <v>20</v>
      </c>
      <c r="C1683" s="87" t="s">
        <v>20</v>
      </c>
      <c r="D1683" s="87" t="s">
        <v>3283</v>
      </c>
      <c r="E1683" s="87" t="s">
        <v>3284</v>
      </c>
      <c r="F1683" s="87">
        <v>35.445333511000001</v>
      </c>
      <c r="G1683" s="87">
        <v>44.371116408100001</v>
      </c>
      <c r="H1683" s="86">
        <v>140</v>
      </c>
      <c r="I1683" s="86">
        <v>840</v>
      </c>
      <c r="J1683" s="87"/>
      <c r="K1683" s="87"/>
      <c r="L1683" s="87">
        <v>2</v>
      </c>
      <c r="M1683" s="87"/>
      <c r="N1683" s="87"/>
      <c r="O1683" s="87">
        <v>2</v>
      </c>
      <c r="P1683" s="87"/>
      <c r="Q1683" s="87"/>
      <c r="R1683" s="87">
        <v>61</v>
      </c>
      <c r="S1683" s="87"/>
      <c r="T1683" s="87"/>
      <c r="U1683" s="87"/>
      <c r="V1683" s="87">
        <v>35</v>
      </c>
      <c r="W1683" s="87"/>
      <c r="X1683" s="87">
        <v>40</v>
      </c>
      <c r="Y1683" s="87"/>
      <c r="Z1683" s="87"/>
      <c r="AA1683" s="87"/>
      <c r="AB1683" s="87"/>
      <c r="AC1683" s="87">
        <v>28</v>
      </c>
      <c r="AD1683" s="87"/>
      <c r="AE1683" s="87"/>
      <c r="AF1683" s="87"/>
      <c r="AG1683" s="87"/>
      <c r="AH1683" s="87">
        <v>105</v>
      </c>
      <c r="AI1683" s="87"/>
      <c r="AJ1683" s="87"/>
      <c r="AK1683" s="87">
        <v>7</v>
      </c>
      <c r="AL1683" s="87"/>
      <c r="AM1683" s="87"/>
      <c r="AN1683" s="87"/>
      <c r="AO1683" s="87">
        <v>9</v>
      </c>
      <c r="AP1683" s="87">
        <v>7</v>
      </c>
      <c r="AQ1683" s="87">
        <v>14</v>
      </c>
      <c r="AR1683" s="87">
        <v>35</v>
      </c>
      <c r="AS1683" s="87">
        <v>20</v>
      </c>
      <c r="AT1683" s="87">
        <v>20</v>
      </c>
      <c r="AU1683" s="87">
        <v>35</v>
      </c>
      <c r="AV1683" s="87"/>
      <c r="AW1683" s="88" t="str">
        <f>HYPERLINK("http://www.openstreetmap.org/?mlat=35.4453&amp;mlon=44.3711&amp;zoom=12#map=12/35.4453/44.3711","Maplink1")</f>
        <v>Maplink1</v>
      </c>
      <c r="AX1683" s="88" t="str">
        <f>HYPERLINK("https://www.google.iq/maps/search/+35.4453,44.3711/@35.4453,44.3711,14z?hl=en","Maplink2")</f>
        <v>Maplink2</v>
      </c>
      <c r="AY1683" s="88" t="str">
        <f>HYPERLINK("http://www.bing.com/maps/?lvl=14&amp;sty=h&amp;cp=35.4453~44.3711&amp;sp=point.35.4453_44.3711","Maplink3")</f>
        <v>Maplink3</v>
      </c>
      <c r="AZ1683" s="76"/>
    </row>
    <row r="1684" spans="1:52" x14ac:dyDescent="0.25">
      <c r="A1684" s="86">
        <v>14464</v>
      </c>
      <c r="B1684" s="87" t="s">
        <v>20</v>
      </c>
      <c r="C1684" s="87" t="s">
        <v>20</v>
      </c>
      <c r="D1684" s="87" t="s">
        <v>3285</v>
      </c>
      <c r="E1684" s="87" t="s">
        <v>3286</v>
      </c>
      <c r="F1684" s="87">
        <v>35.4385383531</v>
      </c>
      <c r="G1684" s="87">
        <v>44.237682546899997</v>
      </c>
      <c r="H1684" s="86">
        <v>175</v>
      </c>
      <c r="I1684" s="86">
        <v>1050</v>
      </c>
      <c r="J1684" s="87">
        <v>5</v>
      </c>
      <c r="K1684" s="87"/>
      <c r="L1684" s="87"/>
      <c r="M1684" s="87"/>
      <c r="N1684" s="87"/>
      <c r="O1684" s="87"/>
      <c r="P1684" s="87"/>
      <c r="Q1684" s="87"/>
      <c r="R1684" s="87">
        <v>160</v>
      </c>
      <c r="S1684" s="87"/>
      <c r="T1684" s="87"/>
      <c r="U1684" s="87"/>
      <c r="V1684" s="87"/>
      <c r="W1684" s="87"/>
      <c r="X1684" s="87">
        <v>10</v>
      </c>
      <c r="Y1684" s="87"/>
      <c r="Z1684" s="87"/>
      <c r="AA1684" s="87"/>
      <c r="AB1684" s="87"/>
      <c r="AC1684" s="87">
        <v>20</v>
      </c>
      <c r="AD1684" s="87"/>
      <c r="AE1684" s="87"/>
      <c r="AF1684" s="87"/>
      <c r="AG1684" s="87"/>
      <c r="AH1684" s="87">
        <v>155</v>
      </c>
      <c r="AI1684" s="87"/>
      <c r="AJ1684" s="87"/>
      <c r="AK1684" s="87"/>
      <c r="AL1684" s="87"/>
      <c r="AM1684" s="87"/>
      <c r="AN1684" s="87"/>
      <c r="AO1684" s="87"/>
      <c r="AP1684" s="87">
        <v>5</v>
      </c>
      <c r="AQ1684" s="87">
        <v>50</v>
      </c>
      <c r="AR1684" s="87">
        <v>30</v>
      </c>
      <c r="AS1684" s="87">
        <v>25</v>
      </c>
      <c r="AT1684" s="87">
        <v>50</v>
      </c>
      <c r="AU1684" s="87">
        <v>15</v>
      </c>
      <c r="AV1684" s="87"/>
      <c r="AW1684" s="88" t="str">
        <f>HYPERLINK("http://www.openstreetmap.org/?mlat=35.4385&amp;mlon=44.2377&amp;zoom=12#map=12/35.4385/44.2377","Maplink1")</f>
        <v>Maplink1</v>
      </c>
      <c r="AX1684" s="88" t="str">
        <f>HYPERLINK("https://www.google.iq/maps/search/+35.4385,44.2377/@35.4385,44.2377,14z?hl=en","Maplink2")</f>
        <v>Maplink2</v>
      </c>
      <c r="AY1684" s="88" t="str">
        <f>HYPERLINK("http://www.bing.com/maps/?lvl=14&amp;sty=h&amp;cp=35.4385~44.2377&amp;sp=point.35.4385_44.2377","Maplink3")</f>
        <v>Maplink3</v>
      </c>
      <c r="AZ1684" s="76"/>
    </row>
    <row r="1685" spans="1:52" x14ac:dyDescent="0.25">
      <c r="A1685" s="86">
        <v>23901</v>
      </c>
      <c r="B1685" s="87" t="s">
        <v>20</v>
      </c>
      <c r="C1685" s="87" t="s">
        <v>20</v>
      </c>
      <c r="D1685" s="87" t="s">
        <v>3287</v>
      </c>
      <c r="E1685" s="87" t="s">
        <v>3288</v>
      </c>
      <c r="F1685" s="87">
        <v>35.442442929999999</v>
      </c>
      <c r="G1685" s="87">
        <v>44.284554268699999</v>
      </c>
      <c r="H1685" s="86">
        <v>25</v>
      </c>
      <c r="I1685" s="86">
        <v>150</v>
      </c>
      <c r="J1685" s="87"/>
      <c r="K1685" s="87"/>
      <c r="L1685" s="87"/>
      <c r="M1685" s="87"/>
      <c r="N1685" s="87"/>
      <c r="O1685" s="87"/>
      <c r="P1685" s="87"/>
      <c r="Q1685" s="87"/>
      <c r="R1685" s="87">
        <v>25</v>
      </c>
      <c r="S1685" s="87"/>
      <c r="T1685" s="87"/>
      <c r="U1685" s="87"/>
      <c r="V1685" s="87"/>
      <c r="W1685" s="87"/>
      <c r="X1685" s="87"/>
      <c r="Y1685" s="87"/>
      <c r="Z1685" s="87"/>
      <c r="AA1685" s="87"/>
      <c r="AB1685" s="87"/>
      <c r="AC1685" s="87">
        <v>10</v>
      </c>
      <c r="AD1685" s="87"/>
      <c r="AE1685" s="87"/>
      <c r="AF1685" s="87"/>
      <c r="AG1685" s="87"/>
      <c r="AH1685" s="87">
        <v>15</v>
      </c>
      <c r="AI1685" s="87"/>
      <c r="AJ1685" s="87"/>
      <c r="AK1685" s="87"/>
      <c r="AL1685" s="87"/>
      <c r="AM1685" s="87"/>
      <c r="AN1685" s="87"/>
      <c r="AO1685" s="87"/>
      <c r="AP1685" s="87"/>
      <c r="AQ1685" s="87">
        <v>5</v>
      </c>
      <c r="AR1685" s="87">
        <v>10</v>
      </c>
      <c r="AS1685" s="87">
        <v>5</v>
      </c>
      <c r="AT1685" s="87">
        <v>5</v>
      </c>
      <c r="AU1685" s="87"/>
      <c r="AV1685" s="87"/>
      <c r="AW1685" s="88" t="str">
        <f>HYPERLINK("http://www.openstreetmap.org/?mlat=35.4424&amp;mlon=44.2846&amp;zoom=12#map=12/35.4424/44.2846","Maplink1")</f>
        <v>Maplink1</v>
      </c>
      <c r="AX1685" s="88" t="str">
        <f>HYPERLINK("https://www.google.iq/maps/search/+35.4424,44.2846/@35.4424,44.2846,14z?hl=en","Maplink2")</f>
        <v>Maplink2</v>
      </c>
      <c r="AY1685" s="88" t="str">
        <f>HYPERLINK("http://www.bing.com/maps/?lvl=14&amp;sty=h&amp;cp=35.4424~44.2846&amp;sp=point.35.4424_44.2846","Maplink3")</f>
        <v>Maplink3</v>
      </c>
      <c r="AZ1685" s="76"/>
    </row>
    <row r="1686" spans="1:52" x14ac:dyDescent="0.25">
      <c r="A1686" s="86">
        <v>23900</v>
      </c>
      <c r="B1686" s="87" t="s">
        <v>20</v>
      </c>
      <c r="C1686" s="87" t="s">
        <v>20</v>
      </c>
      <c r="D1686" s="87" t="s">
        <v>3289</v>
      </c>
      <c r="E1686" s="87" t="s">
        <v>3290</v>
      </c>
      <c r="F1686" s="87">
        <v>35.388148829899997</v>
      </c>
      <c r="G1686" s="87">
        <v>44.275951988700001</v>
      </c>
      <c r="H1686" s="86">
        <v>155</v>
      </c>
      <c r="I1686" s="86">
        <v>930</v>
      </c>
      <c r="J1686" s="87"/>
      <c r="K1686" s="87"/>
      <c r="L1686" s="87"/>
      <c r="M1686" s="87"/>
      <c r="N1686" s="87"/>
      <c r="O1686" s="87"/>
      <c r="P1686" s="87"/>
      <c r="Q1686" s="87"/>
      <c r="R1686" s="87">
        <v>150</v>
      </c>
      <c r="S1686" s="87"/>
      <c r="T1686" s="87"/>
      <c r="U1686" s="87"/>
      <c r="V1686" s="87"/>
      <c r="W1686" s="87"/>
      <c r="X1686" s="87">
        <v>5</v>
      </c>
      <c r="Y1686" s="87"/>
      <c r="Z1686" s="87"/>
      <c r="AA1686" s="87"/>
      <c r="AB1686" s="87"/>
      <c r="AC1686" s="87">
        <v>25</v>
      </c>
      <c r="AD1686" s="87"/>
      <c r="AE1686" s="87"/>
      <c r="AF1686" s="87"/>
      <c r="AG1686" s="87"/>
      <c r="AH1686" s="87">
        <v>130</v>
      </c>
      <c r="AI1686" s="87"/>
      <c r="AJ1686" s="87"/>
      <c r="AK1686" s="87"/>
      <c r="AL1686" s="87"/>
      <c r="AM1686" s="87"/>
      <c r="AN1686" s="87"/>
      <c r="AO1686" s="87"/>
      <c r="AP1686" s="87"/>
      <c r="AQ1686" s="87">
        <v>35</v>
      </c>
      <c r="AR1686" s="87">
        <v>10</v>
      </c>
      <c r="AS1686" s="87">
        <v>20</v>
      </c>
      <c r="AT1686" s="87">
        <v>20</v>
      </c>
      <c r="AU1686" s="87">
        <v>70</v>
      </c>
      <c r="AV1686" s="87"/>
      <c r="AW1686" s="88" t="str">
        <f>HYPERLINK("http://www.openstreetmap.org/?mlat=35.3881&amp;mlon=44.276&amp;zoom=12#map=12/35.3881/44.276","Maplink1")</f>
        <v>Maplink1</v>
      </c>
      <c r="AX1686" s="88" t="str">
        <f>HYPERLINK("https://www.google.iq/maps/search/+35.3881,44.276/@35.3881,44.276,14z?hl=en","Maplink2")</f>
        <v>Maplink2</v>
      </c>
      <c r="AY1686" s="88" t="str">
        <f>HYPERLINK("http://www.bing.com/maps/?lvl=14&amp;sty=h&amp;cp=35.3881~44.276&amp;sp=point.35.3881_44.276","Maplink3")</f>
        <v>Maplink3</v>
      </c>
      <c r="AZ1686" s="76"/>
    </row>
    <row r="1687" spans="1:52" x14ac:dyDescent="0.25">
      <c r="A1687" s="86">
        <v>27379</v>
      </c>
      <c r="B1687" s="87" t="s">
        <v>21</v>
      </c>
      <c r="C1687" s="87" t="s">
        <v>3291</v>
      </c>
      <c r="D1687" s="87" t="s">
        <v>3292</v>
      </c>
      <c r="E1687" s="87" t="s">
        <v>3293</v>
      </c>
      <c r="F1687" s="87">
        <v>31.845094075900001</v>
      </c>
      <c r="G1687" s="87">
        <v>47.355100622400002</v>
      </c>
      <c r="H1687" s="86">
        <v>1</v>
      </c>
      <c r="I1687" s="86">
        <v>6</v>
      </c>
      <c r="J1687" s="87"/>
      <c r="K1687" s="87"/>
      <c r="L1687" s="87">
        <v>1</v>
      </c>
      <c r="M1687" s="87"/>
      <c r="N1687" s="87"/>
      <c r="O1687" s="87"/>
      <c r="P1687" s="87"/>
      <c r="Q1687" s="87"/>
      <c r="R1687" s="87"/>
      <c r="S1687" s="87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87"/>
      <c r="AE1687" s="87"/>
      <c r="AF1687" s="87"/>
      <c r="AG1687" s="87"/>
      <c r="AH1687" s="87">
        <v>1</v>
      </c>
      <c r="AI1687" s="87"/>
      <c r="AJ1687" s="87"/>
      <c r="AK1687" s="87"/>
      <c r="AL1687" s="87"/>
      <c r="AM1687" s="87"/>
      <c r="AN1687" s="87"/>
      <c r="AO1687" s="87"/>
      <c r="AP1687" s="87"/>
      <c r="AQ1687" s="87">
        <v>1</v>
      </c>
      <c r="AR1687" s="87"/>
      <c r="AS1687" s="87"/>
      <c r="AT1687" s="87"/>
      <c r="AU1687" s="87"/>
      <c r="AV1687" s="87"/>
      <c r="AW1687" s="88" t="str">
        <f>HYPERLINK("http://www.openstreetmap.org/?mlat=31.8451&amp;mlon=47.3551&amp;zoom=12#map=12/31.8451/47.3551","Maplink1")</f>
        <v>Maplink1</v>
      </c>
      <c r="AX1687" s="88" t="str">
        <f>HYPERLINK("https://www.google.iq/maps/search/+31.8451,47.3551/@31.8451,47.3551,14z?hl=en","Maplink2")</f>
        <v>Maplink2</v>
      </c>
      <c r="AY1687" s="88" t="str">
        <f>HYPERLINK("http://www.bing.com/maps/?lvl=14&amp;sty=h&amp;cp=31.8451~47.3551&amp;sp=point.31.8451_47.3551","Maplink3")</f>
        <v>Maplink3</v>
      </c>
      <c r="AZ1687" s="76"/>
    </row>
    <row r="1688" spans="1:52" x14ac:dyDescent="0.25">
      <c r="A1688" s="86">
        <v>23871</v>
      </c>
      <c r="B1688" s="87" t="s">
        <v>21</v>
      </c>
      <c r="C1688" s="87" t="s">
        <v>3291</v>
      </c>
      <c r="D1688" s="87" t="s">
        <v>3294</v>
      </c>
      <c r="E1688" s="87" t="s">
        <v>3295</v>
      </c>
      <c r="F1688" s="87">
        <v>31.854462465000001</v>
      </c>
      <c r="G1688" s="87">
        <v>47.340212255700003</v>
      </c>
      <c r="H1688" s="86">
        <v>3</v>
      </c>
      <c r="I1688" s="86">
        <v>18</v>
      </c>
      <c r="J1688" s="87"/>
      <c r="K1688" s="87"/>
      <c r="L1688" s="87">
        <v>3</v>
      </c>
      <c r="M1688" s="87"/>
      <c r="N1688" s="87"/>
      <c r="O1688" s="87"/>
      <c r="P1688" s="87"/>
      <c r="Q1688" s="87"/>
      <c r="R1688" s="87"/>
      <c r="S1688" s="87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87"/>
      <c r="AE1688" s="87">
        <v>3</v>
      </c>
      <c r="AF1688" s="87"/>
      <c r="AG1688" s="87"/>
      <c r="AH1688" s="87"/>
      <c r="AI1688" s="87"/>
      <c r="AJ1688" s="87"/>
      <c r="AK1688" s="87"/>
      <c r="AL1688" s="87"/>
      <c r="AM1688" s="87"/>
      <c r="AN1688" s="87"/>
      <c r="AO1688" s="87"/>
      <c r="AP1688" s="87">
        <v>3</v>
      </c>
      <c r="AQ1688" s="87"/>
      <c r="AR1688" s="87"/>
      <c r="AS1688" s="87"/>
      <c r="AT1688" s="87"/>
      <c r="AU1688" s="87"/>
      <c r="AV1688" s="87"/>
      <c r="AW1688" s="88" t="str">
        <f>HYPERLINK("http://www.openstreetmap.org/?mlat=31.8545&amp;mlon=47.3402&amp;zoom=12#map=12/31.8545/47.3402","Maplink1")</f>
        <v>Maplink1</v>
      </c>
      <c r="AX1688" s="88" t="str">
        <f>HYPERLINK("https://www.google.iq/maps/search/+31.8545,47.3402/@31.8545,47.3402,14z?hl=en","Maplink2")</f>
        <v>Maplink2</v>
      </c>
      <c r="AY1688" s="88" t="str">
        <f>HYPERLINK("http://www.bing.com/maps/?lvl=14&amp;sty=h&amp;cp=31.8545~47.3402&amp;sp=point.31.8545_47.3402","Maplink3")</f>
        <v>Maplink3</v>
      </c>
      <c r="AZ1688" s="76"/>
    </row>
    <row r="1689" spans="1:52" x14ac:dyDescent="0.25">
      <c r="A1689" s="86">
        <v>29505</v>
      </c>
      <c r="B1689" s="87" t="s">
        <v>21</v>
      </c>
      <c r="C1689" s="87" t="s">
        <v>3291</v>
      </c>
      <c r="D1689" s="87" t="s">
        <v>3296</v>
      </c>
      <c r="E1689" s="87" t="s">
        <v>3297</v>
      </c>
      <c r="F1689" s="87">
        <v>31.6756848156</v>
      </c>
      <c r="G1689" s="87">
        <v>47.283530120199998</v>
      </c>
      <c r="H1689" s="86">
        <v>1</v>
      </c>
      <c r="I1689" s="86">
        <v>6</v>
      </c>
      <c r="J1689" s="87"/>
      <c r="K1689" s="87"/>
      <c r="L1689" s="87"/>
      <c r="M1689" s="87"/>
      <c r="N1689" s="87"/>
      <c r="O1689" s="87"/>
      <c r="P1689" s="87"/>
      <c r="Q1689" s="87"/>
      <c r="R1689" s="87"/>
      <c r="S1689" s="87"/>
      <c r="T1689" s="87"/>
      <c r="U1689" s="87"/>
      <c r="V1689" s="87"/>
      <c r="W1689" s="87"/>
      <c r="X1689" s="87">
        <v>1</v>
      </c>
      <c r="Y1689" s="87"/>
      <c r="Z1689" s="87"/>
      <c r="AA1689" s="87"/>
      <c r="AB1689" s="87"/>
      <c r="AC1689" s="87"/>
      <c r="AD1689" s="87"/>
      <c r="AE1689" s="87"/>
      <c r="AF1689" s="87"/>
      <c r="AG1689" s="87"/>
      <c r="AH1689" s="87">
        <v>1</v>
      </c>
      <c r="AI1689" s="87"/>
      <c r="AJ1689" s="87"/>
      <c r="AK1689" s="87"/>
      <c r="AL1689" s="87"/>
      <c r="AM1689" s="87"/>
      <c r="AN1689" s="87"/>
      <c r="AO1689" s="87"/>
      <c r="AP1689" s="87">
        <v>1</v>
      </c>
      <c r="AQ1689" s="87"/>
      <c r="AR1689" s="87"/>
      <c r="AS1689" s="87"/>
      <c r="AT1689" s="87"/>
      <c r="AU1689" s="87"/>
      <c r="AV1689" s="87"/>
      <c r="AW1689" s="88" t="str">
        <f>HYPERLINK("http://www.openstreetmap.org/?mlat=31.6757&amp;mlon=47.2835&amp;zoom=12#map=12/31.6757/47.2835","Maplink1")</f>
        <v>Maplink1</v>
      </c>
      <c r="AX1689" s="88" t="str">
        <f>HYPERLINK("https://www.google.iq/maps/search/+31.6757,47.2835/@31.6757,47.2835,14z?hl=en","Maplink2")</f>
        <v>Maplink2</v>
      </c>
      <c r="AY1689" s="88" t="str">
        <f>HYPERLINK("http://www.bing.com/maps/?lvl=14&amp;sty=h&amp;cp=31.6757~47.2835&amp;sp=point.31.6757_47.2835","Maplink3")</f>
        <v>Maplink3</v>
      </c>
      <c r="AZ1689" s="76"/>
    </row>
    <row r="1690" spans="1:52" x14ac:dyDescent="0.25">
      <c r="A1690" s="86">
        <v>22093</v>
      </c>
      <c r="B1690" s="87" t="s">
        <v>21</v>
      </c>
      <c r="C1690" s="87" t="s">
        <v>3291</v>
      </c>
      <c r="D1690" s="87" t="s">
        <v>3298</v>
      </c>
      <c r="E1690" s="87" t="s">
        <v>1353</v>
      </c>
      <c r="F1690" s="87">
        <v>31.667392982999999</v>
      </c>
      <c r="G1690" s="87">
        <v>47.2964722217</v>
      </c>
      <c r="H1690" s="86">
        <v>1</v>
      </c>
      <c r="I1690" s="86">
        <v>6</v>
      </c>
      <c r="J1690" s="87"/>
      <c r="K1690" s="87"/>
      <c r="L1690" s="87"/>
      <c r="M1690" s="87"/>
      <c r="N1690" s="87"/>
      <c r="O1690" s="87"/>
      <c r="P1690" s="87"/>
      <c r="Q1690" s="87"/>
      <c r="R1690" s="87"/>
      <c r="S1690" s="87"/>
      <c r="T1690" s="87"/>
      <c r="U1690" s="87"/>
      <c r="V1690" s="87">
        <v>1</v>
      </c>
      <c r="W1690" s="87"/>
      <c r="X1690" s="87"/>
      <c r="Y1690" s="87"/>
      <c r="Z1690" s="87"/>
      <c r="AA1690" s="87"/>
      <c r="AB1690" s="87"/>
      <c r="AC1690" s="87"/>
      <c r="AD1690" s="87"/>
      <c r="AE1690" s="87"/>
      <c r="AF1690" s="87"/>
      <c r="AG1690" s="87"/>
      <c r="AH1690" s="87">
        <v>1</v>
      </c>
      <c r="AI1690" s="87"/>
      <c r="AJ1690" s="87"/>
      <c r="AK1690" s="87"/>
      <c r="AL1690" s="87"/>
      <c r="AM1690" s="87"/>
      <c r="AN1690" s="87"/>
      <c r="AO1690" s="87">
        <v>1</v>
      </c>
      <c r="AP1690" s="87"/>
      <c r="AQ1690" s="87"/>
      <c r="AR1690" s="87"/>
      <c r="AS1690" s="87"/>
      <c r="AT1690" s="87"/>
      <c r="AU1690" s="87"/>
      <c r="AV1690" s="87"/>
      <c r="AW1690" s="88" t="str">
        <f>HYPERLINK("http://www.openstreetmap.org/?mlat=31.6674&amp;mlon=47.2965&amp;zoom=12#map=12/31.6674/47.2965","Maplink1")</f>
        <v>Maplink1</v>
      </c>
      <c r="AX1690" s="88" t="str">
        <f>HYPERLINK("https://www.google.iq/maps/search/+31.6674,47.2965/@31.6674,47.2965,14z?hl=en","Maplink2")</f>
        <v>Maplink2</v>
      </c>
      <c r="AY1690" s="88" t="str">
        <f>HYPERLINK("http://www.bing.com/maps/?lvl=14&amp;sty=h&amp;cp=31.6674~47.2965&amp;sp=point.31.6674_47.2965","Maplink3")</f>
        <v>Maplink3</v>
      </c>
      <c r="AZ1690" s="76"/>
    </row>
    <row r="1691" spans="1:52" x14ac:dyDescent="0.25">
      <c r="A1691" s="86">
        <v>16170</v>
      </c>
      <c r="B1691" s="87" t="s">
        <v>21</v>
      </c>
      <c r="C1691" s="87" t="s">
        <v>3299</v>
      </c>
      <c r="D1691" s="87" t="s">
        <v>3300</v>
      </c>
      <c r="E1691" s="87" t="s">
        <v>3301</v>
      </c>
      <c r="F1691" s="87">
        <v>31.544471179599999</v>
      </c>
      <c r="G1691" s="87">
        <v>46.975730130099997</v>
      </c>
      <c r="H1691" s="86">
        <v>1</v>
      </c>
      <c r="I1691" s="86">
        <v>6</v>
      </c>
      <c r="J1691" s="87"/>
      <c r="K1691" s="87"/>
      <c r="L1691" s="87"/>
      <c r="M1691" s="87"/>
      <c r="N1691" s="87"/>
      <c r="O1691" s="87"/>
      <c r="P1691" s="87"/>
      <c r="Q1691" s="87"/>
      <c r="R1691" s="87"/>
      <c r="S1691" s="87"/>
      <c r="T1691" s="87"/>
      <c r="U1691" s="87"/>
      <c r="V1691" s="87"/>
      <c r="W1691" s="87"/>
      <c r="X1691" s="87">
        <v>1</v>
      </c>
      <c r="Y1691" s="87"/>
      <c r="Z1691" s="87"/>
      <c r="AA1691" s="87"/>
      <c r="AB1691" s="87"/>
      <c r="AC1691" s="87">
        <v>1</v>
      </c>
      <c r="AD1691" s="87"/>
      <c r="AE1691" s="87"/>
      <c r="AF1691" s="87"/>
      <c r="AG1691" s="87"/>
      <c r="AH1691" s="87"/>
      <c r="AI1691" s="87"/>
      <c r="AJ1691" s="87"/>
      <c r="AK1691" s="87"/>
      <c r="AL1691" s="87"/>
      <c r="AM1691" s="87"/>
      <c r="AN1691" s="87"/>
      <c r="AO1691" s="87">
        <v>1</v>
      </c>
      <c r="AP1691" s="87"/>
      <c r="AQ1691" s="87"/>
      <c r="AR1691" s="87"/>
      <c r="AS1691" s="87"/>
      <c r="AT1691" s="87"/>
      <c r="AU1691" s="87"/>
      <c r="AV1691" s="87"/>
      <c r="AW1691" s="88" t="str">
        <f>HYPERLINK("http://www.openstreetmap.org/?mlat=31.5445&amp;mlon=46.9757&amp;zoom=12#map=12/31.5445/46.9757","Maplink1")</f>
        <v>Maplink1</v>
      </c>
      <c r="AX1691" s="88" t="str">
        <f>HYPERLINK("https://www.google.iq/maps/search/+31.5445,46.9757/@31.5445,46.9757,14z?hl=en","Maplink2")</f>
        <v>Maplink2</v>
      </c>
      <c r="AY1691" s="88" t="str">
        <f>HYPERLINK("http://www.bing.com/maps/?lvl=14&amp;sty=h&amp;cp=31.5445~46.9757&amp;sp=point.31.5445_46.9757","Maplink3")</f>
        <v>Maplink3</v>
      </c>
      <c r="AZ1691" s="76"/>
    </row>
    <row r="1692" spans="1:52" x14ac:dyDescent="0.25">
      <c r="A1692" s="86">
        <v>27267</v>
      </c>
      <c r="B1692" s="87" t="s">
        <v>21</v>
      </c>
      <c r="C1692" s="87" t="s">
        <v>3299</v>
      </c>
      <c r="D1692" s="87" t="s">
        <v>3302</v>
      </c>
      <c r="E1692" s="87" t="s">
        <v>3303</v>
      </c>
      <c r="F1692" s="87">
        <v>31.679646781300001</v>
      </c>
      <c r="G1692" s="87">
        <v>46.962307431900001</v>
      </c>
      <c r="H1692" s="86">
        <v>2</v>
      </c>
      <c r="I1692" s="86">
        <v>12</v>
      </c>
      <c r="J1692" s="87"/>
      <c r="K1692" s="87"/>
      <c r="L1692" s="87">
        <v>1</v>
      </c>
      <c r="M1692" s="87"/>
      <c r="N1692" s="87"/>
      <c r="O1692" s="87">
        <v>1</v>
      </c>
      <c r="P1692" s="87"/>
      <c r="Q1692" s="87"/>
      <c r="R1692" s="87"/>
      <c r="S1692" s="87"/>
      <c r="T1692" s="87"/>
      <c r="U1692" s="87"/>
      <c r="V1692" s="87"/>
      <c r="W1692" s="87"/>
      <c r="X1692" s="87"/>
      <c r="Y1692" s="87"/>
      <c r="Z1692" s="87"/>
      <c r="AA1692" s="87"/>
      <c r="AB1692" s="87"/>
      <c r="AC1692" s="87">
        <v>1</v>
      </c>
      <c r="AD1692" s="87"/>
      <c r="AE1692" s="87"/>
      <c r="AF1692" s="87"/>
      <c r="AG1692" s="87"/>
      <c r="AH1692" s="87">
        <v>1</v>
      </c>
      <c r="AI1692" s="87"/>
      <c r="AJ1692" s="87"/>
      <c r="AK1692" s="87"/>
      <c r="AL1692" s="87"/>
      <c r="AM1692" s="87"/>
      <c r="AN1692" s="87"/>
      <c r="AO1692" s="87"/>
      <c r="AP1692" s="87">
        <v>1</v>
      </c>
      <c r="AQ1692" s="87">
        <v>1</v>
      </c>
      <c r="AR1692" s="87"/>
      <c r="AS1692" s="87"/>
      <c r="AT1692" s="87"/>
      <c r="AU1692" s="87"/>
      <c r="AV1692" s="87"/>
      <c r="AW1692" s="88" t="str">
        <f>HYPERLINK("http://www.openstreetmap.org/?mlat=31.6796&amp;mlon=46.9623&amp;zoom=12#map=12/31.6796/46.9623","Maplink1")</f>
        <v>Maplink1</v>
      </c>
      <c r="AX1692" s="88" t="str">
        <f>HYPERLINK("https://www.google.iq/maps/search/+31.6796,46.9623/@31.6796,46.9623,14z?hl=en","Maplink2")</f>
        <v>Maplink2</v>
      </c>
      <c r="AY1692" s="88" t="str">
        <f>HYPERLINK("http://www.bing.com/maps/?lvl=14&amp;sty=h&amp;cp=31.6796~46.9623&amp;sp=point.31.6796_46.9623","Maplink3")</f>
        <v>Maplink3</v>
      </c>
      <c r="AZ1692" s="76"/>
    </row>
    <row r="1693" spans="1:52" x14ac:dyDescent="0.25">
      <c r="A1693" s="86">
        <v>25276</v>
      </c>
      <c r="B1693" s="87" t="s">
        <v>21</v>
      </c>
      <c r="C1693" s="87" t="s">
        <v>3304</v>
      </c>
      <c r="D1693" s="87" t="s">
        <v>3305</v>
      </c>
      <c r="E1693" s="87" t="s">
        <v>1353</v>
      </c>
      <c r="F1693" s="87">
        <v>31.5759381592</v>
      </c>
      <c r="G1693" s="87">
        <v>47.163849878699999</v>
      </c>
      <c r="H1693" s="86">
        <v>7</v>
      </c>
      <c r="I1693" s="86">
        <v>42</v>
      </c>
      <c r="J1693" s="87"/>
      <c r="K1693" s="87"/>
      <c r="L1693" s="87">
        <v>3</v>
      </c>
      <c r="M1693" s="87"/>
      <c r="N1693" s="87"/>
      <c r="O1693" s="87"/>
      <c r="P1693" s="87"/>
      <c r="Q1693" s="87"/>
      <c r="R1693" s="87">
        <v>4</v>
      </c>
      <c r="S1693" s="87"/>
      <c r="T1693" s="87"/>
      <c r="U1693" s="87"/>
      <c r="V1693" s="87"/>
      <c r="W1693" s="87"/>
      <c r="X1693" s="87"/>
      <c r="Y1693" s="87"/>
      <c r="Z1693" s="87"/>
      <c r="AA1693" s="87"/>
      <c r="AB1693" s="87"/>
      <c r="AC1693" s="87">
        <v>3</v>
      </c>
      <c r="AD1693" s="87"/>
      <c r="AE1693" s="87"/>
      <c r="AF1693" s="87"/>
      <c r="AG1693" s="87"/>
      <c r="AH1693" s="87">
        <v>4</v>
      </c>
      <c r="AI1693" s="87"/>
      <c r="AJ1693" s="87"/>
      <c r="AK1693" s="87"/>
      <c r="AL1693" s="87"/>
      <c r="AM1693" s="87"/>
      <c r="AN1693" s="87"/>
      <c r="AO1693" s="87">
        <v>6</v>
      </c>
      <c r="AP1693" s="87">
        <v>1</v>
      </c>
      <c r="AQ1693" s="87"/>
      <c r="AR1693" s="87"/>
      <c r="AS1693" s="87"/>
      <c r="AT1693" s="87"/>
      <c r="AU1693" s="87"/>
      <c r="AV1693" s="87"/>
      <c r="AW1693" s="88" t="str">
        <f>HYPERLINK("http://www.openstreetmap.org/?mlat=31.5759&amp;mlon=47.1638&amp;zoom=12#map=12/31.5759/47.1638","Maplink1")</f>
        <v>Maplink1</v>
      </c>
      <c r="AX1693" s="88" t="str">
        <f>HYPERLINK("https://www.google.iq/maps/search/+31.5759,47.1638/@31.5759,47.1638,14z?hl=en","Maplink2")</f>
        <v>Maplink2</v>
      </c>
      <c r="AY1693" s="88" t="str">
        <f>HYPERLINK("http://www.bing.com/maps/?lvl=14&amp;sty=h&amp;cp=31.5759~47.1638&amp;sp=point.31.5759_47.1638","Maplink3")</f>
        <v>Maplink3</v>
      </c>
      <c r="AZ1693" s="76"/>
    </row>
    <row r="1694" spans="1:52" x14ac:dyDescent="0.25">
      <c r="A1694" s="86">
        <v>16214</v>
      </c>
      <c r="B1694" s="87" t="s">
        <v>21</v>
      </c>
      <c r="C1694" s="87" t="s">
        <v>3304</v>
      </c>
      <c r="D1694" s="87" t="s">
        <v>3306</v>
      </c>
      <c r="E1694" s="87" t="s">
        <v>3307</v>
      </c>
      <c r="F1694" s="87">
        <v>31.571765922699999</v>
      </c>
      <c r="G1694" s="87">
        <v>47.1682477994</v>
      </c>
      <c r="H1694" s="86">
        <v>5</v>
      </c>
      <c r="I1694" s="86">
        <v>30</v>
      </c>
      <c r="J1694" s="87"/>
      <c r="K1694" s="87"/>
      <c r="L1694" s="87"/>
      <c r="M1694" s="87"/>
      <c r="N1694" s="87"/>
      <c r="O1694" s="87"/>
      <c r="P1694" s="87"/>
      <c r="Q1694" s="87"/>
      <c r="R1694" s="87">
        <v>5</v>
      </c>
      <c r="S1694" s="87"/>
      <c r="T1694" s="87"/>
      <c r="U1694" s="87"/>
      <c r="V1694" s="87"/>
      <c r="W1694" s="87"/>
      <c r="X1694" s="87"/>
      <c r="Y1694" s="87"/>
      <c r="Z1694" s="87"/>
      <c r="AA1694" s="87"/>
      <c r="AB1694" s="87"/>
      <c r="AC1694" s="87">
        <v>2</v>
      </c>
      <c r="AD1694" s="87"/>
      <c r="AE1694" s="87"/>
      <c r="AF1694" s="87"/>
      <c r="AG1694" s="87"/>
      <c r="AH1694" s="87">
        <v>3</v>
      </c>
      <c r="AI1694" s="87"/>
      <c r="AJ1694" s="87"/>
      <c r="AK1694" s="87"/>
      <c r="AL1694" s="87"/>
      <c r="AM1694" s="87"/>
      <c r="AN1694" s="87"/>
      <c r="AO1694" s="87">
        <v>1</v>
      </c>
      <c r="AP1694" s="87">
        <v>2</v>
      </c>
      <c r="AQ1694" s="87">
        <v>1</v>
      </c>
      <c r="AR1694" s="87"/>
      <c r="AS1694" s="87"/>
      <c r="AT1694" s="87">
        <v>1</v>
      </c>
      <c r="AU1694" s="87"/>
      <c r="AV1694" s="87"/>
      <c r="AW1694" s="88" t="str">
        <f>HYPERLINK("http://www.openstreetmap.org/?mlat=31.5718&amp;mlon=47.1682&amp;zoom=12#map=12/31.5718/47.1682","Maplink1")</f>
        <v>Maplink1</v>
      </c>
      <c r="AX1694" s="88" t="str">
        <f>HYPERLINK("https://www.google.iq/maps/search/+31.5718,47.1682/@31.5718,47.1682,14z?hl=en","Maplink2")</f>
        <v>Maplink2</v>
      </c>
      <c r="AY1694" s="88" t="str">
        <f>HYPERLINK("http://www.bing.com/maps/?lvl=14&amp;sty=h&amp;cp=31.5718~47.1682&amp;sp=point.31.5718_47.1682","Maplink3")</f>
        <v>Maplink3</v>
      </c>
      <c r="AZ1694" s="76"/>
    </row>
    <row r="1695" spans="1:52" x14ac:dyDescent="0.25">
      <c r="A1695" s="86">
        <v>24533</v>
      </c>
      <c r="B1695" s="87" t="s">
        <v>21</v>
      </c>
      <c r="C1695" s="87" t="s">
        <v>3304</v>
      </c>
      <c r="D1695" s="87" t="s">
        <v>3308</v>
      </c>
      <c r="E1695" s="87" t="s">
        <v>3309</v>
      </c>
      <c r="F1695" s="87">
        <v>31.5780079902</v>
      </c>
      <c r="G1695" s="87">
        <v>47.179516165899997</v>
      </c>
      <c r="H1695" s="86">
        <v>3</v>
      </c>
      <c r="I1695" s="86">
        <v>18</v>
      </c>
      <c r="J1695" s="87"/>
      <c r="K1695" s="87"/>
      <c r="L1695" s="87">
        <v>1</v>
      </c>
      <c r="M1695" s="87"/>
      <c r="N1695" s="87"/>
      <c r="O1695" s="87"/>
      <c r="P1695" s="87"/>
      <c r="Q1695" s="87"/>
      <c r="R1695" s="87">
        <v>1</v>
      </c>
      <c r="S1695" s="87"/>
      <c r="T1695" s="87"/>
      <c r="U1695" s="87"/>
      <c r="V1695" s="87">
        <v>1</v>
      </c>
      <c r="W1695" s="87"/>
      <c r="X1695" s="87"/>
      <c r="Y1695" s="87"/>
      <c r="Z1695" s="87"/>
      <c r="AA1695" s="87"/>
      <c r="AB1695" s="87"/>
      <c r="AC1695" s="87"/>
      <c r="AD1695" s="87"/>
      <c r="AE1695" s="87"/>
      <c r="AF1695" s="87"/>
      <c r="AG1695" s="87"/>
      <c r="AH1695" s="87">
        <v>3</v>
      </c>
      <c r="AI1695" s="87"/>
      <c r="AJ1695" s="87"/>
      <c r="AK1695" s="87"/>
      <c r="AL1695" s="87"/>
      <c r="AM1695" s="87"/>
      <c r="AN1695" s="87"/>
      <c r="AO1695" s="87"/>
      <c r="AP1695" s="87">
        <v>2</v>
      </c>
      <c r="AQ1695" s="87">
        <v>1</v>
      </c>
      <c r="AR1695" s="87"/>
      <c r="AS1695" s="87"/>
      <c r="AT1695" s="87"/>
      <c r="AU1695" s="87"/>
      <c r="AV1695" s="87"/>
      <c r="AW1695" s="88" t="str">
        <f>HYPERLINK("http://www.openstreetmap.org/?mlat=31.578&amp;mlon=47.1795&amp;zoom=12#map=12/31.578/47.1795","Maplink1")</f>
        <v>Maplink1</v>
      </c>
      <c r="AX1695" s="88" t="str">
        <f>HYPERLINK("https://www.google.iq/maps/search/+31.578,47.1795/@31.578,47.1795,14z?hl=en","Maplink2")</f>
        <v>Maplink2</v>
      </c>
      <c r="AY1695" s="88" t="str">
        <f>HYPERLINK("http://www.bing.com/maps/?lvl=14&amp;sty=h&amp;cp=31.578~47.1795&amp;sp=point.31.578_47.1795","Maplink3")</f>
        <v>Maplink3</v>
      </c>
      <c r="AZ1695" s="76"/>
    </row>
    <row r="1696" spans="1:52" x14ac:dyDescent="0.25">
      <c r="A1696" s="86">
        <v>24372</v>
      </c>
      <c r="B1696" s="87" t="s">
        <v>21</v>
      </c>
      <c r="C1696" s="87" t="s">
        <v>3304</v>
      </c>
      <c r="D1696" s="87" t="s">
        <v>3310</v>
      </c>
      <c r="E1696" s="87" t="s">
        <v>3311</v>
      </c>
      <c r="F1696" s="87">
        <v>31.5784954855</v>
      </c>
      <c r="G1696" s="87">
        <v>47.165393552799998</v>
      </c>
      <c r="H1696" s="86">
        <v>4</v>
      </c>
      <c r="I1696" s="86">
        <v>24</v>
      </c>
      <c r="J1696" s="87"/>
      <c r="K1696" s="87"/>
      <c r="L1696" s="87"/>
      <c r="M1696" s="87"/>
      <c r="N1696" s="87"/>
      <c r="O1696" s="87"/>
      <c r="P1696" s="87"/>
      <c r="Q1696" s="87"/>
      <c r="R1696" s="87"/>
      <c r="S1696" s="87"/>
      <c r="T1696" s="87"/>
      <c r="U1696" s="87"/>
      <c r="V1696" s="87">
        <v>4</v>
      </c>
      <c r="W1696" s="87"/>
      <c r="X1696" s="87"/>
      <c r="Y1696" s="87"/>
      <c r="Z1696" s="87"/>
      <c r="AA1696" s="87"/>
      <c r="AB1696" s="87"/>
      <c r="AC1696" s="87">
        <v>1</v>
      </c>
      <c r="AD1696" s="87"/>
      <c r="AE1696" s="87"/>
      <c r="AF1696" s="87"/>
      <c r="AG1696" s="87"/>
      <c r="AH1696" s="87"/>
      <c r="AI1696" s="87"/>
      <c r="AJ1696" s="87">
        <v>3</v>
      </c>
      <c r="AK1696" s="87"/>
      <c r="AL1696" s="87"/>
      <c r="AM1696" s="87"/>
      <c r="AN1696" s="87"/>
      <c r="AO1696" s="87">
        <v>2</v>
      </c>
      <c r="AP1696" s="87">
        <v>1</v>
      </c>
      <c r="AQ1696" s="87">
        <v>1</v>
      </c>
      <c r="AR1696" s="87"/>
      <c r="AS1696" s="87"/>
      <c r="AT1696" s="87"/>
      <c r="AU1696" s="87"/>
      <c r="AV1696" s="87"/>
      <c r="AW1696" s="88" t="str">
        <f>HYPERLINK("http://www.openstreetmap.org/?mlat=31.5785&amp;mlon=47.1654&amp;zoom=12#map=12/31.5785/47.1654","Maplink1")</f>
        <v>Maplink1</v>
      </c>
      <c r="AX1696" s="88" t="str">
        <f>HYPERLINK("https://www.google.iq/maps/search/+31.5785,47.1654/@31.5785,47.1654,14z?hl=en","Maplink2")</f>
        <v>Maplink2</v>
      </c>
      <c r="AY1696" s="88" t="str">
        <f>HYPERLINK("http://www.bing.com/maps/?lvl=14&amp;sty=h&amp;cp=31.5785~47.1654&amp;sp=point.31.5785_47.1654","Maplink3")</f>
        <v>Maplink3</v>
      </c>
      <c r="AZ1696" s="76"/>
    </row>
    <row r="1697" spans="1:52" x14ac:dyDescent="0.25">
      <c r="A1697" s="86">
        <v>16186</v>
      </c>
      <c r="B1697" s="87" t="s">
        <v>21</v>
      </c>
      <c r="C1697" s="87" t="s">
        <v>3304</v>
      </c>
      <c r="D1697" s="87" t="s">
        <v>3312</v>
      </c>
      <c r="E1697" s="87" t="s">
        <v>116</v>
      </c>
      <c r="F1697" s="87">
        <v>31.576597591799999</v>
      </c>
      <c r="G1697" s="87">
        <v>47.167731771100001</v>
      </c>
      <c r="H1697" s="86">
        <v>2</v>
      </c>
      <c r="I1697" s="86">
        <v>12</v>
      </c>
      <c r="J1697" s="87"/>
      <c r="K1697" s="87"/>
      <c r="L1697" s="87"/>
      <c r="M1697" s="87"/>
      <c r="N1697" s="87"/>
      <c r="O1697" s="87"/>
      <c r="P1697" s="87"/>
      <c r="Q1697" s="87"/>
      <c r="R1697" s="87">
        <v>2</v>
      </c>
      <c r="S1697" s="87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>
        <v>1</v>
      </c>
      <c r="AD1697" s="87"/>
      <c r="AE1697" s="87"/>
      <c r="AF1697" s="87"/>
      <c r="AG1697" s="87"/>
      <c r="AH1697" s="87">
        <v>1</v>
      </c>
      <c r="AI1697" s="87"/>
      <c r="AJ1697" s="87"/>
      <c r="AK1697" s="87"/>
      <c r="AL1697" s="87"/>
      <c r="AM1697" s="87"/>
      <c r="AN1697" s="87"/>
      <c r="AO1697" s="87"/>
      <c r="AP1697" s="87"/>
      <c r="AQ1697" s="87">
        <v>2</v>
      </c>
      <c r="AR1697" s="87"/>
      <c r="AS1697" s="87"/>
      <c r="AT1697" s="87"/>
      <c r="AU1697" s="87"/>
      <c r="AV1697" s="87"/>
      <c r="AW1697" s="88" t="str">
        <f>HYPERLINK("http://www.openstreetmap.org/?mlat=31.5766&amp;mlon=47.1677&amp;zoom=12#map=12/31.5766/47.1677","Maplink1")</f>
        <v>Maplink1</v>
      </c>
      <c r="AX1697" s="88" t="str">
        <f>HYPERLINK("https://www.google.iq/maps/search/+31.5766,47.1677/@31.5766,47.1677,14z?hl=en","Maplink2")</f>
        <v>Maplink2</v>
      </c>
      <c r="AY1697" s="88" t="str">
        <f>HYPERLINK("http://www.bing.com/maps/?lvl=14&amp;sty=h&amp;cp=31.5766~47.1677&amp;sp=point.31.5766_47.1677","Maplink3")</f>
        <v>Maplink3</v>
      </c>
      <c r="AZ1697" s="76"/>
    </row>
    <row r="1698" spans="1:52" x14ac:dyDescent="0.25">
      <c r="A1698" s="86">
        <v>16864</v>
      </c>
      <c r="B1698" s="87" t="s">
        <v>21</v>
      </c>
      <c r="C1698" s="87" t="s">
        <v>3304</v>
      </c>
      <c r="D1698" s="87" t="s">
        <v>3313</v>
      </c>
      <c r="E1698" s="87" t="s">
        <v>964</v>
      </c>
      <c r="F1698" s="87">
        <v>31.589006080699999</v>
      </c>
      <c r="G1698" s="87">
        <v>47.159125521299998</v>
      </c>
      <c r="H1698" s="86">
        <v>1</v>
      </c>
      <c r="I1698" s="86">
        <v>6</v>
      </c>
      <c r="J1698" s="87"/>
      <c r="K1698" s="87"/>
      <c r="L1698" s="87"/>
      <c r="M1698" s="87"/>
      <c r="N1698" s="87"/>
      <c r="O1698" s="87"/>
      <c r="P1698" s="87"/>
      <c r="Q1698" s="87"/>
      <c r="R1698" s="87"/>
      <c r="S1698" s="87"/>
      <c r="T1698" s="87"/>
      <c r="U1698" s="87"/>
      <c r="V1698" s="87">
        <v>1</v>
      </c>
      <c r="W1698" s="87"/>
      <c r="X1698" s="87"/>
      <c r="Y1698" s="87"/>
      <c r="Z1698" s="87"/>
      <c r="AA1698" s="87"/>
      <c r="AB1698" s="87"/>
      <c r="AC1698" s="87">
        <v>1</v>
      </c>
      <c r="AD1698" s="87"/>
      <c r="AE1698" s="87"/>
      <c r="AF1698" s="87"/>
      <c r="AG1698" s="87"/>
      <c r="AH1698" s="87"/>
      <c r="AI1698" s="87"/>
      <c r="AJ1698" s="87"/>
      <c r="AK1698" s="87"/>
      <c r="AL1698" s="87"/>
      <c r="AM1698" s="87"/>
      <c r="AN1698" s="87"/>
      <c r="AO1698" s="87">
        <v>1</v>
      </c>
      <c r="AP1698" s="87"/>
      <c r="AQ1698" s="87"/>
      <c r="AR1698" s="87"/>
      <c r="AS1698" s="87"/>
      <c r="AT1698" s="87"/>
      <c r="AU1698" s="87"/>
      <c r="AV1698" s="87"/>
      <c r="AW1698" s="88" t="str">
        <f>HYPERLINK("http://www.openstreetmap.org/?mlat=31.589&amp;mlon=47.1591&amp;zoom=12#map=12/31.589/47.1591","Maplink1")</f>
        <v>Maplink1</v>
      </c>
      <c r="AX1698" s="88" t="str">
        <f>HYPERLINK("https://www.google.iq/maps/search/+31.589,47.1591/@31.589,47.1591,14z?hl=en","Maplink2")</f>
        <v>Maplink2</v>
      </c>
      <c r="AY1698" s="88" t="str">
        <f>HYPERLINK("http://www.bing.com/maps/?lvl=14&amp;sty=h&amp;cp=31.589~47.1591&amp;sp=point.31.589_47.1591","Maplink3")</f>
        <v>Maplink3</v>
      </c>
      <c r="AZ1698" s="76"/>
    </row>
    <row r="1699" spans="1:52" x14ac:dyDescent="0.25">
      <c r="A1699" s="86">
        <v>15997</v>
      </c>
      <c r="B1699" s="87" t="s">
        <v>21</v>
      </c>
      <c r="C1699" s="87" t="s">
        <v>3304</v>
      </c>
      <c r="D1699" s="87" t="s">
        <v>3314</v>
      </c>
      <c r="E1699" s="87" t="s">
        <v>307</v>
      </c>
      <c r="F1699" s="87">
        <v>31.584107660499999</v>
      </c>
      <c r="G1699" s="87">
        <v>47.174587879199997</v>
      </c>
      <c r="H1699" s="86">
        <v>2</v>
      </c>
      <c r="I1699" s="86">
        <v>12</v>
      </c>
      <c r="J1699" s="87"/>
      <c r="K1699" s="87"/>
      <c r="L1699" s="87"/>
      <c r="M1699" s="87"/>
      <c r="N1699" s="87"/>
      <c r="O1699" s="87"/>
      <c r="P1699" s="87"/>
      <c r="Q1699" s="87"/>
      <c r="R1699" s="87">
        <v>2</v>
      </c>
      <c r="S1699" s="87"/>
      <c r="T1699" s="87"/>
      <c r="U1699" s="87"/>
      <c r="V1699" s="87"/>
      <c r="W1699" s="87"/>
      <c r="X1699" s="87"/>
      <c r="Y1699" s="87"/>
      <c r="Z1699" s="87"/>
      <c r="AA1699" s="87"/>
      <c r="AB1699" s="87"/>
      <c r="AC1699" s="87">
        <v>1</v>
      </c>
      <c r="AD1699" s="87"/>
      <c r="AE1699" s="87"/>
      <c r="AF1699" s="87"/>
      <c r="AG1699" s="87"/>
      <c r="AH1699" s="87">
        <v>1</v>
      </c>
      <c r="AI1699" s="87"/>
      <c r="AJ1699" s="87"/>
      <c r="AK1699" s="87"/>
      <c r="AL1699" s="87"/>
      <c r="AM1699" s="87"/>
      <c r="AN1699" s="87"/>
      <c r="AO1699" s="87"/>
      <c r="AP1699" s="87">
        <v>2</v>
      </c>
      <c r="AQ1699" s="87"/>
      <c r="AR1699" s="87"/>
      <c r="AS1699" s="87"/>
      <c r="AT1699" s="87"/>
      <c r="AU1699" s="87"/>
      <c r="AV1699" s="87"/>
      <c r="AW1699" s="88" t="str">
        <f>HYPERLINK("http://www.openstreetmap.org/?mlat=31.5841&amp;mlon=47.1746&amp;zoom=12#map=12/31.5841/47.1746","Maplink1")</f>
        <v>Maplink1</v>
      </c>
      <c r="AX1699" s="88" t="str">
        <f>HYPERLINK("https://www.google.iq/maps/search/+31.5841,47.1746/@31.5841,47.1746,14z?hl=en","Maplink2")</f>
        <v>Maplink2</v>
      </c>
      <c r="AY1699" s="88" t="str">
        <f>HYPERLINK("http://www.bing.com/maps/?lvl=14&amp;sty=h&amp;cp=31.5841~47.1746&amp;sp=point.31.5841_47.1746","Maplink3")</f>
        <v>Maplink3</v>
      </c>
      <c r="AZ1699" s="76"/>
    </row>
    <row r="1700" spans="1:52" x14ac:dyDescent="0.25">
      <c r="A1700" s="86">
        <v>24536</v>
      </c>
      <c r="B1700" s="87" t="s">
        <v>21</v>
      </c>
      <c r="C1700" s="87" t="s">
        <v>3304</v>
      </c>
      <c r="D1700" s="87" t="s">
        <v>3315</v>
      </c>
      <c r="E1700" s="87" t="s">
        <v>3316</v>
      </c>
      <c r="F1700" s="87">
        <v>31.487996943599999</v>
      </c>
      <c r="G1700" s="87">
        <v>47.114796187300001</v>
      </c>
      <c r="H1700" s="86">
        <v>2</v>
      </c>
      <c r="I1700" s="86">
        <v>12</v>
      </c>
      <c r="J1700" s="87"/>
      <c r="K1700" s="87"/>
      <c r="L1700" s="87"/>
      <c r="M1700" s="87"/>
      <c r="N1700" s="87"/>
      <c r="O1700" s="87"/>
      <c r="P1700" s="87"/>
      <c r="Q1700" s="87"/>
      <c r="R1700" s="87"/>
      <c r="S1700" s="87"/>
      <c r="T1700" s="87"/>
      <c r="U1700" s="87"/>
      <c r="V1700" s="87">
        <v>2</v>
      </c>
      <c r="W1700" s="87"/>
      <c r="X1700" s="87"/>
      <c r="Y1700" s="87"/>
      <c r="Z1700" s="87"/>
      <c r="AA1700" s="87"/>
      <c r="AB1700" s="87"/>
      <c r="AC1700" s="87"/>
      <c r="AD1700" s="87"/>
      <c r="AE1700" s="87"/>
      <c r="AF1700" s="87">
        <v>2</v>
      </c>
      <c r="AG1700" s="87"/>
      <c r="AH1700" s="87"/>
      <c r="AI1700" s="87"/>
      <c r="AJ1700" s="87"/>
      <c r="AK1700" s="87"/>
      <c r="AL1700" s="87"/>
      <c r="AM1700" s="87"/>
      <c r="AN1700" s="87"/>
      <c r="AO1700" s="87"/>
      <c r="AP1700" s="87">
        <v>2</v>
      </c>
      <c r="AQ1700" s="87"/>
      <c r="AR1700" s="87"/>
      <c r="AS1700" s="87"/>
      <c r="AT1700" s="87"/>
      <c r="AU1700" s="87"/>
      <c r="AV1700" s="87"/>
      <c r="AW1700" s="88" t="str">
        <f>HYPERLINK("http://www.openstreetmap.org/?mlat=31.488&amp;mlon=47.1148&amp;zoom=12#map=12/31.488/47.1148","Maplink1")</f>
        <v>Maplink1</v>
      </c>
      <c r="AX1700" s="88" t="str">
        <f>HYPERLINK("https://www.google.iq/maps/search/+31.488,47.1148/@31.488,47.1148,14z?hl=en","Maplink2")</f>
        <v>Maplink2</v>
      </c>
      <c r="AY1700" s="88" t="str">
        <f>HYPERLINK("http://www.bing.com/maps/?lvl=14&amp;sty=h&amp;cp=31.488~47.1148&amp;sp=point.31.488_47.1148","Maplink3")</f>
        <v>Maplink3</v>
      </c>
      <c r="AZ1700" s="76"/>
    </row>
    <row r="1701" spans="1:52" x14ac:dyDescent="0.25">
      <c r="A1701" s="86">
        <v>16210</v>
      </c>
      <c r="B1701" s="87" t="s">
        <v>21</v>
      </c>
      <c r="C1701" s="87" t="s">
        <v>3304</v>
      </c>
      <c r="D1701" s="87" t="s">
        <v>3317</v>
      </c>
      <c r="E1701" s="87" t="s">
        <v>3318</v>
      </c>
      <c r="F1701" s="87">
        <v>31.5758556732</v>
      </c>
      <c r="G1701" s="87">
        <v>47.159128297400002</v>
      </c>
      <c r="H1701" s="86">
        <v>4</v>
      </c>
      <c r="I1701" s="86">
        <v>24</v>
      </c>
      <c r="J1701" s="87"/>
      <c r="K1701" s="87"/>
      <c r="L1701" s="87"/>
      <c r="M1701" s="87"/>
      <c r="N1701" s="87"/>
      <c r="O1701" s="87"/>
      <c r="P1701" s="87"/>
      <c r="Q1701" s="87"/>
      <c r="R1701" s="87">
        <v>3</v>
      </c>
      <c r="S1701" s="87"/>
      <c r="T1701" s="87"/>
      <c r="U1701" s="87"/>
      <c r="V1701" s="87">
        <v>1</v>
      </c>
      <c r="W1701" s="87"/>
      <c r="X1701" s="87"/>
      <c r="Y1701" s="87"/>
      <c r="Z1701" s="87"/>
      <c r="AA1701" s="87"/>
      <c r="AB1701" s="87"/>
      <c r="AC1701" s="87">
        <v>1</v>
      </c>
      <c r="AD1701" s="87"/>
      <c r="AE1701" s="87">
        <v>3</v>
      </c>
      <c r="AF1701" s="87"/>
      <c r="AG1701" s="87"/>
      <c r="AH1701" s="87"/>
      <c r="AI1701" s="87"/>
      <c r="AJ1701" s="87"/>
      <c r="AK1701" s="87"/>
      <c r="AL1701" s="87"/>
      <c r="AM1701" s="87"/>
      <c r="AN1701" s="87"/>
      <c r="AO1701" s="87"/>
      <c r="AP1701" s="87">
        <v>1</v>
      </c>
      <c r="AQ1701" s="87">
        <v>3</v>
      </c>
      <c r="AR1701" s="87"/>
      <c r="AS1701" s="87"/>
      <c r="AT1701" s="87"/>
      <c r="AU1701" s="87"/>
      <c r="AV1701" s="87"/>
      <c r="AW1701" s="88" t="str">
        <f>HYPERLINK("http://www.openstreetmap.org/?mlat=31.5759&amp;mlon=47.1591&amp;zoom=12#map=12/31.5759/47.1591","Maplink1")</f>
        <v>Maplink1</v>
      </c>
      <c r="AX1701" s="88" t="str">
        <f>HYPERLINK("https://www.google.iq/maps/search/+31.5759,47.1591/@31.5759,47.1591,14z?hl=en","Maplink2")</f>
        <v>Maplink2</v>
      </c>
      <c r="AY1701" s="88" t="str">
        <f>HYPERLINK("http://www.bing.com/maps/?lvl=14&amp;sty=h&amp;cp=31.5759~47.1591&amp;sp=point.31.5759_47.1591","Maplink3")</f>
        <v>Maplink3</v>
      </c>
      <c r="AZ1701" s="76"/>
    </row>
    <row r="1702" spans="1:52" x14ac:dyDescent="0.25">
      <c r="A1702" s="86">
        <v>16773</v>
      </c>
      <c r="B1702" s="87" t="s">
        <v>21</v>
      </c>
      <c r="C1702" s="87" t="s">
        <v>3319</v>
      </c>
      <c r="D1702" s="87" t="s">
        <v>3320</v>
      </c>
      <c r="E1702" s="87" t="s">
        <v>3321</v>
      </c>
      <c r="F1702" s="87">
        <v>32.461286184499997</v>
      </c>
      <c r="G1702" s="87">
        <v>46.688924759999999</v>
      </c>
      <c r="H1702" s="86">
        <v>4</v>
      </c>
      <c r="I1702" s="86">
        <v>24</v>
      </c>
      <c r="J1702" s="87"/>
      <c r="K1702" s="87"/>
      <c r="L1702" s="87"/>
      <c r="M1702" s="87"/>
      <c r="N1702" s="87"/>
      <c r="O1702" s="87"/>
      <c r="P1702" s="87"/>
      <c r="Q1702" s="87"/>
      <c r="R1702" s="87"/>
      <c r="S1702" s="87"/>
      <c r="T1702" s="87"/>
      <c r="U1702" s="87"/>
      <c r="V1702" s="87">
        <v>3</v>
      </c>
      <c r="W1702" s="87"/>
      <c r="X1702" s="87">
        <v>1</v>
      </c>
      <c r="Y1702" s="87"/>
      <c r="Z1702" s="87"/>
      <c r="AA1702" s="87"/>
      <c r="AB1702" s="87"/>
      <c r="AC1702" s="87">
        <v>1</v>
      </c>
      <c r="AD1702" s="87"/>
      <c r="AE1702" s="87"/>
      <c r="AF1702" s="87"/>
      <c r="AG1702" s="87"/>
      <c r="AH1702" s="87">
        <v>3</v>
      </c>
      <c r="AI1702" s="87"/>
      <c r="AJ1702" s="87"/>
      <c r="AK1702" s="87"/>
      <c r="AL1702" s="87"/>
      <c r="AM1702" s="87"/>
      <c r="AN1702" s="87"/>
      <c r="AO1702" s="87"/>
      <c r="AP1702" s="87">
        <v>3</v>
      </c>
      <c r="AQ1702" s="87">
        <v>1</v>
      </c>
      <c r="AR1702" s="87"/>
      <c r="AS1702" s="87"/>
      <c r="AT1702" s="87"/>
      <c r="AU1702" s="87"/>
      <c r="AV1702" s="87"/>
      <c r="AW1702" s="88" t="str">
        <f>HYPERLINK("http://www.openstreetmap.org/?mlat=32.4613&amp;mlon=46.6889&amp;zoom=12#map=12/32.4613/46.6889","Maplink1")</f>
        <v>Maplink1</v>
      </c>
      <c r="AX1702" s="88" t="str">
        <f>HYPERLINK("https://www.google.iq/maps/search/+32.4613,46.6889/@32.4613,46.6889,14z?hl=en","Maplink2")</f>
        <v>Maplink2</v>
      </c>
      <c r="AY1702" s="88" t="str">
        <f>HYPERLINK("http://www.bing.com/maps/?lvl=14&amp;sty=h&amp;cp=32.4613~46.6889&amp;sp=point.32.4613_46.6889","Maplink3")</f>
        <v>Maplink3</v>
      </c>
      <c r="AZ1702" s="76"/>
    </row>
    <row r="1703" spans="1:52" x14ac:dyDescent="0.25">
      <c r="A1703" s="86">
        <v>16881</v>
      </c>
      <c r="B1703" s="87" t="s">
        <v>21</v>
      </c>
      <c r="C1703" s="87" t="s">
        <v>3319</v>
      </c>
      <c r="D1703" s="87" t="s">
        <v>3322</v>
      </c>
      <c r="E1703" s="87" t="s">
        <v>1785</v>
      </c>
      <c r="F1703" s="87">
        <v>32.476019121299998</v>
      </c>
      <c r="G1703" s="87">
        <v>46.692746338799999</v>
      </c>
      <c r="H1703" s="86">
        <v>2</v>
      </c>
      <c r="I1703" s="86">
        <v>12</v>
      </c>
      <c r="J1703" s="87"/>
      <c r="K1703" s="87"/>
      <c r="L1703" s="87"/>
      <c r="M1703" s="87"/>
      <c r="N1703" s="87"/>
      <c r="O1703" s="87"/>
      <c r="P1703" s="87"/>
      <c r="Q1703" s="87"/>
      <c r="R1703" s="87"/>
      <c r="S1703" s="87"/>
      <c r="T1703" s="87"/>
      <c r="U1703" s="87"/>
      <c r="V1703" s="87">
        <v>2</v>
      </c>
      <c r="W1703" s="87"/>
      <c r="X1703" s="87"/>
      <c r="Y1703" s="87"/>
      <c r="Z1703" s="87"/>
      <c r="AA1703" s="87"/>
      <c r="AB1703" s="87"/>
      <c r="AC1703" s="87">
        <v>1</v>
      </c>
      <c r="AD1703" s="87"/>
      <c r="AE1703" s="87"/>
      <c r="AF1703" s="87"/>
      <c r="AG1703" s="87"/>
      <c r="AH1703" s="87">
        <v>1</v>
      </c>
      <c r="AI1703" s="87"/>
      <c r="AJ1703" s="87"/>
      <c r="AK1703" s="87"/>
      <c r="AL1703" s="87"/>
      <c r="AM1703" s="87"/>
      <c r="AN1703" s="87"/>
      <c r="AO1703" s="87"/>
      <c r="AP1703" s="87">
        <v>1</v>
      </c>
      <c r="AQ1703" s="87">
        <v>1</v>
      </c>
      <c r="AR1703" s="87"/>
      <c r="AS1703" s="87"/>
      <c r="AT1703" s="87"/>
      <c r="AU1703" s="87"/>
      <c r="AV1703" s="87"/>
      <c r="AW1703" s="88" t="str">
        <f>HYPERLINK("http://www.openstreetmap.org/?mlat=32.476&amp;mlon=46.6927&amp;zoom=12#map=12/32.476/46.6927","Maplink1")</f>
        <v>Maplink1</v>
      </c>
      <c r="AX1703" s="88" t="str">
        <f>HYPERLINK("https://www.google.iq/maps/search/+32.476,46.6927/@32.476,46.6927,14z?hl=en","Maplink2")</f>
        <v>Maplink2</v>
      </c>
      <c r="AY1703" s="88" t="str">
        <f>HYPERLINK("http://www.bing.com/maps/?lvl=14&amp;sty=h&amp;cp=32.476~46.6927&amp;sp=point.32.476_46.6927","Maplink3")</f>
        <v>Maplink3</v>
      </c>
      <c r="AZ1703" s="76"/>
    </row>
    <row r="1704" spans="1:52" x14ac:dyDescent="0.25">
      <c r="A1704" s="86">
        <v>22504</v>
      </c>
      <c r="B1704" s="87" t="s">
        <v>21</v>
      </c>
      <c r="C1704" s="87" t="s">
        <v>3319</v>
      </c>
      <c r="D1704" s="87" t="s">
        <v>73</v>
      </c>
      <c r="E1704" s="87" t="s">
        <v>3323</v>
      </c>
      <c r="F1704" s="87">
        <v>32.1203880809</v>
      </c>
      <c r="G1704" s="87">
        <v>46.730477491199998</v>
      </c>
      <c r="H1704" s="86">
        <v>1</v>
      </c>
      <c r="I1704" s="86">
        <v>6</v>
      </c>
      <c r="J1704" s="87"/>
      <c r="K1704" s="87"/>
      <c r="L1704" s="87">
        <v>1</v>
      </c>
      <c r="M1704" s="87"/>
      <c r="N1704" s="87"/>
      <c r="O1704" s="87"/>
      <c r="P1704" s="87"/>
      <c r="Q1704" s="87"/>
      <c r="R1704" s="87"/>
      <c r="S1704" s="87"/>
      <c r="T1704" s="87"/>
      <c r="U1704" s="87"/>
      <c r="V1704" s="87"/>
      <c r="W1704" s="87"/>
      <c r="X1704" s="87"/>
      <c r="Y1704" s="87"/>
      <c r="Z1704" s="87"/>
      <c r="AA1704" s="87"/>
      <c r="AB1704" s="87"/>
      <c r="AC1704" s="87">
        <v>1</v>
      </c>
      <c r="AD1704" s="87"/>
      <c r="AE1704" s="87"/>
      <c r="AF1704" s="87"/>
      <c r="AG1704" s="87"/>
      <c r="AH1704" s="87"/>
      <c r="AI1704" s="87"/>
      <c r="AJ1704" s="87"/>
      <c r="AK1704" s="87"/>
      <c r="AL1704" s="87"/>
      <c r="AM1704" s="87"/>
      <c r="AN1704" s="87"/>
      <c r="AO1704" s="87">
        <v>1</v>
      </c>
      <c r="AP1704" s="87"/>
      <c r="AQ1704" s="87"/>
      <c r="AR1704" s="87"/>
      <c r="AS1704" s="87"/>
      <c r="AT1704" s="87"/>
      <c r="AU1704" s="87"/>
      <c r="AV1704" s="87"/>
      <c r="AW1704" s="88" t="str">
        <f>HYPERLINK("http://www.openstreetmap.org/?mlat=32.1204&amp;mlon=46.7305&amp;zoom=12#map=12/32.1204/46.7305","Maplink1")</f>
        <v>Maplink1</v>
      </c>
      <c r="AX1704" s="88" t="str">
        <f>HYPERLINK("https://www.google.iq/maps/search/+32.1204,46.7305/@32.1204,46.7305,14z?hl=en","Maplink2")</f>
        <v>Maplink2</v>
      </c>
      <c r="AY1704" s="88" t="str">
        <f>HYPERLINK("http://www.bing.com/maps/?lvl=14&amp;sty=h&amp;cp=32.1204~46.7305&amp;sp=point.32.1204_46.7305","Maplink3")</f>
        <v>Maplink3</v>
      </c>
      <c r="AZ1704" s="76"/>
    </row>
    <row r="1705" spans="1:52" x14ac:dyDescent="0.25">
      <c r="A1705" s="86">
        <v>16833</v>
      </c>
      <c r="B1705" s="87" t="s">
        <v>21</v>
      </c>
      <c r="C1705" s="87" t="s">
        <v>3319</v>
      </c>
      <c r="D1705" s="87" t="s">
        <v>3324</v>
      </c>
      <c r="E1705" s="87" t="s">
        <v>3325</v>
      </c>
      <c r="F1705" s="87">
        <v>32.118981844300002</v>
      </c>
      <c r="G1705" s="87">
        <v>46.733579133799999</v>
      </c>
      <c r="H1705" s="86">
        <v>1</v>
      </c>
      <c r="I1705" s="86">
        <v>6</v>
      </c>
      <c r="J1705" s="87"/>
      <c r="K1705" s="87"/>
      <c r="L1705" s="87"/>
      <c r="M1705" s="87"/>
      <c r="N1705" s="87"/>
      <c r="O1705" s="87"/>
      <c r="P1705" s="87"/>
      <c r="Q1705" s="87"/>
      <c r="R1705" s="87"/>
      <c r="S1705" s="87"/>
      <c r="T1705" s="87"/>
      <c r="U1705" s="87"/>
      <c r="V1705" s="87"/>
      <c r="W1705" s="87"/>
      <c r="X1705" s="87">
        <v>1</v>
      </c>
      <c r="Y1705" s="87"/>
      <c r="Z1705" s="87"/>
      <c r="AA1705" s="87"/>
      <c r="AB1705" s="87"/>
      <c r="AC1705" s="87"/>
      <c r="AD1705" s="87"/>
      <c r="AE1705" s="87"/>
      <c r="AF1705" s="87"/>
      <c r="AG1705" s="87"/>
      <c r="AH1705" s="87">
        <v>1</v>
      </c>
      <c r="AI1705" s="87"/>
      <c r="AJ1705" s="87"/>
      <c r="AK1705" s="87"/>
      <c r="AL1705" s="87"/>
      <c r="AM1705" s="87"/>
      <c r="AN1705" s="87"/>
      <c r="AO1705" s="87">
        <v>1</v>
      </c>
      <c r="AP1705" s="87"/>
      <c r="AQ1705" s="87"/>
      <c r="AR1705" s="87"/>
      <c r="AS1705" s="87"/>
      <c r="AT1705" s="87"/>
      <c r="AU1705" s="87"/>
      <c r="AV1705" s="87"/>
      <c r="AW1705" s="88" t="str">
        <f>HYPERLINK("http://www.openstreetmap.org/?mlat=32.119&amp;mlon=46.7336&amp;zoom=12#map=12/32.119/46.7336","Maplink1")</f>
        <v>Maplink1</v>
      </c>
      <c r="AX1705" s="88" t="str">
        <f>HYPERLINK("https://www.google.iq/maps/search/+32.119,46.7336/@32.119,46.7336,14z?hl=en","Maplink2")</f>
        <v>Maplink2</v>
      </c>
      <c r="AY1705" s="88" t="str">
        <f>HYPERLINK("http://www.bing.com/maps/?lvl=14&amp;sty=h&amp;cp=32.119~46.7336&amp;sp=point.32.119_46.7336","Maplink3")</f>
        <v>Maplink3</v>
      </c>
      <c r="AZ1705" s="76"/>
    </row>
    <row r="1706" spans="1:52" x14ac:dyDescent="0.25">
      <c r="A1706" s="86">
        <v>16834</v>
      </c>
      <c r="B1706" s="87" t="s">
        <v>21</v>
      </c>
      <c r="C1706" s="87" t="s">
        <v>3319</v>
      </c>
      <c r="D1706" s="87" t="s">
        <v>3326</v>
      </c>
      <c r="E1706" s="87" t="s">
        <v>3327</v>
      </c>
      <c r="F1706" s="87">
        <v>32.124015311900003</v>
      </c>
      <c r="G1706" s="87">
        <v>46.734736410399996</v>
      </c>
      <c r="H1706" s="86">
        <v>1</v>
      </c>
      <c r="I1706" s="86">
        <v>6</v>
      </c>
      <c r="J1706" s="87"/>
      <c r="K1706" s="87"/>
      <c r="L1706" s="87"/>
      <c r="M1706" s="87"/>
      <c r="N1706" s="87"/>
      <c r="O1706" s="87"/>
      <c r="P1706" s="87"/>
      <c r="Q1706" s="87"/>
      <c r="R1706" s="87"/>
      <c r="S1706" s="87"/>
      <c r="T1706" s="87"/>
      <c r="U1706" s="87"/>
      <c r="V1706" s="87">
        <v>1</v>
      </c>
      <c r="W1706" s="87"/>
      <c r="X1706" s="87"/>
      <c r="Y1706" s="87"/>
      <c r="Z1706" s="87"/>
      <c r="AA1706" s="87"/>
      <c r="AB1706" s="87"/>
      <c r="AC1706" s="87">
        <v>1</v>
      </c>
      <c r="AD1706" s="87"/>
      <c r="AE1706" s="87"/>
      <c r="AF1706" s="87"/>
      <c r="AG1706" s="87"/>
      <c r="AH1706" s="87"/>
      <c r="AI1706" s="87"/>
      <c r="AJ1706" s="87"/>
      <c r="AK1706" s="87"/>
      <c r="AL1706" s="87"/>
      <c r="AM1706" s="87"/>
      <c r="AN1706" s="87"/>
      <c r="AO1706" s="87"/>
      <c r="AP1706" s="87"/>
      <c r="AQ1706" s="87"/>
      <c r="AR1706" s="87"/>
      <c r="AS1706" s="87"/>
      <c r="AT1706" s="87">
        <v>1</v>
      </c>
      <c r="AU1706" s="87"/>
      <c r="AV1706" s="87"/>
      <c r="AW1706" s="88" t="str">
        <f>HYPERLINK("http://www.openstreetmap.org/?mlat=32.124&amp;mlon=46.7347&amp;zoom=12#map=12/32.124/46.7347","Maplink1")</f>
        <v>Maplink1</v>
      </c>
      <c r="AX1706" s="88" t="str">
        <f>HYPERLINK("https://www.google.iq/maps/search/+32.124,46.7347/@32.124,46.7347,14z?hl=en","Maplink2")</f>
        <v>Maplink2</v>
      </c>
      <c r="AY1706" s="88" t="str">
        <f>HYPERLINK("http://www.bing.com/maps/?lvl=14&amp;sty=h&amp;cp=32.124~46.7347&amp;sp=point.32.124_46.7347","Maplink3")</f>
        <v>Maplink3</v>
      </c>
      <c r="AZ1706" s="76"/>
    </row>
    <row r="1707" spans="1:52" x14ac:dyDescent="0.25">
      <c r="A1707" s="86">
        <v>15808</v>
      </c>
      <c r="B1707" s="87" t="s">
        <v>21</v>
      </c>
      <c r="C1707" s="87" t="s">
        <v>3319</v>
      </c>
      <c r="D1707" s="87" t="s">
        <v>3328</v>
      </c>
      <c r="E1707" s="87" t="s">
        <v>3329</v>
      </c>
      <c r="F1707" s="87">
        <v>32.478276521200002</v>
      </c>
      <c r="G1707" s="87">
        <v>46.6844933275</v>
      </c>
      <c r="H1707" s="86">
        <v>3</v>
      </c>
      <c r="I1707" s="86">
        <v>18</v>
      </c>
      <c r="J1707" s="87"/>
      <c r="K1707" s="87"/>
      <c r="L1707" s="87"/>
      <c r="M1707" s="87"/>
      <c r="N1707" s="87"/>
      <c r="O1707" s="87"/>
      <c r="P1707" s="87"/>
      <c r="Q1707" s="87"/>
      <c r="R1707" s="87"/>
      <c r="S1707" s="87"/>
      <c r="T1707" s="87"/>
      <c r="U1707" s="87"/>
      <c r="V1707" s="87">
        <v>1</v>
      </c>
      <c r="W1707" s="87"/>
      <c r="X1707" s="87">
        <v>2</v>
      </c>
      <c r="Y1707" s="87"/>
      <c r="Z1707" s="87"/>
      <c r="AA1707" s="87"/>
      <c r="AB1707" s="87"/>
      <c r="AC1707" s="87">
        <v>2</v>
      </c>
      <c r="AD1707" s="87"/>
      <c r="AE1707" s="87"/>
      <c r="AF1707" s="87"/>
      <c r="AG1707" s="87"/>
      <c r="AH1707" s="87">
        <v>1</v>
      </c>
      <c r="AI1707" s="87"/>
      <c r="AJ1707" s="87"/>
      <c r="AK1707" s="87"/>
      <c r="AL1707" s="87"/>
      <c r="AM1707" s="87"/>
      <c r="AN1707" s="87"/>
      <c r="AO1707" s="87">
        <v>2</v>
      </c>
      <c r="AP1707" s="87"/>
      <c r="AQ1707" s="87"/>
      <c r="AR1707" s="87">
        <v>1</v>
      </c>
      <c r="AS1707" s="87"/>
      <c r="AT1707" s="87"/>
      <c r="AU1707" s="87"/>
      <c r="AV1707" s="87"/>
      <c r="AW1707" s="88" t="str">
        <f>HYPERLINK("http://www.openstreetmap.org/?mlat=32.4783&amp;mlon=46.6845&amp;zoom=12#map=12/32.4783/46.6845","Maplink1")</f>
        <v>Maplink1</v>
      </c>
      <c r="AX1707" s="88" t="str">
        <f>HYPERLINK("https://www.google.iq/maps/search/+32.4783,46.6845/@32.4783,46.6845,14z?hl=en","Maplink2")</f>
        <v>Maplink2</v>
      </c>
      <c r="AY1707" s="88" t="str">
        <f>HYPERLINK("http://www.bing.com/maps/?lvl=14&amp;sty=h&amp;cp=32.4783~46.6845&amp;sp=point.32.4783_46.6845","Maplink3")</f>
        <v>Maplink3</v>
      </c>
      <c r="AZ1707" s="76"/>
    </row>
    <row r="1708" spans="1:52" x14ac:dyDescent="0.25">
      <c r="A1708" s="86">
        <v>24532</v>
      </c>
      <c r="B1708" s="87" t="s">
        <v>21</v>
      </c>
      <c r="C1708" s="87" t="s">
        <v>3330</v>
      </c>
      <c r="D1708" s="87" t="s">
        <v>3331</v>
      </c>
      <c r="E1708" s="87" t="s">
        <v>3332</v>
      </c>
      <c r="F1708" s="87">
        <v>31.807059212599999</v>
      </c>
      <c r="G1708" s="87">
        <v>47.178300262299999</v>
      </c>
      <c r="H1708" s="86">
        <v>116</v>
      </c>
      <c r="I1708" s="86">
        <v>696</v>
      </c>
      <c r="J1708" s="87">
        <v>8</v>
      </c>
      <c r="K1708" s="87">
        <v>1</v>
      </c>
      <c r="L1708" s="87"/>
      <c r="M1708" s="87"/>
      <c r="N1708" s="87"/>
      <c r="O1708" s="87">
        <v>1</v>
      </c>
      <c r="P1708" s="87"/>
      <c r="Q1708" s="87"/>
      <c r="R1708" s="87">
        <v>10</v>
      </c>
      <c r="S1708" s="87"/>
      <c r="T1708" s="87"/>
      <c r="U1708" s="87"/>
      <c r="V1708" s="87">
        <v>78</v>
      </c>
      <c r="W1708" s="87"/>
      <c r="X1708" s="87">
        <v>18</v>
      </c>
      <c r="Y1708" s="87"/>
      <c r="Z1708" s="87"/>
      <c r="AA1708" s="87"/>
      <c r="AB1708" s="87"/>
      <c r="AC1708" s="87">
        <v>46</v>
      </c>
      <c r="AD1708" s="87"/>
      <c r="AE1708" s="87"/>
      <c r="AF1708" s="87"/>
      <c r="AG1708" s="87"/>
      <c r="AH1708" s="87">
        <v>70</v>
      </c>
      <c r="AI1708" s="87"/>
      <c r="AJ1708" s="87"/>
      <c r="AK1708" s="87"/>
      <c r="AL1708" s="87"/>
      <c r="AM1708" s="87"/>
      <c r="AN1708" s="87">
        <v>3</v>
      </c>
      <c r="AO1708" s="87">
        <v>39</v>
      </c>
      <c r="AP1708" s="87">
        <v>40</v>
      </c>
      <c r="AQ1708" s="87">
        <v>17</v>
      </c>
      <c r="AR1708" s="87">
        <v>4</v>
      </c>
      <c r="AS1708" s="87"/>
      <c r="AT1708" s="87">
        <v>13</v>
      </c>
      <c r="AU1708" s="87"/>
      <c r="AV1708" s="87"/>
      <c r="AW1708" s="88" t="str">
        <f>HYPERLINK("http://www.openstreetmap.org/?mlat=31.8071&amp;mlon=47.1783&amp;zoom=12#map=12/31.8071/47.1783","Maplink1")</f>
        <v>Maplink1</v>
      </c>
      <c r="AX1708" s="88" t="str">
        <f>HYPERLINK("https://www.google.iq/maps/search/+31.8071,47.1783/@31.8071,47.1783,14z?hl=en","Maplink2")</f>
        <v>Maplink2</v>
      </c>
      <c r="AY1708" s="88" t="str">
        <f>HYPERLINK("http://www.bing.com/maps/?lvl=14&amp;sty=h&amp;cp=31.8071~47.1783&amp;sp=point.31.8071_47.1783","Maplink3")</f>
        <v>Maplink3</v>
      </c>
      <c r="AZ1708" s="76"/>
    </row>
    <row r="1709" spans="1:52" x14ac:dyDescent="0.25">
      <c r="A1709" s="86">
        <v>21620</v>
      </c>
      <c r="B1709" s="87" t="s">
        <v>21</v>
      </c>
      <c r="C1709" s="87" t="s">
        <v>3330</v>
      </c>
      <c r="D1709" s="87" t="s">
        <v>3333</v>
      </c>
      <c r="E1709" s="87" t="s">
        <v>3334</v>
      </c>
      <c r="F1709" s="87">
        <v>31.785735097500002</v>
      </c>
      <c r="G1709" s="87">
        <v>47.186136357800002</v>
      </c>
      <c r="H1709" s="86">
        <v>2</v>
      </c>
      <c r="I1709" s="86">
        <v>12</v>
      </c>
      <c r="J1709" s="87"/>
      <c r="K1709" s="87"/>
      <c r="L1709" s="87"/>
      <c r="M1709" s="87"/>
      <c r="N1709" s="87"/>
      <c r="O1709" s="87"/>
      <c r="P1709" s="87"/>
      <c r="Q1709" s="87"/>
      <c r="R1709" s="87"/>
      <c r="S1709" s="87"/>
      <c r="T1709" s="87"/>
      <c r="U1709" s="87"/>
      <c r="V1709" s="87">
        <v>2</v>
      </c>
      <c r="W1709" s="87"/>
      <c r="X1709" s="87"/>
      <c r="Y1709" s="87"/>
      <c r="Z1709" s="87"/>
      <c r="AA1709" s="87"/>
      <c r="AB1709" s="87"/>
      <c r="AC1709" s="87">
        <v>1</v>
      </c>
      <c r="AD1709" s="87"/>
      <c r="AE1709" s="87"/>
      <c r="AF1709" s="87"/>
      <c r="AG1709" s="87"/>
      <c r="AH1709" s="87">
        <v>1</v>
      </c>
      <c r="AI1709" s="87"/>
      <c r="AJ1709" s="87"/>
      <c r="AK1709" s="87"/>
      <c r="AL1709" s="87"/>
      <c r="AM1709" s="87"/>
      <c r="AN1709" s="87"/>
      <c r="AO1709" s="87">
        <v>1</v>
      </c>
      <c r="AP1709" s="87">
        <v>1</v>
      </c>
      <c r="AQ1709" s="87"/>
      <c r="AR1709" s="87"/>
      <c r="AS1709" s="87"/>
      <c r="AT1709" s="87"/>
      <c r="AU1709" s="87"/>
      <c r="AV1709" s="87"/>
      <c r="AW1709" s="88" t="str">
        <f>HYPERLINK("http://www.openstreetmap.org/?mlat=31.7857&amp;mlon=47.1861&amp;zoom=12#map=12/31.7857/47.1861","Maplink1")</f>
        <v>Maplink1</v>
      </c>
      <c r="AX1709" s="88" t="str">
        <f>HYPERLINK("https://www.google.iq/maps/search/+31.7857,47.1861/@31.7857,47.1861,14z?hl=en","Maplink2")</f>
        <v>Maplink2</v>
      </c>
      <c r="AY1709" s="88" t="str">
        <f>HYPERLINK("http://www.bing.com/maps/?lvl=14&amp;sty=h&amp;cp=31.7857~47.1861&amp;sp=point.31.7857_47.1861","Maplink3")</f>
        <v>Maplink3</v>
      </c>
      <c r="AZ1709" s="76"/>
    </row>
    <row r="1710" spans="1:52" x14ac:dyDescent="0.25">
      <c r="A1710" s="86">
        <v>24291</v>
      </c>
      <c r="B1710" s="87" t="s">
        <v>21</v>
      </c>
      <c r="C1710" s="87" t="s">
        <v>3330</v>
      </c>
      <c r="D1710" s="87" t="s">
        <v>3335</v>
      </c>
      <c r="E1710" s="87" t="s">
        <v>3336</v>
      </c>
      <c r="F1710" s="87">
        <v>31.8863477489</v>
      </c>
      <c r="G1710" s="87">
        <v>47.165878945899998</v>
      </c>
      <c r="H1710" s="86">
        <v>1</v>
      </c>
      <c r="I1710" s="86">
        <v>6</v>
      </c>
      <c r="J1710" s="87"/>
      <c r="K1710" s="87"/>
      <c r="L1710" s="87">
        <v>1</v>
      </c>
      <c r="M1710" s="87"/>
      <c r="N1710" s="87"/>
      <c r="O1710" s="87"/>
      <c r="P1710" s="87"/>
      <c r="Q1710" s="87"/>
      <c r="R1710" s="87"/>
      <c r="S1710" s="87"/>
      <c r="T1710" s="87"/>
      <c r="U1710" s="87"/>
      <c r="V1710" s="87"/>
      <c r="W1710" s="87"/>
      <c r="X1710" s="87"/>
      <c r="Y1710" s="87"/>
      <c r="Z1710" s="87"/>
      <c r="AA1710" s="87"/>
      <c r="AB1710" s="87"/>
      <c r="AC1710" s="87"/>
      <c r="AD1710" s="87"/>
      <c r="AE1710" s="87"/>
      <c r="AF1710" s="87"/>
      <c r="AG1710" s="87"/>
      <c r="AH1710" s="87">
        <v>1</v>
      </c>
      <c r="AI1710" s="87"/>
      <c r="AJ1710" s="87"/>
      <c r="AK1710" s="87"/>
      <c r="AL1710" s="87"/>
      <c r="AM1710" s="87"/>
      <c r="AN1710" s="87"/>
      <c r="AO1710" s="87">
        <v>1</v>
      </c>
      <c r="AP1710" s="87"/>
      <c r="AQ1710" s="87"/>
      <c r="AR1710" s="87"/>
      <c r="AS1710" s="87"/>
      <c r="AT1710" s="87"/>
      <c r="AU1710" s="87"/>
      <c r="AV1710" s="87"/>
      <c r="AW1710" s="88" t="str">
        <f>HYPERLINK("http://www.openstreetmap.org/?mlat=31.8863&amp;mlon=47.1659&amp;zoom=12#map=12/31.8863/47.1659","Maplink1")</f>
        <v>Maplink1</v>
      </c>
      <c r="AX1710" s="88" t="str">
        <f>HYPERLINK("https://www.google.iq/maps/search/+31.8863,47.1659/@31.8863,47.1659,14z?hl=en","Maplink2")</f>
        <v>Maplink2</v>
      </c>
      <c r="AY1710" s="88" t="str">
        <f>HYPERLINK("http://www.bing.com/maps/?lvl=14&amp;sty=h&amp;cp=31.8863~47.1659&amp;sp=point.31.8863_47.1659","Maplink3")</f>
        <v>Maplink3</v>
      </c>
      <c r="AZ1710" s="76"/>
    </row>
    <row r="1711" spans="1:52" x14ac:dyDescent="0.25">
      <c r="A1711" s="86">
        <v>22208</v>
      </c>
      <c r="B1711" s="87" t="s">
        <v>21</v>
      </c>
      <c r="C1711" s="87" t="s">
        <v>3330</v>
      </c>
      <c r="D1711" s="87" t="s">
        <v>2256</v>
      </c>
      <c r="E1711" s="87" t="s">
        <v>74</v>
      </c>
      <c r="F1711" s="87">
        <v>31.878118389299999</v>
      </c>
      <c r="G1711" s="87">
        <v>47.147346108599997</v>
      </c>
      <c r="H1711" s="86">
        <v>13</v>
      </c>
      <c r="I1711" s="86">
        <v>78</v>
      </c>
      <c r="J1711" s="87"/>
      <c r="K1711" s="87"/>
      <c r="L1711" s="87">
        <v>1</v>
      </c>
      <c r="M1711" s="87"/>
      <c r="N1711" s="87"/>
      <c r="O1711" s="87"/>
      <c r="P1711" s="87"/>
      <c r="Q1711" s="87"/>
      <c r="R1711" s="87">
        <v>4</v>
      </c>
      <c r="S1711" s="87"/>
      <c r="T1711" s="87"/>
      <c r="U1711" s="87"/>
      <c r="V1711" s="87">
        <v>8</v>
      </c>
      <c r="W1711" s="87"/>
      <c r="X1711" s="87"/>
      <c r="Y1711" s="87"/>
      <c r="Z1711" s="87"/>
      <c r="AA1711" s="87"/>
      <c r="AB1711" s="87"/>
      <c r="AC1711" s="87">
        <v>5</v>
      </c>
      <c r="AD1711" s="87"/>
      <c r="AE1711" s="87"/>
      <c r="AF1711" s="87"/>
      <c r="AG1711" s="87"/>
      <c r="AH1711" s="87">
        <v>8</v>
      </c>
      <c r="AI1711" s="87"/>
      <c r="AJ1711" s="87"/>
      <c r="AK1711" s="87"/>
      <c r="AL1711" s="87"/>
      <c r="AM1711" s="87"/>
      <c r="AN1711" s="87">
        <v>1</v>
      </c>
      <c r="AO1711" s="87">
        <v>4</v>
      </c>
      <c r="AP1711" s="87">
        <v>6</v>
      </c>
      <c r="AQ1711" s="87">
        <v>2</v>
      </c>
      <c r="AR1711" s="87"/>
      <c r="AS1711" s="87"/>
      <c r="AT1711" s="87"/>
      <c r="AU1711" s="87"/>
      <c r="AV1711" s="87"/>
      <c r="AW1711" s="88" t="str">
        <f>HYPERLINK("http://www.openstreetmap.org/?mlat=31.8781&amp;mlon=47.1473&amp;zoom=12#map=12/31.8781/47.1473","Maplink1")</f>
        <v>Maplink1</v>
      </c>
      <c r="AX1711" s="88" t="str">
        <f>HYPERLINK("https://www.google.iq/maps/search/+31.8781,47.1473/@31.8781,47.1473,14z?hl=en","Maplink2")</f>
        <v>Maplink2</v>
      </c>
      <c r="AY1711" s="88" t="str">
        <f>HYPERLINK("http://www.bing.com/maps/?lvl=14&amp;sty=h&amp;cp=31.8781~47.1473&amp;sp=point.31.8781_47.1473","Maplink3")</f>
        <v>Maplink3</v>
      </c>
      <c r="AZ1711" s="76"/>
    </row>
    <row r="1712" spans="1:52" x14ac:dyDescent="0.25">
      <c r="A1712" s="86">
        <v>24416</v>
      </c>
      <c r="B1712" s="87" t="s">
        <v>21</v>
      </c>
      <c r="C1712" s="87" t="s">
        <v>3330</v>
      </c>
      <c r="D1712" s="87" t="s">
        <v>3337</v>
      </c>
      <c r="E1712" s="87" t="s">
        <v>3338</v>
      </c>
      <c r="F1712" s="87">
        <v>31.843891181099998</v>
      </c>
      <c r="G1712" s="87">
        <v>47.125409916000002</v>
      </c>
      <c r="H1712" s="86">
        <v>1</v>
      </c>
      <c r="I1712" s="86">
        <v>6</v>
      </c>
      <c r="J1712" s="87"/>
      <c r="K1712" s="87"/>
      <c r="L1712" s="87"/>
      <c r="M1712" s="87"/>
      <c r="N1712" s="87"/>
      <c r="O1712" s="87"/>
      <c r="P1712" s="87"/>
      <c r="Q1712" s="87"/>
      <c r="R1712" s="87"/>
      <c r="S1712" s="87"/>
      <c r="T1712" s="87"/>
      <c r="U1712" s="87"/>
      <c r="V1712" s="87"/>
      <c r="W1712" s="87"/>
      <c r="X1712" s="87">
        <v>1</v>
      </c>
      <c r="Y1712" s="87"/>
      <c r="Z1712" s="87"/>
      <c r="AA1712" s="87"/>
      <c r="AB1712" s="87"/>
      <c r="AC1712" s="87"/>
      <c r="AD1712" s="87"/>
      <c r="AE1712" s="87"/>
      <c r="AF1712" s="87"/>
      <c r="AG1712" s="87"/>
      <c r="AH1712" s="87">
        <v>1</v>
      </c>
      <c r="AI1712" s="87"/>
      <c r="AJ1712" s="87"/>
      <c r="AK1712" s="87"/>
      <c r="AL1712" s="87"/>
      <c r="AM1712" s="87"/>
      <c r="AN1712" s="87"/>
      <c r="AO1712" s="87"/>
      <c r="AP1712" s="87">
        <v>1</v>
      </c>
      <c r="AQ1712" s="87"/>
      <c r="AR1712" s="87"/>
      <c r="AS1712" s="87"/>
      <c r="AT1712" s="87"/>
      <c r="AU1712" s="87"/>
      <c r="AV1712" s="87"/>
      <c r="AW1712" s="88" t="str">
        <f>HYPERLINK("http://www.openstreetmap.org/?mlat=31.8439&amp;mlon=47.1254&amp;zoom=12#map=12/31.8439/47.1254","Maplink1")</f>
        <v>Maplink1</v>
      </c>
      <c r="AX1712" s="88" t="str">
        <f>HYPERLINK("https://www.google.iq/maps/search/+31.8439,47.1254/@31.8439,47.1254,14z?hl=en","Maplink2")</f>
        <v>Maplink2</v>
      </c>
      <c r="AY1712" s="88" t="str">
        <f>HYPERLINK("http://www.bing.com/maps/?lvl=14&amp;sty=h&amp;cp=31.8439~47.1254&amp;sp=point.31.8439_47.1254","Maplink3")</f>
        <v>Maplink3</v>
      </c>
      <c r="AZ1712" s="76"/>
    </row>
    <row r="1713" spans="1:52" x14ac:dyDescent="0.25">
      <c r="A1713" s="86">
        <v>24290</v>
      </c>
      <c r="B1713" s="87" t="s">
        <v>21</v>
      </c>
      <c r="C1713" s="87" t="s">
        <v>3330</v>
      </c>
      <c r="D1713" s="87" t="s">
        <v>3339</v>
      </c>
      <c r="E1713" s="87" t="s">
        <v>3340</v>
      </c>
      <c r="F1713" s="87">
        <v>31.890140822900001</v>
      </c>
      <c r="G1713" s="87">
        <v>47.1269619025</v>
      </c>
      <c r="H1713" s="86">
        <v>3</v>
      </c>
      <c r="I1713" s="86">
        <v>18</v>
      </c>
      <c r="J1713" s="87"/>
      <c r="K1713" s="87"/>
      <c r="L1713" s="87">
        <v>1</v>
      </c>
      <c r="M1713" s="87"/>
      <c r="N1713" s="87"/>
      <c r="O1713" s="87"/>
      <c r="P1713" s="87"/>
      <c r="Q1713" s="87"/>
      <c r="R1713" s="87"/>
      <c r="S1713" s="87"/>
      <c r="T1713" s="87"/>
      <c r="U1713" s="87"/>
      <c r="V1713" s="87">
        <v>1</v>
      </c>
      <c r="W1713" s="87"/>
      <c r="X1713" s="87">
        <v>1</v>
      </c>
      <c r="Y1713" s="87"/>
      <c r="Z1713" s="87"/>
      <c r="AA1713" s="87"/>
      <c r="AB1713" s="87"/>
      <c r="AC1713" s="87"/>
      <c r="AD1713" s="87"/>
      <c r="AE1713" s="87"/>
      <c r="AF1713" s="87"/>
      <c r="AG1713" s="87"/>
      <c r="AH1713" s="87">
        <v>3</v>
      </c>
      <c r="AI1713" s="87"/>
      <c r="AJ1713" s="87"/>
      <c r="AK1713" s="87"/>
      <c r="AL1713" s="87"/>
      <c r="AM1713" s="87"/>
      <c r="AN1713" s="87"/>
      <c r="AO1713" s="87"/>
      <c r="AP1713" s="87">
        <v>1</v>
      </c>
      <c r="AQ1713" s="87">
        <v>2</v>
      </c>
      <c r="AR1713" s="87"/>
      <c r="AS1713" s="87"/>
      <c r="AT1713" s="87"/>
      <c r="AU1713" s="87"/>
      <c r="AV1713" s="87"/>
      <c r="AW1713" s="88" t="str">
        <f>HYPERLINK("http://www.openstreetmap.org/?mlat=31.8901&amp;mlon=47.127&amp;zoom=12#map=12/31.8901/47.127","Maplink1")</f>
        <v>Maplink1</v>
      </c>
      <c r="AX1713" s="88" t="str">
        <f>HYPERLINK("https://www.google.iq/maps/search/+31.8901,47.127/@31.8901,47.127,14z?hl=en","Maplink2")</f>
        <v>Maplink2</v>
      </c>
      <c r="AY1713" s="88" t="str">
        <f>HYPERLINK("http://www.bing.com/maps/?lvl=14&amp;sty=h&amp;cp=31.8901~47.127&amp;sp=point.31.8901_47.127","Maplink3")</f>
        <v>Maplink3</v>
      </c>
      <c r="AZ1713" s="76"/>
    </row>
    <row r="1714" spans="1:52" x14ac:dyDescent="0.25">
      <c r="A1714" s="86">
        <v>24808</v>
      </c>
      <c r="B1714" s="87" t="s">
        <v>21</v>
      </c>
      <c r="C1714" s="87" t="s">
        <v>3330</v>
      </c>
      <c r="D1714" s="87" t="s">
        <v>3341</v>
      </c>
      <c r="E1714" s="87" t="s">
        <v>3342</v>
      </c>
      <c r="F1714" s="87">
        <v>31.884478786999999</v>
      </c>
      <c r="G1714" s="87">
        <v>47.1678702906</v>
      </c>
      <c r="H1714" s="86">
        <v>15</v>
      </c>
      <c r="I1714" s="86">
        <v>90</v>
      </c>
      <c r="J1714" s="87"/>
      <c r="K1714" s="87"/>
      <c r="L1714" s="87"/>
      <c r="M1714" s="87"/>
      <c r="N1714" s="87"/>
      <c r="O1714" s="87">
        <v>1</v>
      </c>
      <c r="P1714" s="87"/>
      <c r="Q1714" s="87"/>
      <c r="R1714" s="87">
        <v>3</v>
      </c>
      <c r="S1714" s="87"/>
      <c r="T1714" s="87"/>
      <c r="U1714" s="87"/>
      <c r="V1714" s="87">
        <v>11</v>
      </c>
      <c r="W1714" s="87"/>
      <c r="X1714" s="87"/>
      <c r="Y1714" s="87"/>
      <c r="Z1714" s="87"/>
      <c r="AA1714" s="87"/>
      <c r="AB1714" s="87"/>
      <c r="AC1714" s="87"/>
      <c r="AD1714" s="87"/>
      <c r="AE1714" s="87">
        <v>15</v>
      </c>
      <c r="AF1714" s="87"/>
      <c r="AG1714" s="87"/>
      <c r="AH1714" s="87"/>
      <c r="AI1714" s="87"/>
      <c r="AJ1714" s="87"/>
      <c r="AK1714" s="87"/>
      <c r="AL1714" s="87"/>
      <c r="AM1714" s="87"/>
      <c r="AN1714" s="87"/>
      <c r="AO1714" s="87">
        <v>2</v>
      </c>
      <c r="AP1714" s="87">
        <v>13</v>
      </c>
      <c r="AQ1714" s="87"/>
      <c r="AR1714" s="87"/>
      <c r="AS1714" s="87"/>
      <c r="AT1714" s="87"/>
      <c r="AU1714" s="87"/>
      <c r="AV1714" s="87"/>
      <c r="AW1714" s="88" t="str">
        <f>HYPERLINK("http://www.openstreetmap.org/?mlat=31.8845&amp;mlon=47.1679&amp;zoom=12#map=12/31.8845/47.1679","Maplink1")</f>
        <v>Maplink1</v>
      </c>
      <c r="AX1714" s="88" t="str">
        <f>HYPERLINK("https://www.google.iq/maps/search/+31.8845,47.1679/@31.8845,47.1679,14z?hl=en","Maplink2")</f>
        <v>Maplink2</v>
      </c>
      <c r="AY1714" s="88" t="str">
        <f>HYPERLINK("http://www.bing.com/maps/?lvl=14&amp;sty=h&amp;cp=31.8845~47.1679&amp;sp=point.31.8845_47.1679","Maplink3")</f>
        <v>Maplink3</v>
      </c>
      <c r="AZ1714" s="76"/>
    </row>
    <row r="1715" spans="1:52" x14ac:dyDescent="0.25">
      <c r="A1715" s="86">
        <v>16835</v>
      </c>
      <c r="B1715" s="87" t="s">
        <v>21</v>
      </c>
      <c r="C1715" s="87" t="s">
        <v>3330</v>
      </c>
      <c r="D1715" s="87" t="s">
        <v>3296</v>
      </c>
      <c r="E1715" s="87" t="s">
        <v>3297</v>
      </c>
      <c r="F1715" s="87">
        <v>31.8449049303</v>
      </c>
      <c r="G1715" s="87">
        <v>47.1328791225</v>
      </c>
      <c r="H1715" s="86">
        <v>11</v>
      </c>
      <c r="I1715" s="86">
        <v>66</v>
      </c>
      <c r="J1715" s="87"/>
      <c r="K1715" s="87"/>
      <c r="L1715" s="87"/>
      <c r="M1715" s="87"/>
      <c r="N1715" s="87"/>
      <c r="O1715" s="87"/>
      <c r="P1715" s="87"/>
      <c r="Q1715" s="87"/>
      <c r="R1715" s="87"/>
      <c r="S1715" s="87"/>
      <c r="T1715" s="87"/>
      <c r="U1715" s="87"/>
      <c r="V1715" s="87">
        <v>6</v>
      </c>
      <c r="W1715" s="87"/>
      <c r="X1715" s="87">
        <v>5</v>
      </c>
      <c r="Y1715" s="87"/>
      <c r="Z1715" s="87"/>
      <c r="AA1715" s="87"/>
      <c r="AB1715" s="87"/>
      <c r="AC1715" s="87">
        <v>6</v>
      </c>
      <c r="AD1715" s="87"/>
      <c r="AE1715" s="87"/>
      <c r="AF1715" s="87"/>
      <c r="AG1715" s="87"/>
      <c r="AH1715" s="87">
        <v>5</v>
      </c>
      <c r="AI1715" s="87"/>
      <c r="AJ1715" s="87"/>
      <c r="AK1715" s="87"/>
      <c r="AL1715" s="87"/>
      <c r="AM1715" s="87"/>
      <c r="AN1715" s="87">
        <v>1</v>
      </c>
      <c r="AO1715" s="87">
        <v>5</v>
      </c>
      <c r="AP1715" s="87">
        <v>4</v>
      </c>
      <c r="AQ1715" s="87"/>
      <c r="AR1715" s="87"/>
      <c r="AS1715" s="87"/>
      <c r="AT1715" s="87">
        <v>1</v>
      </c>
      <c r="AU1715" s="87"/>
      <c r="AV1715" s="87"/>
      <c r="AW1715" s="88" t="str">
        <f>HYPERLINK("http://www.openstreetmap.org/?mlat=31.8449&amp;mlon=47.1329&amp;zoom=12#map=12/31.8449/47.1329","Maplink1")</f>
        <v>Maplink1</v>
      </c>
      <c r="AX1715" s="88" t="str">
        <f>HYPERLINK("https://www.google.iq/maps/search/+31.8449,47.1329/@31.8449,47.1329,14z?hl=en","Maplink2")</f>
        <v>Maplink2</v>
      </c>
      <c r="AY1715" s="88" t="str">
        <f>HYPERLINK("http://www.bing.com/maps/?lvl=14&amp;sty=h&amp;cp=31.8449~47.1329&amp;sp=point.31.8449_47.1329","Maplink3")</f>
        <v>Maplink3</v>
      </c>
      <c r="AZ1715" s="76"/>
    </row>
    <row r="1716" spans="1:52" x14ac:dyDescent="0.25">
      <c r="A1716" s="86">
        <v>24289</v>
      </c>
      <c r="B1716" s="87" t="s">
        <v>21</v>
      </c>
      <c r="C1716" s="87" t="s">
        <v>3330</v>
      </c>
      <c r="D1716" s="87" t="s">
        <v>3343</v>
      </c>
      <c r="E1716" s="87" t="s">
        <v>3344</v>
      </c>
      <c r="F1716" s="87">
        <v>31.843498782299999</v>
      </c>
      <c r="G1716" s="87">
        <v>47.137739863199997</v>
      </c>
      <c r="H1716" s="86">
        <v>3</v>
      </c>
      <c r="I1716" s="86">
        <v>18</v>
      </c>
      <c r="J1716" s="87"/>
      <c r="K1716" s="87"/>
      <c r="L1716" s="87"/>
      <c r="M1716" s="87"/>
      <c r="N1716" s="87"/>
      <c r="O1716" s="87">
        <v>1</v>
      </c>
      <c r="P1716" s="87"/>
      <c r="Q1716" s="87"/>
      <c r="R1716" s="87"/>
      <c r="S1716" s="87"/>
      <c r="T1716" s="87"/>
      <c r="U1716" s="87"/>
      <c r="V1716" s="87">
        <v>1</v>
      </c>
      <c r="W1716" s="87"/>
      <c r="X1716" s="87">
        <v>1</v>
      </c>
      <c r="Y1716" s="87"/>
      <c r="Z1716" s="87"/>
      <c r="AA1716" s="87"/>
      <c r="AB1716" s="87"/>
      <c r="AC1716" s="87">
        <v>3</v>
      </c>
      <c r="AD1716" s="87"/>
      <c r="AE1716" s="87"/>
      <c r="AF1716" s="87"/>
      <c r="AG1716" s="87"/>
      <c r="AH1716" s="87"/>
      <c r="AI1716" s="87"/>
      <c r="AJ1716" s="87"/>
      <c r="AK1716" s="87"/>
      <c r="AL1716" s="87"/>
      <c r="AM1716" s="87"/>
      <c r="AN1716" s="87"/>
      <c r="AO1716" s="87">
        <v>1</v>
      </c>
      <c r="AP1716" s="87"/>
      <c r="AQ1716" s="87">
        <v>1</v>
      </c>
      <c r="AR1716" s="87"/>
      <c r="AS1716" s="87"/>
      <c r="AT1716" s="87">
        <v>1</v>
      </c>
      <c r="AU1716" s="87"/>
      <c r="AV1716" s="87"/>
      <c r="AW1716" s="88" t="str">
        <f>HYPERLINK("http://www.openstreetmap.org/?mlat=31.8435&amp;mlon=47.1377&amp;zoom=12#map=12/31.8435/47.1377","Maplink1")</f>
        <v>Maplink1</v>
      </c>
      <c r="AX1716" s="88" t="str">
        <f>HYPERLINK("https://www.google.iq/maps/search/+31.8435,47.1377/@31.8435,47.1377,14z?hl=en","Maplink2")</f>
        <v>Maplink2</v>
      </c>
      <c r="AY1716" s="88" t="str">
        <f>HYPERLINK("http://www.bing.com/maps/?lvl=14&amp;sty=h&amp;cp=31.8435~47.1377&amp;sp=point.31.8435_47.1377","Maplink3")</f>
        <v>Maplink3</v>
      </c>
      <c r="AZ1716" s="76"/>
    </row>
    <row r="1717" spans="1:52" x14ac:dyDescent="0.25">
      <c r="A1717" s="86">
        <v>24370</v>
      </c>
      <c r="B1717" s="87" t="s">
        <v>21</v>
      </c>
      <c r="C1717" s="87" t="s">
        <v>3330</v>
      </c>
      <c r="D1717" s="87" t="s">
        <v>3345</v>
      </c>
      <c r="E1717" s="87" t="s">
        <v>3346</v>
      </c>
      <c r="F1717" s="87">
        <v>31.8325571297</v>
      </c>
      <c r="G1717" s="87">
        <v>47.115691350799999</v>
      </c>
      <c r="H1717" s="86">
        <v>3</v>
      </c>
      <c r="I1717" s="86">
        <v>18</v>
      </c>
      <c r="J1717" s="87"/>
      <c r="K1717" s="87"/>
      <c r="L1717" s="87"/>
      <c r="M1717" s="87"/>
      <c r="N1717" s="87"/>
      <c r="O1717" s="87">
        <v>2</v>
      </c>
      <c r="P1717" s="87"/>
      <c r="Q1717" s="87"/>
      <c r="R1717" s="87"/>
      <c r="S1717" s="87"/>
      <c r="T1717" s="87"/>
      <c r="U1717" s="87"/>
      <c r="V1717" s="87">
        <v>1</v>
      </c>
      <c r="W1717" s="87"/>
      <c r="X1717" s="87"/>
      <c r="Y1717" s="87"/>
      <c r="Z1717" s="87"/>
      <c r="AA1717" s="87"/>
      <c r="AB1717" s="87"/>
      <c r="AC1717" s="87">
        <v>1</v>
      </c>
      <c r="AD1717" s="87"/>
      <c r="AE1717" s="87">
        <v>1</v>
      </c>
      <c r="AF1717" s="87"/>
      <c r="AG1717" s="87"/>
      <c r="AH1717" s="87">
        <v>1</v>
      </c>
      <c r="AI1717" s="87"/>
      <c r="AJ1717" s="87"/>
      <c r="AK1717" s="87"/>
      <c r="AL1717" s="87"/>
      <c r="AM1717" s="87"/>
      <c r="AN1717" s="87">
        <v>1</v>
      </c>
      <c r="AO1717" s="87">
        <v>1</v>
      </c>
      <c r="AP1717" s="87">
        <v>1</v>
      </c>
      <c r="AQ1717" s="87"/>
      <c r="AR1717" s="87"/>
      <c r="AS1717" s="87"/>
      <c r="AT1717" s="87"/>
      <c r="AU1717" s="87"/>
      <c r="AV1717" s="87"/>
      <c r="AW1717" s="88" t="str">
        <f>HYPERLINK("http://www.openstreetmap.org/?mlat=31.8326&amp;mlon=47.1157&amp;zoom=12#map=12/31.8326/47.1157","Maplink1")</f>
        <v>Maplink1</v>
      </c>
      <c r="AX1717" s="88" t="str">
        <f>HYPERLINK("https://www.google.iq/maps/search/+31.8326,47.1157/@31.8326,47.1157,14z?hl=en","Maplink2")</f>
        <v>Maplink2</v>
      </c>
      <c r="AY1717" s="88" t="str">
        <f>HYPERLINK("http://www.bing.com/maps/?lvl=14&amp;sty=h&amp;cp=31.8326~47.1157&amp;sp=point.31.8326_47.1157","Maplink3")</f>
        <v>Maplink3</v>
      </c>
      <c r="AZ1717" s="76"/>
    </row>
    <row r="1718" spans="1:52" x14ac:dyDescent="0.25">
      <c r="A1718" s="86">
        <v>16889</v>
      </c>
      <c r="B1718" s="87" t="s">
        <v>21</v>
      </c>
      <c r="C1718" s="87" t="s">
        <v>3330</v>
      </c>
      <c r="D1718" s="87" t="s">
        <v>3347</v>
      </c>
      <c r="E1718" s="87" t="s">
        <v>3348</v>
      </c>
      <c r="F1718" s="87">
        <v>32.034983394000001</v>
      </c>
      <c r="G1718" s="87">
        <v>46.875638847700003</v>
      </c>
      <c r="H1718" s="86">
        <v>1</v>
      </c>
      <c r="I1718" s="86">
        <v>6</v>
      </c>
      <c r="J1718" s="87"/>
      <c r="K1718" s="87"/>
      <c r="L1718" s="87"/>
      <c r="M1718" s="87"/>
      <c r="N1718" s="87"/>
      <c r="O1718" s="87"/>
      <c r="P1718" s="87"/>
      <c r="Q1718" s="87"/>
      <c r="R1718" s="87">
        <v>1</v>
      </c>
      <c r="S1718" s="87"/>
      <c r="T1718" s="87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87"/>
      <c r="AE1718" s="87"/>
      <c r="AF1718" s="87"/>
      <c r="AG1718" s="87"/>
      <c r="AH1718" s="87">
        <v>1</v>
      </c>
      <c r="AI1718" s="87"/>
      <c r="AJ1718" s="87"/>
      <c r="AK1718" s="87"/>
      <c r="AL1718" s="87"/>
      <c r="AM1718" s="87"/>
      <c r="AN1718" s="87"/>
      <c r="AO1718" s="87">
        <v>1</v>
      </c>
      <c r="AP1718" s="87"/>
      <c r="AQ1718" s="87"/>
      <c r="AR1718" s="87"/>
      <c r="AS1718" s="87"/>
      <c r="AT1718" s="87"/>
      <c r="AU1718" s="87"/>
      <c r="AV1718" s="87"/>
      <c r="AW1718" s="88" t="str">
        <f>HYPERLINK("http://www.openstreetmap.org/?mlat=32.035&amp;mlon=46.8756&amp;zoom=12#map=12/32.035/46.8756","Maplink1")</f>
        <v>Maplink1</v>
      </c>
      <c r="AX1718" s="88" t="str">
        <f>HYPERLINK("https://www.google.iq/maps/search/+32.035,46.8756/@32.035,46.8756,14z?hl=en","Maplink2")</f>
        <v>Maplink2</v>
      </c>
      <c r="AY1718" s="88" t="str">
        <f>HYPERLINK("http://www.bing.com/maps/?lvl=14&amp;sty=h&amp;cp=32.035~46.8756&amp;sp=point.32.035_46.8756","Maplink3")</f>
        <v>Maplink3</v>
      </c>
      <c r="AZ1718" s="76"/>
    </row>
    <row r="1719" spans="1:52" x14ac:dyDescent="0.25">
      <c r="A1719" s="86">
        <v>24369</v>
      </c>
      <c r="B1719" s="87" t="s">
        <v>21</v>
      </c>
      <c r="C1719" s="87" t="s">
        <v>3330</v>
      </c>
      <c r="D1719" s="87" t="s">
        <v>3349</v>
      </c>
      <c r="E1719" s="87" t="s">
        <v>3350</v>
      </c>
      <c r="F1719" s="87">
        <v>31.872039455900001</v>
      </c>
      <c r="G1719" s="87">
        <v>47.121224077400001</v>
      </c>
      <c r="H1719" s="86">
        <v>1</v>
      </c>
      <c r="I1719" s="86">
        <v>6</v>
      </c>
      <c r="J1719" s="87">
        <v>1</v>
      </c>
      <c r="K1719" s="87"/>
      <c r="L1719" s="87"/>
      <c r="M1719" s="87"/>
      <c r="N1719" s="87"/>
      <c r="O1719" s="87"/>
      <c r="P1719" s="87"/>
      <c r="Q1719" s="87"/>
      <c r="R1719" s="87"/>
      <c r="S1719" s="87"/>
      <c r="T1719" s="87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87"/>
      <c r="AE1719" s="87"/>
      <c r="AF1719" s="87"/>
      <c r="AG1719" s="87"/>
      <c r="AH1719" s="87">
        <v>1</v>
      </c>
      <c r="AI1719" s="87"/>
      <c r="AJ1719" s="87"/>
      <c r="AK1719" s="87"/>
      <c r="AL1719" s="87"/>
      <c r="AM1719" s="87"/>
      <c r="AN1719" s="87">
        <v>1</v>
      </c>
      <c r="AO1719" s="87"/>
      <c r="AP1719" s="87"/>
      <c r="AQ1719" s="87"/>
      <c r="AR1719" s="87"/>
      <c r="AS1719" s="87"/>
      <c r="AT1719" s="87"/>
      <c r="AU1719" s="87"/>
      <c r="AV1719" s="87"/>
      <c r="AW1719" s="88" t="str">
        <f>HYPERLINK("http://www.openstreetmap.org/?mlat=31.872&amp;mlon=47.1212&amp;zoom=12#map=12/31.872/47.1212","Maplink1")</f>
        <v>Maplink1</v>
      </c>
      <c r="AX1719" s="88" t="str">
        <f>HYPERLINK("https://www.google.iq/maps/search/+31.872,47.1212/@31.872,47.1212,14z?hl=en","Maplink2")</f>
        <v>Maplink2</v>
      </c>
      <c r="AY1719" s="88" t="str">
        <f>HYPERLINK("http://www.bing.com/maps/?lvl=14&amp;sty=h&amp;cp=31.872~47.1212&amp;sp=point.31.872_47.1212","Maplink3")</f>
        <v>Maplink3</v>
      </c>
      <c r="AZ1719" s="76"/>
    </row>
    <row r="1720" spans="1:52" x14ac:dyDescent="0.25">
      <c r="A1720" s="86">
        <v>16505</v>
      </c>
      <c r="B1720" s="87" t="s">
        <v>21</v>
      </c>
      <c r="C1720" s="87" t="s">
        <v>3330</v>
      </c>
      <c r="D1720" s="87" t="s">
        <v>3351</v>
      </c>
      <c r="E1720" s="87" t="s">
        <v>3352</v>
      </c>
      <c r="F1720" s="87">
        <v>31.843300127300001</v>
      </c>
      <c r="G1720" s="87">
        <v>47.152449237500001</v>
      </c>
      <c r="H1720" s="86">
        <v>3</v>
      </c>
      <c r="I1720" s="86">
        <v>18</v>
      </c>
      <c r="J1720" s="87"/>
      <c r="K1720" s="87"/>
      <c r="L1720" s="87"/>
      <c r="M1720" s="87"/>
      <c r="N1720" s="87"/>
      <c r="O1720" s="87"/>
      <c r="P1720" s="87"/>
      <c r="Q1720" s="87"/>
      <c r="R1720" s="87"/>
      <c r="S1720" s="87"/>
      <c r="T1720" s="87"/>
      <c r="U1720" s="87"/>
      <c r="V1720" s="87">
        <v>2</v>
      </c>
      <c r="W1720" s="87"/>
      <c r="X1720" s="87">
        <v>1</v>
      </c>
      <c r="Y1720" s="87"/>
      <c r="Z1720" s="87"/>
      <c r="AA1720" s="87"/>
      <c r="AB1720" s="87"/>
      <c r="AC1720" s="87">
        <v>1</v>
      </c>
      <c r="AD1720" s="87"/>
      <c r="AE1720" s="87"/>
      <c r="AF1720" s="87"/>
      <c r="AG1720" s="87"/>
      <c r="AH1720" s="87">
        <v>2</v>
      </c>
      <c r="AI1720" s="87"/>
      <c r="AJ1720" s="87"/>
      <c r="AK1720" s="87"/>
      <c r="AL1720" s="87"/>
      <c r="AM1720" s="87"/>
      <c r="AN1720" s="87"/>
      <c r="AO1720" s="87">
        <v>1</v>
      </c>
      <c r="AP1720" s="87">
        <v>1</v>
      </c>
      <c r="AQ1720" s="87">
        <v>1</v>
      </c>
      <c r="AR1720" s="87"/>
      <c r="AS1720" s="87"/>
      <c r="AT1720" s="87"/>
      <c r="AU1720" s="87"/>
      <c r="AV1720" s="87"/>
      <c r="AW1720" s="88" t="str">
        <f>HYPERLINK("http://www.openstreetmap.org/?mlat=31.8433&amp;mlon=47.1524&amp;zoom=12#map=12/31.8433/47.1524","Maplink1")</f>
        <v>Maplink1</v>
      </c>
      <c r="AX1720" s="88" t="str">
        <f>HYPERLINK("https://www.google.iq/maps/search/+31.8433,47.1524/@31.8433,47.1524,14z?hl=en","Maplink2")</f>
        <v>Maplink2</v>
      </c>
      <c r="AY1720" s="88" t="str">
        <f>HYPERLINK("http://www.bing.com/maps/?lvl=14&amp;sty=h&amp;cp=31.8433~47.1524&amp;sp=point.31.8433_47.1524","Maplink3")</f>
        <v>Maplink3</v>
      </c>
      <c r="AZ1720" s="76"/>
    </row>
    <row r="1721" spans="1:52" x14ac:dyDescent="0.25">
      <c r="A1721" s="86">
        <v>24371</v>
      </c>
      <c r="B1721" s="87" t="s">
        <v>21</v>
      </c>
      <c r="C1721" s="87" t="s">
        <v>3330</v>
      </c>
      <c r="D1721" s="87" t="s">
        <v>3353</v>
      </c>
      <c r="E1721" s="87" t="s">
        <v>3354</v>
      </c>
      <c r="F1721" s="87">
        <v>31.862702256999999</v>
      </c>
      <c r="G1721" s="87">
        <v>47.175380439599998</v>
      </c>
      <c r="H1721" s="86">
        <v>2</v>
      </c>
      <c r="I1721" s="86">
        <v>12</v>
      </c>
      <c r="J1721" s="87"/>
      <c r="K1721" s="87"/>
      <c r="L1721" s="87"/>
      <c r="M1721" s="87"/>
      <c r="N1721" s="87"/>
      <c r="O1721" s="87"/>
      <c r="P1721" s="87"/>
      <c r="Q1721" s="87"/>
      <c r="R1721" s="87">
        <v>1</v>
      </c>
      <c r="S1721" s="87"/>
      <c r="T1721" s="87"/>
      <c r="U1721" s="87"/>
      <c r="V1721" s="87">
        <v>1</v>
      </c>
      <c r="W1721" s="87"/>
      <c r="X1721" s="87"/>
      <c r="Y1721" s="87"/>
      <c r="Z1721" s="87"/>
      <c r="AA1721" s="87"/>
      <c r="AB1721" s="87"/>
      <c r="AC1721" s="87">
        <v>1</v>
      </c>
      <c r="AD1721" s="87"/>
      <c r="AE1721" s="87">
        <v>1</v>
      </c>
      <c r="AF1721" s="87"/>
      <c r="AG1721" s="87"/>
      <c r="AH1721" s="87"/>
      <c r="AI1721" s="87"/>
      <c r="AJ1721" s="87"/>
      <c r="AK1721" s="87"/>
      <c r="AL1721" s="87"/>
      <c r="AM1721" s="87"/>
      <c r="AN1721" s="87"/>
      <c r="AO1721" s="87"/>
      <c r="AP1721" s="87">
        <v>1</v>
      </c>
      <c r="AQ1721" s="87">
        <v>1</v>
      </c>
      <c r="AR1721" s="87"/>
      <c r="AS1721" s="87"/>
      <c r="AT1721" s="87"/>
      <c r="AU1721" s="87"/>
      <c r="AV1721" s="87"/>
      <c r="AW1721" s="88" t="str">
        <f>HYPERLINK("http://www.openstreetmap.org/?mlat=31.8627&amp;mlon=47.1754&amp;zoom=12#map=12/31.8627/47.1754","Maplink1")</f>
        <v>Maplink1</v>
      </c>
      <c r="AX1721" s="88" t="str">
        <f>HYPERLINK("https://www.google.iq/maps/search/+31.8627,47.1754/@31.8627,47.1754,14z?hl=en","Maplink2")</f>
        <v>Maplink2</v>
      </c>
      <c r="AY1721" s="88" t="str">
        <f>HYPERLINK("http://www.bing.com/maps/?lvl=14&amp;sty=h&amp;cp=31.8627~47.1754&amp;sp=point.31.8627_47.1754","Maplink3")</f>
        <v>Maplink3</v>
      </c>
      <c r="AZ1721" s="76"/>
    </row>
    <row r="1722" spans="1:52" x14ac:dyDescent="0.25">
      <c r="A1722" s="86">
        <v>16568</v>
      </c>
      <c r="B1722" s="87" t="s">
        <v>21</v>
      </c>
      <c r="C1722" s="87" t="s">
        <v>3330</v>
      </c>
      <c r="D1722" s="87" t="s">
        <v>3355</v>
      </c>
      <c r="E1722" s="87" t="s">
        <v>3356</v>
      </c>
      <c r="F1722" s="87">
        <v>31.860272044799999</v>
      </c>
      <c r="G1722" s="87">
        <v>47.159043087900002</v>
      </c>
      <c r="H1722" s="86">
        <v>3</v>
      </c>
      <c r="I1722" s="86">
        <v>18</v>
      </c>
      <c r="J1722" s="87">
        <v>2</v>
      </c>
      <c r="K1722" s="87"/>
      <c r="L1722" s="87"/>
      <c r="M1722" s="87"/>
      <c r="N1722" s="87"/>
      <c r="O1722" s="87"/>
      <c r="P1722" s="87"/>
      <c r="Q1722" s="87"/>
      <c r="R1722" s="87"/>
      <c r="S1722" s="87"/>
      <c r="T1722" s="87"/>
      <c r="U1722" s="87"/>
      <c r="V1722" s="87">
        <v>1</v>
      </c>
      <c r="W1722" s="87"/>
      <c r="X1722" s="87"/>
      <c r="Y1722" s="87"/>
      <c r="Z1722" s="87"/>
      <c r="AA1722" s="87"/>
      <c r="AB1722" s="87"/>
      <c r="AC1722" s="87">
        <v>2</v>
      </c>
      <c r="AD1722" s="87"/>
      <c r="AE1722" s="87"/>
      <c r="AF1722" s="87"/>
      <c r="AG1722" s="87"/>
      <c r="AH1722" s="87">
        <v>1</v>
      </c>
      <c r="AI1722" s="87"/>
      <c r="AJ1722" s="87"/>
      <c r="AK1722" s="87"/>
      <c r="AL1722" s="87"/>
      <c r="AM1722" s="87"/>
      <c r="AN1722" s="87">
        <v>1</v>
      </c>
      <c r="AO1722" s="87"/>
      <c r="AP1722" s="87"/>
      <c r="AQ1722" s="87"/>
      <c r="AR1722" s="87">
        <v>1</v>
      </c>
      <c r="AS1722" s="87"/>
      <c r="AT1722" s="87">
        <v>1</v>
      </c>
      <c r="AU1722" s="87"/>
      <c r="AV1722" s="87"/>
      <c r="AW1722" s="88" t="str">
        <f>HYPERLINK("http://www.openstreetmap.org/?mlat=31.8603&amp;mlon=47.159&amp;zoom=12#map=12/31.8603/47.159","Maplink1")</f>
        <v>Maplink1</v>
      </c>
      <c r="AX1722" s="88" t="str">
        <f>HYPERLINK("https://www.google.iq/maps/search/+31.8603,47.159/@31.8603,47.159,14z?hl=en","Maplink2")</f>
        <v>Maplink2</v>
      </c>
      <c r="AY1722" s="88" t="str">
        <f>HYPERLINK("http://www.bing.com/maps/?lvl=14&amp;sty=h&amp;cp=31.8603~47.159&amp;sp=point.31.8603_47.159","Maplink3")</f>
        <v>Maplink3</v>
      </c>
      <c r="AZ1722" s="76"/>
    </row>
    <row r="1723" spans="1:52" x14ac:dyDescent="0.25">
      <c r="A1723" s="86">
        <v>20844</v>
      </c>
      <c r="B1723" s="87" t="s">
        <v>21</v>
      </c>
      <c r="C1723" s="87" t="s">
        <v>3330</v>
      </c>
      <c r="D1723" s="87" t="s">
        <v>3357</v>
      </c>
      <c r="E1723" s="87" t="s">
        <v>1865</v>
      </c>
      <c r="F1723" s="87">
        <v>31.849890863500001</v>
      </c>
      <c r="G1723" s="87">
        <v>47.120348796400002</v>
      </c>
      <c r="H1723" s="86">
        <v>9</v>
      </c>
      <c r="I1723" s="86">
        <v>54</v>
      </c>
      <c r="J1723" s="87"/>
      <c r="K1723" s="87"/>
      <c r="L1723" s="87"/>
      <c r="M1723" s="87"/>
      <c r="N1723" s="87"/>
      <c r="O1723" s="87"/>
      <c r="P1723" s="87"/>
      <c r="Q1723" s="87"/>
      <c r="R1723" s="87">
        <v>5</v>
      </c>
      <c r="S1723" s="87"/>
      <c r="T1723" s="87"/>
      <c r="U1723" s="87"/>
      <c r="V1723" s="87">
        <v>3</v>
      </c>
      <c r="W1723" s="87"/>
      <c r="X1723" s="87">
        <v>1</v>
      </c>
      <c r="Y1723" s="87"/>
      <c r="Z1723" s="87"/>
      <c r="AA1723" s="87"/>
      <c r="AB1723" s="87"/>
      <c r="AC1723" s="87">
        <v>4</v>
      </c>
      <c r="AD1723" s="87"/>
      <c r="AE1723" s="87">
        <v>3</v>
      </c>
      <c r="AF1723" s="87"/>
      <c r="AG1723" s="87"/>
      <c r="AH1723" s="87">
        <v>2</v>
      </c>
      <c r="AI1723" s="87"/>
      <c r="AJ1723" s="87"/>
      <c r="AK1723" s="87"/>
      <c r="AL1723" s="87"/>
      <c r="AM1723" s="87"/>
      <c r="AN1723" s="87"/>
      <c r="AO1723" s="87">
        <v>4</v>
      </c>
      <c r="AP1723" s="87">
        <v>2</v>
      </c>
      <c r="AQ1723" s="87">
        <v>2</v>
      </c>
      <c r="AR1723" s="87"/>
      <c r="AS1723" s="87"/>
      <c r="AT1723" s="87">
        <v>1</v>
      </c>
      <c r="AU1723" s="87"/>
      <c r="AV1723" s="87"/>
      <c r="AW1723" s="88" t="str">
        <f>HYPERLINK("http://www.openstreetmap.org/?mlat=31.8499&amp;mlon=47.1203&amp;zoom=12#map=12/31.8499/47.1203","Maplink1")</f>
        <v>Maplink1</v>
      </c>
      <c r="AX1723" s="88" t="str">
        <f>HYPERLINK("https://www.google.iq/maps/search/+31.8499,47.1203/@31.8499,47.1203,14z?hl=en","Maplink2")</f>
        <v>Maplink2</v>
      </c>
      <c r="AY1723" s="88" t="str">
        <f>HYPERLINK("http://www.bing.com/maps/?lvl=14&amp;sty=h&amp;cp=31.8499~47.1203&amp;sp=point.31.8499_47.1203","Maplink3")</f>
        <v>Maplink3</v>
      </c>
      <c r="AZ1723" s="76"/>
    </row>
    <row r="1724" spans="1:52" x14ac:dyDescent="0.25">
      <c r="A1724" s="86">
        <v>24781</v>
      </c>
      <c r="B1724" s="87" t="s">
        <v>21</v>
      </c>
      <c r="C1724" s="87" t="s">
        <v>3330</v>
      </c>
      <c r="D1724" s="87" t="s">
        <v>3358</v>
      </c>
      <c r="E1724" s="87" t="s">
        <v>3359</v>
      </c>
      <c r="F1724" s="87">
        <v>31.835162602400001</v>
      </c>
      <c r="G1724" s="87">
        <v>47.1211537533</v>
      </c>
      <c r="H1724" s="86">
        <v>2</v>
      </c>
      <c r="I1724" s="86">
        <v>12</v>
      </c>
      <c r="J1724" s="87"/>
      <c r="K1724" s="87"/>
      <c r="L1724" s="87"/>
      <c r="M1724" s="87"/>
      <c r="N1724" s="87"/>
      <c r="O1724" s="87"/>
      <c r="P1724" s="87"/>
      <c r="Q1724" s="87"/>
      <c r="R1724" s="87">
        <v>1</v>
      </c>
      <c r="S1724" s="87"/>
      <c r="T1724" s="87"/>
      <c r="U1724" s="87"/>
      <c r="V1724" s="87">
        <v>1</v>
      </c>
      <c r="W1724" s="87"/>
      <c r="X1724" s="87"/>
      <c r="Y1724" s="87"/>
      <c r="Z1724" s="87"/>
      <c r="AA1724" s="87"/>
      <c r="AB1724" s="87"/>
      <c r="AC1724" s="87">
        <v>1</v>
      </c>
      <c r="AD1724" s="87"/>
      <c r="AE1724" s="87"/>
      <c r="AF1724" s="87"/>
      <c r="AG1724" s="87"/>
      <c r="AH1724" s="87">
        <v>1</v>
      </c>
      <c r="AI1724" s="87"/>
      <c r="AJ1724" s="87"/>
      <c r="AK1724" s="87"/>
      <c r="AL1724" s="87"/>
      <c r="AM1724" s="87"/>
      <c r="AN1724" s="87">
        <v>1</v>
      </c>
      <c r="AO1724" s="87">
        <v>1</v>
      </c>
      <c r="AP1724" s="87"/>
      <c r="AQ1724" s="87"/>
      <c r="AR1724" s="87"/>
      <c r="AS1724" s="87"/>
      <c r="AT1724" s="87"/>
      <c r="AU1724" s="87"/>
      <c r="AV1724" s="87"/>
      <c r="AW1724" s="88" t="str">
        <f>HYPERLINK("http://www.openstreetmap.org/?mlat=31.8352&amp;mlon=47.1212&amp;zoom=12#map=12/31.8352/47.1212","Maplink1")</f>
        <v>Maplink1</v>
      </c>
      <c r="AX1724" s="88" t="str">
        <f>HYPERLINK("https://www.google.iq/maps/search/+31.8352,47.1212/@31.8352,47.1212,14z?hl=en","Maplink2")</f>
        <v>Maplink2</v>
      </c>
      <c r="AY1724" s="88" t="str">
        <f>HYPERLINK("http://www.bing.com/maps/?lvl=14&amp;sty=h&amp;cp=31.8352~47.1212&amp;sp=point.31.8352_47.1212","Maplink3")</f>
        <v>Maplink3</v>
      </c>
      <c r="AZ1724" s="76"/>
    </row>
    <row r="1725" spans="1:52" x14ac:dyDescent="0.25">
      <c r="A1725" s="86">
        <v>16499</v>
      </c>
      <c r="B1725" s="87" t="s">
        <v>21</v>
      </c>
      <c r="C1725" s="87" t="s">
        <v>3330</v>
      </c>
      <c r="D1725" s="87" t="s">
        <v>3360</v>
      </c>
      <c r="E1725" s="87" t="s">
        <v>3361</v>
      </c>
      <c r="F1725" s="87">
        <v>31.835904107400001</v>
      </c>
      <c r="G1725" s="87">
        <v>47.136064488400002</v>
      </c>
      <c r="H1725" s="86">
        <v>2</v>
      </c>
      <c r="I1725" s="86">
        <v>12</v>
      </c>
      <c r="J1725" s="87"/>
      <c r="K1725" s="87"/>
      <c r="L1725" s="87"/>
      <c r="M1725" s="87"/>
      <c r="N1725" s="87"/>
      <c r="O1725" s="87">
        <v>1</v>
      </c>
      <c r="P1725" s="87"/>
      <c r="Q1725" s="87"/>
      <c r="R1725" s="87"/>
      <c r="S1725" s="87"/>
      <c r="T1725" s="87"/>
      <c r="U1725" s="87"/>
      <c r="V1725" s="87">
        <v>1</v>
      </c>
      <c r="W1725" s="87"/>
      <c r="X1725" s="87"/>
      <c r="Y1725" s="87"/>
      <c r="Z1725" s="87"/>
      <c r="AA1725" s="87"/>
      <c r="AB1725" s="87"/>
      <c r="AC1725" s="87"/>
      <c r="AD1725" s="87"/>
      <c r="AE1725" s="87"/>
      <c r="AF1725" s="87"/>
      <c r="AG1725" s="87"/>
      <c r="AH1725" s="87">
        <v>2</v>
      </c>
      <c r="AI1725" s="87"/>
      <c r="AJ1725" s="87"/>
      <c r="AK1725" s="87"/>
      <c r="AL1725" s="87"/>
      <c r="AM1725" s="87"/>
      <c r="AN1725" s="87"/>
      <c r="AO1725" s="87">
        <v>2</v>
      </c>
      <c r="AP1725" s="87"/>
      <c r="AQ1725" s="87"/>
      <c r="AR1725" s="87"/>
      <c r="AS1725" s="87"/>
      <c r="AT1725" s="87"/>
      <c r="AU1725" s="87"/>
      <c r="AV1725" s="87"/>
      <c r="AW1725" s="88" t="str">
        <f>HYPERLINK("http://www.openstreetmap.org/?mlat=31.8359&amp;mlon=47.1361&amp;zoom=12#map=12/31.8359/47.1361","Maplink1")</f>
        <v>Maplink1</v>
      </c>
      <c r="AX1725" s="88" t="str">
        <f>HYPERLINK("https://www.google.iq/maps/search/+31.8359,47.1361/@31.8359,47.1361,14z?hl=en","Maplink2")</f>
        <v>Maplink2</v>
      </c>
      <c r="AY1725" s="88" t="str">
        <f>HYPERLINK("http://www.bing.com/maps/?lvl=14&amp;sty=h&amp;cp=31.8359~47.1361&amp;sp=point.31.8359_47.1361","Maplink3")</f>
        <v>Maplink3</v>
      </c>
      <c r="AZ1725" s="76"/>
    </row>
    <row r="1726" spans="1:52" x14ac:dyDescent="0.25">
      <c r="A1726" s="86">
        <v>24292</v>
      </c>
      <c r="B1726" s="87" t="s">
        <v>21</v>
      </c>
      <c r="C1726" s="87" t="s">
        <v>3330</v>
      </c>
      <c r="D1726" s="87" t="s">
        <v>3310</v>
      </c>
      <c r="E1726" s="87" t="s">
        <v>3311</v>
      </c>
      <c r="F1726" s="87">
        <v>31.8643097486</v>
      </c>
      <c r="G1726" s="87">
        <v>47.141694612800002</v>
      </c>
      <c r="H1726" s="86">
        <v>3</v>
      </c>
      <c r="I1726" s="86">
        <v>18</v>
      </c>
      <c r="J1726" s="87">
        <v>1</v>
      </c>
      <c r="K1726" s="87"/>
      <c r="L1726" s="87"/>
      <c r="M1726" s="87"/>
      <c r="N1726" s="87"/>
      <c r="O1726" s="87"/>
      <c r="P1726" s="87"/>
      <c r="Q1726" s="87"/>
      <c r="R1726" s="87"/>
      <c r="S1726" s="87"/>
      <c r="T1726" s="87"/>
      <c r="U1726" s="87"/>
      <c r="V1726" s="87">
        <v>1</v>
      </c>
      <c r="W1726" s="87"/>
      <c r="X1726" s="87">
        <v>1</v>
      </c>
      <c r="Y1726" s="87"/>
      <c r="Z1726" s="87"/>
      <c r="AA1726" s="87"/>
      <c r="AB1726" s="87"/>
      <c r="AC1726" s="87"/>
      <c r="AD1726" s="87"/>
      <c r="AE1726" s="87">
        <v>2</v>
      </c>
      <c r="AF1726" s="87"/>
      <c r="AG1726" s="87"/>
      <c r="AH1726" s="87">
        <v>1</v>
      </c>
      <c r="AI1726" s="87"/>
      <c r="AJ1726" s="87"/>
      <c r="AK1726" s="87"/>
      <c r="AL1726" s="87"/>
      <c r="AM1726" s="87"/>
      <c r="AN1726" s="87"/>
      <c r="AO1726" s="87">
        <v>2</v>
      </c>
      <c r="AP1726" s="87"/>
      <c r="AQ1726" s="87"/>
      <c r="AR1726" s="87"/>
      <c r="AS1726" s="87"/>
      <c r="AT1726" s="87">
        <v>1</v>
      </c>
      <c r="AU1726" s="87"/>
      <c r="AV1726" s="87"/>
      <c r="AW1726" s="88" t="str">
        <f>HYPERLINK("http://www.openstreetmap.org/?mlat=31.8643&amp;mlon=47.1417&amp;zoom=12#map=12/31.8643/47.1417","Maplink1")</f>
        <v>Maplink1</v>
      </c>
      <c r="AX1726" s="88" t="str">
        <f>HYPERLINK("https://www.google.iq/maps/search/+31.8643,47.1417/@31.8643,47.1417,14z?hl=en","Maplink2")</f>
        <v>Maplink2</v>
      </c>
      <c r="AY1726" s="88" t="str">
        <f>HYPERLINK("http://www.bing.com/maps/?lvl=14&amp;sty=h&amp;cp=31.8643~47.1417&amp;sp=point.31.8643_47.1417","Maplink3")</f>
        <v>Maplink3</v>
      </c>
      <c r="AZ1726" s="76"/>
    </row>
    <row r="1727" spans="1:52" x14ac:dyDescent="0.25">
      <c r="A1727" s="86">
        <v>15991</v>
      </c>
      <c r="B1727" s="87" t="s">
        <v>21</v>
      </c>
      <c r="C1727" s="87" t="s">
        <v>3330</v>
      </c>
      <c r="D1727" s="87" t="s">
        <v>205</v>
      </c>
      <c r="E1727" s="87" t="s">
        <v>206</v>
      </c>
      <c r="F1727" s="87">
        <v>31.819187658800001</v>
      </c>
      <c r="G1727" s="87">
        <v>47.119932914700001</v>
      </c>
      <c r="H1727" s="86">
        <v>9</v>
      </c>
      <c r="I1727" s="86">
        <v>54</v>
      </c>
      <c r="J1727" s="87"/>
      <c r="K1727" s="87"/>
      <c r="L1727" s="87"/>
      <c r="M1727" s="87"/>
      <c r="N1727" s="87"/>
      <c r="O1727" s="87"/>
      <c r="P1727" s="87"/>
      <c r="Q1727" s="87"/>
      <c r="R1727" s="87">
        <v>2</v>
      </c>
      <c r="S1727" s="87"/>
      <c r="T1727" s="87"/>
      <c r="U1727" s="87"/>
      <c r="V1727" s="87">
        <v>6</v>
      </c>
      <c r="W1727" s="87"/>
      <c r="X1727" s="87">
        <v>1</v>
      </c>
      <c r="Y1727" s="87"/>
      <c r="Z1727" s="87"/>
      <c r="AA1727" s="87"/>
      <c r="AB1727" s="87"/>
      <c r="AC1727" s="87">
        <v>6</v>
      </c>
      <c r="AD1727" s="87"/>
      <c r="AE1727" s="87"/>
      <c r="AF1727" s="87"/>
      <c r="AG1727" s="87"/>
      <c r="AH1727" s="87">
        <v>3</v>
      </c>
      <c r="AI1727" s="87"/>
      <c r="AJ1727" s="87"/>
      <c r="AK1727" s="87"/>
      <c r="AL1727" s="87"/>
      <c r="AM1727" s="87"/>
      <c r="AN1727" s="87"/>
      <c r="AO1727" s="87">
        <v>1</v>
      </c>
      <c r="AP1727" s="87">
        <v>4</v>
      </c>
      <c r="AQ1727" s="87">
        <v>4</v>
      </c>
      <c r="AR1727" s="87"/>
      <c r="AS1727" s="87"/>
      <c r="AT1727" s="87"/>
      <c r="AU1727" s="87"/>
      <c r="AV1727" s="87"/>
      <c r="AW1727" s="88" t="str">
        <f>HYPERLINK("http://www.openstreetmap.org/?mlat=31.8192&amp;mlon=47.1199&amp;zoom=12#map=12/31.8192/47.1199","Maplink1")</f>
        <v>Maplink1</v>
      </c>
      <c r="AX1727" s="88" t="str">
        <f>HYPERLINK("https://www.google.iq/maps/search/+31.8192,47.1199/@31.8192,47.1199,14z?hl=en","Maplink2")</f>
        <v>Maplink2</v>
      </c>
      <c r="AY1727" s="88" t="str">
        <f>HYPERLINK("http://www.bing.com/maps/?lvl=14&amp;sty=h&amp;cp=31.8192~47.1199&amp;sp=point.31.8192_47.1199","Maplink3")</f>
        <v>Maplink3</v>
      </c>
      <c r="AZ1727" s="76"/>
    </row>
    <row r="1728" spans="1:52" x14ac:dyDescent="0.25">
      <c r="A1728" s="86">
        <v>16859</v>
      </c>
      <c r="B1728" s="87" t="s">
        <v>21</v>
      </c>
      <c r="C1728" s="87" t="s">
        <v>3330</v>
      </c>
      <c r="D1728" s="87" t="s">
        <v>3362</v>
      </c>
      <c r="E1728" s="87" t="s">
        <v>3363</v>
      </c>
      <c r="F1728" s="87">
        <v>31.849883655100001</v>
      </c>
      <c r="G1728" s="87">
        <v>47.162449965299999</v>
      </c>
      <c r="H1728" s="86">
        <v>2</v>
      </c>
      <c r="I1728" s="86">
        <v>12</v>
      </c>
      <c r="J1728" s="87"/>
      <c r="K1728" s="87"/>
      <c r="L1728" s="87"/>
      <c r="M1728" s="87"/>
      <c r="N1728" s="87"/>
      <c r="O1728" s="87"/>
      <c r="P1728" s="87"/>
      <c r="Q1728" s="87"/>
      <c r="R1728" s="87"/>
      <c r="S1728" s="87"/>
      <c r="T1728" s="87"/>
      <c r="U1728" s="87"/>
      <c r="V1728" s="87">
        <v>2</v>
      </c>
      <c r="W1728" s="87"/>
      <c r="X1728" s="87"/>
      <c r="Y1728" s="87"/>
      <c r="Z1728" s="87"/>
      <c r="AA1728" s="87"/>
      <c r="AB1728" s="87"/>
      <c r="AC1728" s="87"/>
      <c r="AD1728" s="87"/>
      <c r="AE1728" s="87"/>
      <c r="AF1728" s="87"/>
      <c r="AG1728" s="87"/>
      <c r="AH1728" s="87">
        <v>2</v>
      </c>
      <c r="AI1728" s="87"/>
      <c r="AJ1728" s="87"/>
      <c r="AK1728" s="87"/>
      <c r="AL1728" s="87"/>
      <c r="AM1728" s="87"/>
      <c r="AN1728" s="87"/>
      <c r="AO1728" s="87"/>
      <c r="AP1728" s="87">
        <v>1</v>
      </c>
      <c r="AQ1728" s="87">
        <v>1</v>
      </c>
      <c r="AR1728" s="87"/>
      <c r="AS1728" s="87"/>
      <c r="AT1728" s="87"/>
      <c r="AU1728" s="87"/>
      <c r="AV1728" s="87"/>
      <c r="AW1728" s="88" t="str">
        <f>HYPERLINK("http://www.openstreetmap.org/?mlat=31.8499&amp;mlon=47.1624&amp;zoom=12#map=12/31.8499/47.1624","Maplink1")</f>
        <v>Maplink1</v>
      </c>
      <c r="AX1728" s="88" t="str">
        <f>HYPERLINK("https://www.google.iq/maps/search/+31.8499,47.1624/@31.8499,47.1624,14z?hl=en","Maplink2")</f>
        <v>Maplink2</v>
      </c>
      <c r="AY1728" s="88" t="str">
        <f>HYPERLINK("http://www.bing.com/maps/?lvl=14&amp;sty=h&amp;cp=31.8499~47.1624&amp;sp=point.31.8499_47.1624","Maplink3")</f>
        <v>Maplink3</v>
      </c>
      <c r="AZ1728" s="76"/>
    </row>
    <row r="1729" spans="1:52" x14ac:dyDescent="0.25">
      <c r="A1729" s="86">
        <v>16825</v>
      </c>
      <c r="B1729" s="87" t="s">
        <v>21</v>
      </c>
      <c r="C1729" s="87" t="s">
        <v>3330</v>
      </c>
      <c r="D1729" s="87" t="s">
        <v>3364</v>
      </c>
      <c r="E1729" s="87" t="s">
        <v>269</v>
      </c>
      <c r="F1729" s="87">
        <v>31.827514534799999</v>
      </c>
      <c r="G1729" s="87">
        <v>47.120044308499999</v>
      </c>
      <c r="H1729" s="86">
        <v>6</v>
      </c>
      <c r="I1729" s="86">
        <v>36</v>
      </c>
      <c r="J1729" s="87">
        <v>1</v>
      </c>
      <c r="K1729" s="87"/>
      <c r="L1729" s="87">
        <v>4</v>
      </c>
      <c r="M1729" s="87"/>
      <c r="N1729" s="87"/>
      <c r="O1729" s="87"/>
      <c r="P1729" s="87"/>
      <c r="Q1729" s="87"/>
      <c r="R1729" s="87"/>
      <c r="S1729" s="87"/>
      <c r="T1729" s="87"/>
      <c r="U1729" s="87"/>
      <c r="V1729" s="87"/>
      <c r="W1729" s="87"/>
      <c r="X1729" s="87">
        <v>1</v>
      </c>
      <c r="Y1729" s="87"/>
      <c r="Z1729" s="87"/>
      <c r="AA1729" s="87"/>
      <c r="AB1729" s="87"/>
      <c r="AC1729" s="87">
        <v>2</v>
      </c>
      <c r="AD1729" s="87"/>
      <c r="AE1729" s="87"/>
      <c r="AF1729" s="87"/>
      <c r="AG1729" s="87"/>
      <c r="AH1729" s="87">
        <v>4</v>
      </c>
      <c r="AI1729" s="87"/>
      <c r="AJ1729" s="87"/>
      <c r="AK1729" s="87"/>
      <c r="AL1729" s="87"/>
      <c r="AM1729" s="87"/>
      <c r="AN1729" s="87"/>
      <c r="AO1729" s="87">
        <v>3</v>
      </c>
      <c r="AP1729" s="87"/>
      <c r="AQ1729" s="87">
        <v>3</v>
      </c>
      <c r="AR1729" s="87"/>
      <c r="AS1729" s="87"/>
      <c r="AT1729" s="87"/>
      <c r="AU1729" s="87"/>
      <c r="AV1729" s="87"/>
      <c r="AW1729" s="88" t="str">
        <f>HYPERLINK("http://www.openstreetmap.org/?mlat=31.8275&amp;mlon=47.12&amp;zoom=12#map=12/31.8275/47.12","Maplink1")</f>
        <v>Maplink1</v>
      </c>
      <c r="AX1729" s="88" t="str">
        <f>HYPERLINK("https://www.google.iq/maps/search/+31.8275,47.12/@31.8275,47.12,14z?hl=en","Maplink2")</f>
        <v>Maplink2</v>
      </c>
      <c r="AY1729" s="88" t="str">
        <f>HYPERLINK("http://www.bing.com/maps/?lvl=14&amp;sty=h&amp;cp=31.8275~47.12&amp;sp=point.31.8275_47.12","Maplink3")</f>
        <v>Maplink3</v>
      </c>
      <c r="AZ1729" s="76"/>
    </row>
    <row r="1730" spans="1:52" x14ac:dyDescent="0.25">
      <c r="A1730" s="86">
        <v>16830</v>
      </c>
      <c r="B1730" s="87" t="s">
        <v>21</v>
      </c>
      <c r="C1730" s="87" t="s">
        <v>3330</v>
      </c>
      <c r="D1730" s="87" t="s">
        <v>3365</v>
      </c>
      <c r="E1730" s="87" t="s">
        <v>3366</v>
      </c>
      <c r="F1730" s="87">
        <v>31.824760786300001</v>
      </c>
      <c r="G1730" s="87">
        <v>47.144102398299999</v>
      </c>
      <c r="H1730" s="86">
        <v>1</v>
      </c>
      <c r="I1730" s="86">
        <v>6</v>
      </c>
      <c r="J1730" s="87"/>
      <c r="K1730" s="87"/>
      <c r="L1730" s="87"/>
      <c r="M1730" s="87"/>
      <c r="N1730" s="87"/>
      <c r="O1730" s="87"/>
      <c r="P1730" s="87"/>
      <c r="Q1730" s="87"/>
      <c r="R1730" s="87"/>
      <c r="S1730" s="87"/>
      <c r="T1730" s="87"/>
      <c r="U1730" s="87"/>
      <c r="V1730" s="87">
        <v>1</v>
      </c>
      <c r="W1730" s="87"/>
      <c r="X1730" s="87"/>
      <c r="Y1730" s="87"/>
      <c r="Z1730" s="87"/>
      <c r="AA1730" s="87"/>
      <c r="AB1730" s="87"/>
      <c r="AC1730" s="87"/>
      <c r="AD1730" s="87"/>
      <c r="AE1730" s="87"/>
      <c r="AF1730" s="87"/>
      <c r="AG1730" s="87"/>
      <c r="AH1730" s="87">
        <v>1</v>
      </c>
      <c r="AI1730" s="87"/>
      <c r="AJ1730" s="87"/>
      <c r="AK1730" s="87"/>
      <c r="AL1730" s="87"/>
      <c r="AM1730" s="87"/>
      <c r="AN1730" s="87"/>
      <c r="AO1730" s="87"/>
      <c r="AP1730" s="87">
        <v>1</v>
      </c>
      <c r="AQ1730" s="87"/>
      <c r="AR1730" s="87"/>
      <c r="AS1730" s="87"/>
      <c r="AT1730" s="87"/>
      <c r="AU1730" s="87"/>
      <c r="AV1730" s="87"/>
      <c r="AW1730" s="88" t="str">
        <f>HYPERLINK("http://www.openstreetmap.org/?mlat=31.8248&amp;mlon=47.1441&amp;zoom=12#map=12/31.8248/47.1441","Maplink1")</f>
        <v>Maplink1</v>
      </c>
      <c r="AX1730" s="88" t="str">
        <f>HYPERLINK("https://www.google.iq/maps/search/+31.8248,47.1441/@31.8248,47.1441,14z?hl=en","Maplink2")</f>
        <v>Maplink2</v>
      </c>
      <c r="AY1730" s="88" t="str">
        <f>HYPERLINK("http://www.bing.com/maps/?lvl=14&amp;sty=h&amp;cp=31.8248~47.1441&amp;sp=point.31.8248_47.1441","Maplink3")</f>
        <v>Maplink3</v>
      </c>
      <c r="AZ1730" s="76"/>
    </row>
    <row r="1731" spans="1:52" x14ac:dyDescent="0.25">
      <c r="A1731" s="86">
        <v>16822</v>
      </c>
      <c r="B1731" s="87" t="s">
        <v>21</v>
      </c>
      <c r="C1731" s="87" t="s">
        <v>3330</v>
      </c>
      <c r="D1731" s="87" t="s">
        <v>3367</v>
      </c>
      <c r="E1731" s="87" t="s">
        <v>3368</v>
      </c>
      <c r="F1731" s="87">
        <v>31.8552482827</v>
      </c>
      <c r="G1731" s="87">
        <v>47.119394427400003</v>
      </c>
      <c r="H1731" s="86">
        <v>5</v>
      </c>
      <c r="I1731" s="86">
        <v>30</v>
      </c>
      <c r="J1731" s="87"/>
      <c r="K1731" s="87"/>
      <c r="L1731" s="87">
        <v>5</v>
      </c>
      <c r="M1731" s="87"/>
      <c r="N1731" s="87"/>
      <c r="O1731" s="87"/>
      <c r="P1731" s="87"/>
      <c r="Q1731" s="87"/>
      <c r="R1731" s="87"/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87"/>
      <c r="AE1731" s="87">
        <v>5</v>
      </c>
      <c r="AF1731" s="87"/>
      <c r="AG1731" s="87"/>
      <c r="AH1731" s="87"/>
      <c r="AI1731" s="87"/>
      <c r="AJ1731" s="87"/>
      <c r="AK1731" s="87"/>
      <c r="AL1731" s="87"/>
      <c r="AM1731" s="87"/>
      <c r="AN1731" s="87"/>
      <c r="AO1731" s="87">
        <v>5</v>
      </c>
      <c r="AP1731" s="87"/>
      <c r="AQ1731" s="87"/>
      <c r="AR1731" s="87"/>
      <c r="AS1731" s="87"/>
      <c r="AT1731" s="87"/>
      <c r="AU1731" s="87"/>
      <c r="AV1731" s="87"/>
      <c r="AW1731" s="88" t="str">
        <f>HYPERLINK("http://www.openstreetmap.org/?mlat=31.8552&amp;mlon=47.1194&amp;zoom=12#map=12/31.8552/47.1194","Maplink1")</f>
        <v>Maplink1</v>
      </c>
      <c r="AX1731" s="88" t="str">
        <f>HYPERLINK("https://www.google.iq/maps/search/+31.8552,47.1194/@31.8552,47.1194,14z?hl=en","Maplink2")</f>
        <v>Maplink2</v>
      </c>
      <c r="AY1731" s="88" t="str">
        <f>HYPERLINK("http://www.bing.com/maps/?lvl=14&amp;sty=h&amp;cp=31.8552~47.1194&amp;sp=point.31.8552_47.1194","Maplink3")</f>
        <v>Maplink3</v>
      </c>
      <c r="AZ1731" s="76"/>
    </row>
    <row r="1732" spans="1:52" x14ac:dyDescent="0.25">
      <c r="A1732" s="86">
        <v>23872</v>
      </c>
      <c r="B1732" s="87" t="s">
        <v>21</v>
      </c>
      <c r="C1732" s="87" t="s">
        <v>3330</v>
      </c>
      <c r="D1732" s="87" t="s">
        <v>3369</v>
      </c>
      <c r="E1732" s="87" t="s">
        <v>3370</v>
      </c>
      <c r="F1732" s="87">
        <v>31.8406441156</v>
      </c>
      <c r="G1732" s="87">
        <v>47.109983526199997</v>
      </c>
      <c r="H1732" s="86">
        <v>3</v>
      </c>
      <c r="I1732" s="86">
        <v>18</v>
      </c>
      <c r="J1732" s="87"/>
      <c r="K1732" s="87"/>
      <c r="L1732" s="87"/>
      <c r="M1732" s="87"/>
      <c r="N1732" s="87"/>
      <c r="O1732" s="87">
        <v>1</v>
      </c>
      <c r="P1732" s="87"/>
      <c r="Q1732" s="87"/>
      <c r="R1732" s="87">
        <v>1</v>
      </c>
      <c r="S1732" s="87"/>
      <c r="T1732" s="87"/>
      <c r="U1732" s="87"/>
      <c r="V1732" s="87">
        <v>1</v>
      </c>
      <c r="W1732" s="87"/>
      <c r="X1732" s="87"/>
      <c r="Y1732" s="87"/>
      <c r="Z1732" s="87"/>
      <c r="AA1732" s="87"/>
      <c r="AB1732" s="87"/>
      <c r="AC1732" s="87">
        <v>2</v>
      </c>
      <c r="AD1732" s="87"/>
      <c r="AE1732" s="87"/>
      <c r="AF1732" s="87"/>
      <c r="AG1732" s="87"/>
      <c r="AH1732" s="87">
        <v>1</v>
      </c>
      <c r="AI1732" s="87"/>
      <c r="AJ1732" s="87"/>
      <c r="AK1732" s="87"/>
      <c r="AL1732" s="87"/>
      <c r="AM1732" s="87"/>
      <c r="AN1732" s="87"/>
      <c r="AO1732" s="87"/>
      <c r="AP1732" s="87">
        <v>1</v>
      </c>
      <c r="AQ1732" s="87">
        <v>2</v>
      </c>
      <c r="AR1732" s="87"/>
      <c r="AS1732" s="87"/>
      <c r="AT1732" s="87"/>
      <c r="AU1732" s="87"/>
      <c r="AV1732" s="87"/>
      <c r="AW1732" s="88" t="str">
        <f>HYPERLINK("http://www.openstreetmap.org/?mlat=31.8406&amp;mlon=47.11&amp;zoom=12#map=12/31.8406/47.11","Maplink1")</f>
        <v>Maplink1</v>
      </c>
      <c r="AX1732" s="88" t="str">
        <f>HYPERLINK("https://www.google.iq/maps/search/+31.8406,47.11/@31.8406,47.11,14z?hl=en","Maplink2")</f>
        <v>Maplink2</v>
      </c>
      <c r="AY1732" s="88" t="str">
        <f>HYPERLINK("http://www.bing.com/maps/?lvl=14&amp;sty=h&amp;cp=31.8406~47.11&amp;sp=point.31.8406_47.11","Maplink3")</f>
        <v>Maplink3</v>
      </c>
      <c r="AZ1732" s="76"/>
    </row>
    <row r="1733" spans="1:52" x14ac:dyDescent="0.25">
      <c r="A1733" s="86">
        <v>16816</v>
      </c>
      <c r="B1733" s="87" t="s">
        <v>21</v>
      </c>
      <c r="C1733" s="87" t="s">
        <v>3330</v>
      </c>
      <c r="D1733" s="87" t="s">
        <v>3371</v>
      </c>
      <c r="E1733" s="87" t="s">
        <v>410</v>
      </c>
      <c r="F1733" s="87">
        <v>31.864820334499999</v>
      </c>
      <c r="G1733" s="87">
        <v>47.153649043400002</v>
      </c>
      <c r="H1733" s="86">
        <v>12</v>
      </c>
      <c r="I1733" s="86">
        <v>72</v>
      </c>
      <c r="J1733" s="87">
        <v>3</v>
      </c>
      <c r="K1733" s="87">
        <v>1</v>
      </c>
      <c r="L1733" s="87"/>
      <c r="M1733" s="87"/>
      <c r="N1733" s="87"/>
      <c r="O1733" s="87">
        <v>1</v>
      </c>
      <c r="P1733" s="87"/>
      <c r="Q1733" s="87"/>
      <c r="R1733" s="87">
        <v>5</v>
      </c>
      <c r="S1733" s="87"/>
      <c r="T1733" s="87"/>
      <c r="U1733" s="87"/>
      <c r="V1733" s="87">
        <v>1</v>
      </c>
      <c r="W1733" s="87"/>
      <c r="X1733" s="87">
        <v>1</v>
      </c>
      <c r="Y1733" s="87"/>
      <c r="Z1733" s="87"/>
      <c r="AA1733" s="87"/>
      <c r="AB1733" s="87"/>
      <c r="AC1733" s="87">
        <v>6</v>
      </c>
      <c r="AD1733" s="87"/>
      <c r="AE1733" s="87">
        <v>1</v>
      </c>
      <c r="AF1733" s="87"/>
      <c r="AG1733" s="87"/>
      <c r="AH1733" s="87">
        <v>5</v>
      </c>
      <c r="AI1733" s="87"/>
      <c r="AJ1733" s="87"/>
      <c r="AK1733" s="87"/>
      <c r="AL1733" s="87"/>
      <c r="AM1733" s="87"/>
      <c r="AN1733" s="87">
        <v>3</v>
      </c>
      <c r="AO1733" s="87">
        <v>3</v>
      </c>
      <c r="AP1733" s="87">
        <v>4</v>
      </c>
      <c r="AQ1733" s="87">
        <v>2</v>
      </c>
      <c r="AR1733" s="87"/>
      <c r="AS1733" s="87"/>
      <c r="AT1733" s="87"/>
      <c r="AU1733" s="87"/>
      <c r="AV1733" s="87"/>
      <c r="AW1733" s="88" t="str">
        <f>HYPERLINK("http://www.openstreetmap.org/?mlat=31.8648&amp;mlon=47.1536&amp;zoom=12#map=12/31.8648/47.1536","Maplink1")</f>
        <v>Maplink1</v>
      </c>
      <c r="AX1733" s="88" t="str">
        <f>HYPERLINK("https://www.google.iq/maps/search/+31.8648,47.1536/@31.8648,47.1536,14z?hl=en","Maplink2")</f>
        <v>Maplink2</v>
      </c>
      <c r="AY1733" s="88" t="str">
        <f>HYPERLINK("http://www.bing.com/maps/?lvl=14&amp;sty=h&amp;cp=31.8648~47.1536&amp;sp=point.31.8648_47.1536","Maplink3")</f>
        <v>Maplink3</v>
      </c>
      <c r="AZ1733" s="76"/>
    </row>
    <row r="1734" spans="1:52" x14ac:dyDescent="0.25">
      <c r="A1734" s="86">
        <v>24547</v>
      </c>
      <c r="B1734" s="87" t="s">
        <v>21</v>
      </c>
      <c r="C1734" s="87" t="s">
        <v>3330</v>
      </c>
      <c r="D1734" s="87" t="s">
        <v>3372</v>
      </c>
      <c r="E1734" s="87" t="s">
        <v>3373</v>
      </c>
      <c r="F1734" s="87">
        <v>31.830588430199999</v>
      </c>
      <c r="G1734" s="87">
        <v>47.134607462200002</v>
      </c>
      <c r="H1734" s="86">
        <v>4</v>
      </c>
      <c r="I1734" s="86">
        <v>24</v>
      </c>
      <c r="J1734" s="87"/>
      <c r="K1734" s="87"/>
      <c r="L1734" s="87"/>
      <c r="M1734" s="87"/>
      <c r="N1734" s="87"/>
      <c r="O1734" s="87"/>
      <c r="P1734" s="87"/>
      <c r="Q1734" s="87"/>
      <c r="R1734" s="87"/>
      <c r="S1734" s="87"/>
      <c r="T1734" s="87"/>
      <c r="U1734" s="87"/>
      <c r="V1734" s="87">
        <v>3</v>
      </c>
      <c r="W1734" s="87"/>
      <c r="X1734" s="87">
        <v>1</v>
      </c>
      <c r="Y1734" s="87"/>
      <c r="Z1734" s="87"/>
      <c r="AA1734" s="87"/>
      <c r="AB1734" s="87"/>
      <c r="AC1734" s="87">
        <v>2</v>
      </c>
      <c r="AD1734" s="87"/>
      <c r="AE1734" s="87"/>
      <c r="AF1734" s="87"/>
      <c r="AG1734" s="87"/>
      <c r="AH1734" s="87">
        <v>2</v>
      </c>
      <c r="AI1734" s="87"/>
      <c r="AJ1734" s="87"/>
      <c r="AK1734" s="87"/>
      <c r="AL1734" s="87"/>
      <c r="AM1734" s="87"/>
      <c r="AN1734" s="87"/>
      <c r="AO1734" s="87">
        <v>1</v>
      </c>
      <c r="AP1734" s="87">
        <v>2</v>
      </c>
      <c r="AQ1734" s="87">
        <v>1</v>
      </c>
      <c r="AR1734" s="87"/>
      <c r="AS1734" s="87"/>
      <c r="AT1734" s="87"/>
      <c r="AU1734" s="87"/>
      <c r="AV1734" s="87"/>
      <c r="AW1734" s="88" t="str">
        <f>HYPERLINK("http://www.openstreetmap.org/?mlat=31.8306&amp;mlon=47.1346&amp;zoom=12#map=12/31.8306/47.1346","Maplink1")</f>
        <v>Maplink1</v>
      </c>
      <c r="AX1734" s="88" t="str">
        <f>HYPERLINK("https://www.google.iq/maps/search/+31.8306,47.1346/@31.8306,47.1346,14z?hl=en","Maplink2")</f>
        <v>Maplink2</v>
      </c>
      <c r="AY1734" s="88" t="str">
        <f>HYPERLINK("http://www.bing.com/maps/?lvl=14&amp;sty=h&amp;cp=31.8306~47.1346&amp;sp=point.31.8306_47.1346","Maplink3")</f>
        <v>Maplink3</v>
      </c>
      <c r="AZ1734" s="76"/>
    </row>
    <row r="1735" spans="1:52" x14ac:dyDescent="0.25">
      <c r="A1735" s="86">
        <v>16808</v>
      </c>
      <c r="B1735" s="87" t="s">
        <v>21</v>
      </c>
      <c r="C1735" s="87" t="s">
        <v>3330</v>
      </c>
      <c r="D1735" s="87" t="s">
        <v>3374</v>
      </c>
      <c r="E1735" s="87" t="s">
        <v>964</v>
      </c>
      <c r="F1735" s="87">
        <v>31.821493223800001</v>
      </c>
      <c r="G1735" s="87">
        <v>47.170680109499997</v>
      </c>
      <c r="H1735" s="86">
        <v>6</v>
      </c>
      <c r="I1735" s="86">
        <v>36</v>
      </c>
      <c r="J1735" s="87"/>
      <c r="K1735" s="87"/>
      <c r="L1735" s="87"/>
      <c r="M1735" s="87"/>
      <c r="N1735" s="87"/>
      <c r="O1735" s="87">
        <v>1</v>
      </c>
      <c r="P1735" s="87"/>
      <c r="Q1735" s="87"/>
      <c r="R1735" s="87">
        <v>1</v>
      </c>
      <c r="S1735" s="87"/>
      <c r="T1735" s="87"/>
      <c r="U1735" s="87"/>
      <c r="V1735" s="87">
        <v>3</v>
      </c>
      <c r="W1735" s="87"/>
      <c r="X1735" s="87">
        <v>1</v>
      </c>
      <c r="Y1735" s="87"/>
      <c r="Z1735" s="87"/>
      <c r="AA1735" s="87"/>
      <c r="AB1735" s="87"/>
      <c r="AC1735" s="87">
        <v>2</v>
      </c>
      <c r="AD1735" s="87"/>
      <c r="AE1735" s="87">
        <v>2</v>
      </c>
      <c r="AF1735" s="87"/>
      <c r="AG1735" s="87"/>
      <c r="AH1735" s="87">
        <v>2</v>
      </c>
      <c r="AI1735" s="87"/>
      <c r="AJ1735" s="87"/>
      <c r="AK1735" s="87"/>
      <c r="AL1735" s="87"/>
      <c r="AM1735" s="87"/>
      <c r="AN1735" s="87"/>
      <c r="AO1735" s="87">
        <v>3</v>
      </c>
      <c r="AP1735" s="87"/>
      <c r="AQ1735" s="87"/>
      <c r="AR1735" s="87">
        <v>2</v>
      </c>
      <c r="AS1735" s="87"/>
      <c r="AT1735" s="87">
        <v>1</v>
      </c>
      <c r="AU1735" s="87"/>
      <c r="AV1735" s="87"/>
      <c r="AW1735" s="88" t="str">
        <f>HYPERLINK("http://www.openstreetmap.org/?mlat=31.8215&amp;mlon=47.1707&amp;zoom=12#map=12/31.8215/47.1707","Maplink1")</f>
        <v>Maplink1</v>
      </c>
      <c r="AX1735" s="88" t="str">
        <f>HYPERLINK("https://www.google.iq/maps/search/+31.8215,47.1707/@31.8215,47.1707,14z?hl=en","Maplink2")</f>
        <v>Maplink2</v>
      </c>
      <c r="AY1735" s="88" t="str">
        <f>HYPERLINK("http://www.bing.com/maps/?lvl=14&amp;sty=h&amp;cp=31.8215~47.1707&amp;sp=point.31.8215_47.1707","Maplink3")</f>
        <v>Maplink3</v>
      </c>
      <c r="AZ1735" s="76"/>
    </row>
    <row r="1736" spans="1:52" x14ac:dyDescent="0.25">
      <c r="A1736" s="86">
        <v>16552</v>
      </c>
      <c r="B1736" s="87" t="s">
        <v>21</v>
      </c>
      <c r="C1736" s="87" t="s">
        <v>3330</v>
      </c>
      <c r="D1736" s="87" t="s">
        <v>3375</v>
      </c>
      <c r="E1736" s="87" t="s">
        <v>3376</v>
      </c>
      <c r="F1736" s="87">
        <v>31.837135462500001</v>
      </c>
      <c r="G1736" s="87">
        <v>47.171692069800002</v>
      </c>
      <c r="H1736" s="86">
        <v>5</v>
      </c>
      <c r="I1736" s="86">
        <v>30</v>
      </c>
      <c r="J1736" s="87"/>
      <c r="K1736" s="87"/>
      <c r="L1736" s="87"/>
      <c r="M1736" s="87"/>
      <c r="N1736" s="87"/>
      <c r="O1736" s="87"/>
      <c r="P1736" s="87"/>
      <c r="Q1736" s="87"/>
      <c r="R1736" s="87">
        <v>4</v>
      </c>
      <c r="S1736" s="87"/>
      <c r="T1736" s="87"/>
      <c r="U1736" s="87"/>
      <c r="V1736" s="87">
        <v>1</v>
      </c>
      <c r="W1736" s="87"/>
      <c r="X1736" s="87"/>
      <c r="Y1736" s="87"/>
      <c r="Z1736" s="87"/>
      <c r="AA1736" s="87"/>
      <c r="AB1736" s="87"/>
      <c r="AC1736" s="87">
        <v>3</v>
      </c>
      <c r="AD1736" s="87"/>
      <c r="AE1736" s="87"/>
      <c r="AF1736" s="87"/>
      <c r="AG1736" s="87"/>
      <c r="AH1736" s="87">
        <v>2</v>
      </c>
      <c r="AI1736" s="87"/>
      <c r="AJ1736" s="87"/>
      <c r="AK1736" s="87"/>
      <c r="AL1736" s="87"/>
      <c r="AM1736" s="87"/>
      <c r="AN1736" s="87"/>
      <c r="AO1736" s="87">
        <v>3</v>
      </c>
      <c r="AP1736" s="87">
        <v>1</v>
      </c>
      <c r="AQ1736" s="87">
        <v>1</v>
      </c>
      <c r="AR1736" s="87"/>
      <c r="AS1736" s="87"/>
      <c r="AT1736" s="87"/>
      <c r="AU1736" s="87"/>
      <c r="AV1736" s="87"/>
      <c r="AW1736" s="88" t="str">
        <f>HYPERLINK("http://www.openstreetmap.org/?mlat=31.8371&amp;mlon=47.1717&amp;zoom=12#map=12/31.8371/47.1717","Maplink1")</f>
        <v>Maplink1</v>
      </c>
      <c r="AX1736" s="88" t="str">
        <f>HYPERLINK("https://www.google.iq/maps/search/+31.8371,47.1717/@31.8371,47.1717,14z?hl=en","Maplink2")</f>
        <v>Maplink2</v>
      </c>
      <c r="AY1736" s="88" t="str">
        <f>HYPERLINK("http://www.bing.com/maps/?lvl=14&amp;sty=h&amp;cp=31.8371~47.1717&amp;sp=point.31.8371_47.1717","Maplink3")</f>
        <v>Maplink3</v>
      </c>
      <c r="AZ1736" s="76"/>
    </row>
    <row r="1737" spans="1:52" x14ac:dyDescent="0.25">
      <c r="A1737" s="86">
        <v>16532</v>
      </c>
      <c r="B1737" s="87" t="s">
        <v>21</v>
      </c>
      <c r="C1737" s="87" t="s">
        <v>3330</v>
      </c>
      <c r="D1737" s="87" t="s">
        <v>3377</v>
      </c>
      <c r="E1737" s="87" t="s">
        <v>3378</v>
      </c>
      <c r="F1737" s="87">
        <v>31.836854741</v>
      </c>
      <c r="G1737" s="87">
        <v>47.160914568199999</v>
      </c>
      <c r="H1737" s="86">
        <v>1</v>
      </c>
      <c r="I1737" s="86">
        <v>6</v>
      </c>
      <c r="J1737" s="87"/>
      <c r="K1737" s="87"/>
      <c r="L1737" s="87"/>
      <c r="M1737" s="87"/>
      <c r="N1737" s="87"/>
      <c r="O1737" s="87"/>
      <c r="P1737" s="87"/>
      <c r="Q1737" s="87"/>
      <c r="R1737" s="87">
        <v>1</v>
      </c>
      <c r="S1737" s="87"/>
      <c r="T1737" s="87"/>
      <c r="U1737" s="87"/>
      <c r="V1737" s="87"/>
      <c r="W1737" s="87"/>
      <c r="X1737" s="87"/>
      <c r="Y1737" s="87"/>
      <c r="Z1737" s="87"/>
      <c r="AA1737" s="87"/>
      <c r="AB1737" s="87"/>
      <c r="AC1737" s="87">
        <v>1</v>
      </c>
      <c r="AD1737" s="87"/>
      <c r="AE1737" s="87"/>
      <c r="AF1737" s="87"/>
      <c r="AG1737" s="87"/>
      <c r="AH1737" s="87"/>
      <c r="AI1737" s="87"/>
      <c r="AJ1737" s="87"/>
      <c r="AK1737" s="87"/>
      <c r="AL1737" s="87"/>
      <c r="AM1737" s="87"/>
      <c r="AN1737" s="87"/>
      <c r="AO1737" s="87">
        <v>1</v>
      </c>
      <c r="AP1737" s="87"/>
      <c r="AQ1737" s="87"/>
      <c r="AR1737" s="87"/>
      <c r="AS1737" s="87"/>
      <c r="AT1737" s="87"/>
      <c r="AU1737" s="87"/>
      <c r="AV1737" s="87"/>
      <c r="AW1737" s="88" t="str">
        <f>HYPERLINK("http://www.openstreetmap.org/?mlat=31.8369&amp;mlon=47.1609&amp;zoom=12#map=12/31.8369/47.1609","Maplink1")</f>
        <v>Maplink1</v>
      </c>
      <c r="AX1737" s="88" t="str">
        <f>HYPERLINK("https://www.google.iq/maps/search/+31.8369,47.1609/@31.8369,47.1609,14z?hl=en","Maplink2")</f>
        <v>Maplink2</v>
      </c>
      <c r="AY1737" s="88" t="str">
        <f>HYPERLINK("http://www.bing.com/maps/?lvl=14&amp;sty=h&amp;cp=31.8369~47.1609&amp;sp=point.31.8369_47.1609","Maplink3")</f>
        <v>Maplink3</v>
      </c>
      <c r="AZ1737" s="76"/>
    </row>
    <row r="1738" spans="1:52" x14ac:dyDescent="0.25">
      <c r="A1738" s="86">
        <v>16852</v>
      </c>
      <c r="B1738" s="87" t="s">
        <v>21</v>
      </c>
      <c r="C1738" s="87" t="s">
        <v>3330</v>
      </c>
      <c r="D1738" s="87" t="s">
        <v>3379</v>
      </c>
      <c r="E1738" s="87" t="s">
        <v>3380</v>
      </c>
      <c r="F1738" s="87">
        <v>31.8475930486</v>
      </c>
      <c r="G1738" s="87">
        <v>47.140571940699999</v>
      </c>
      <c r="H1738" s="86">
        <v>3</v>
      </c>
      <c r="I1738" s="86">
        <v>18</v>
      </c>
      <c r="J1738" s="87"/>
      <c r="K1738" s="87"/>
      <c r="L1738" s="87"/>
      <c r="M1738" s="87"/>
      <c r="N1738" s="87"/>
      <c r="O1738" s="87"/>
      <c r="P1738" s="87"/>
      <c r="Q1738" s="87"/>
      <c r="R1738" s="87"/>
      <c r="S1738" s="87"/>
      <c r="T1738" s="87"/>
      <c r="U1738" s="87"/>
      <c r="V1738" s="87">
        <v>2</v>
      </c>
      <c r="W1738" s="87"/>
      <c r="X1738" s="87">
        <v>1</v>
      </c>
      <c r="Y1738" s="87"/>
      <c r="Z1738" s="87"/>
      <c r="AA1738" s="87"/>
      <c r="AB1738" s="87"/>
      <c r="AC1738" s="87">
        <v>2</v>
      </c>
      <c r="AD1738" s="87"/>
      <c r="AE1738" s="87"/>
      <c r="AF1738" s="87"/>
      <c r="AG1738" s="87"/>
      <c r="AH1738" s="87">
        <v>1</v>
      </c>
      <c r="AI1738" s="87"/>
      <c r="AJ1738" s="87"/>
      <c r="AK1738" s="87"/>
      <c r="AL1738" s="87"/>
      <c r="AM1738" s="87"/>
      <c r="AN1738" s="87">
        <v>1</v>
      </c>
      <c r="AO1738" s="87">
        <v>2</v>
      </c>
      <c r="AP1738" s="87"/>
      <c r="AQ1738" s="87"/>
      <c r="AR1738" s="87"/>
      <c r="AS1738" s="87"/>
      <c r="AT1738" s="87"/>
      <c r="AU1738" s="87"/>
      <c r="AV1738" s="87"/>
      <c r="AW1738" s="88" t="str">
        <f>HYPERLINK("http://www.openstreetmap.org/?mlat=31.8476&amp;mlon=47.1406&amp;zoom=12#map=12/31.8476/47.1406","Maplink1")</f>
        <v>Maplink1</v>
      </c>
      <c r="AX1738" s="88" t="str">
        <f>HYPERLINK("https://www.google.iq/maps/search/+31.8476,47.1406/@31.8476,47.1406,14z?hl=en","Maplink2")</f>
        <v>Maplink2</v>
      </c>
      <c r="AY1738" s="88" t="str">
        <f>HYPERLINK("http://www.bing.com/maps/?lvl=14&amp;sty=h&amp;cp=31.8476~47.1406&amp;sp=point.31.8476_47.1406","Maplink3")</f>
        <v>Maplink3</v>
      </c>
      <c r="AZ1738" s="76"/>
    </row>
    <row r="1739" spans="1:52" x14ac:dyDescent="0.25">
      <c r="A1739" s="86">
        <v>16836</v>
      </c>
      <c r="B1739" s="87" t="s">
        <v>21</v>
      </c>
      <c r="C1739" s="87" t="s">
        <v>3330</v>
      </c>
      <c r="D1739" s="87" t="s">
        <v>3381</v>
      </c>
      <c r="E1739" s="87" t="s">
        <v>1793</v>
      </c>
      <c r="F1739" s="87">
        <v>31.8420063425</v>
      </c>
      <c r="G1739" s="87">
        <v>47.126997699999997</v>
      </c>
      <c r="H1739" s="86">
        <v>1</v>
      </c>
      <c r="I1739" s="86">
        <v>6</v>
      </c>
      <c r="J1739" s="87"/>
      <c r="K1739" s="87"/>
      <c r="L1739" s="87"/>
      <c r="M1739" s="87"/>
      <c r="N1739" s="87"/>
      <c r="O1739" s="87">
        <v>1</v>
      </c>
      <c r="P1739" s="87"/>
      <c r="Q1739" s="87"/>
      <c r="R1739" s="87"/>
      <c r="S1739" s="87"/>
      <c r="T1739" s="87"/>
      <c r="U1739" s="87"/>
      <c r="V1739" s="87"/>
      <c r="W1739" s="87"/>
      <c r="X1739" s="87"/>
      <c r="Y1739" s="87"/>
      <c r="Z1739" s="87"/>
      <c r="AA1739" s="87"/>
      <c r="AB1739" s="87"/>
      <c r="AC1739" s="87">
        <v>1</v>
      </c>
      <c r="AD1739" s="87"/>
      <c r="AE1739" s="87"/>
      <c r="AF1739" s="87"/>
      <c r="AG1739" s="87"/>
      <c r="AH1739" s="87"/>
      <c r="AI1739" s="87"/>
      <c r="AJ1739" s="87"/>
      <c r="AK1739" s="87"/>
      <c r="AL1739" s="87"/>
      <c r="AM1739" s="87"/>
      <c r="AN1739" s="87"/>
      <c r="AO1739" s="87"/>
      <c r="AP1739" s="87">
        <v>1</v>
      </c>
      <c r="AQ1739" s="87"/>
      <c r="AR1739" s="87"/>
      <c r="AS1739" s="87"/>
      <c r="AT1739" s="87"/>
      <c r="AU1739" s="87"/>
      <c r="AV1739" s="87"/>
      <c r="AW1739" s="88" t="str">
        <f>HYPERLINK("http://www.openstreetmap.org/?mlat=31.842&amp;mlon=47.127&amp;zoom=12#map=12/31.842/47.127","Maplink1")</f>
        <v>Maplink1</v>
      </c>
      <c r="AX1739" s="88" t="str">
        <f>HYPERLINK("https://www.google.iq/maps/search/+31.842,47.127/@31.842,47.127,14z?hl=en","Maplink2")</f>
        <v>Maplink2</v>
      </c>
      <c r="AY1739" s="88" t="str">
        <f>HYPERLINK("http://www.bing.com/maps/?lvl=14&amp;sty=h&amp;cp=31.842~47.127&amp;sp=point.31.842_47.127","Maplink3")</f>
        <v>Maplink3</v>
      </c>
      <c r="AZ1739" s="76"/>
    </row>
    <row r="1740" spans="1:52" x14ac:dyDescent="0.25">
      <c r="A1740" s="86">
        <v>16807</v>
      </c>
      <c r="B1740" s="87" t="s">
        <v>21</v>
      </c>
      <c r="C1740" s="87" t="s">
        <v>3330</v>
      </c>
      <c r="D1740" s="87" t="s">
        <v>3382</v>
      </c>
      <c r="E1740" s="87" t="s">
        <v>3383</v>
      </c>
      <c r="F1740" s="87">
        <v>31.846620218200002</v>
      </c>
      <c r="G1740" s="87">
        <v>47.1543487434</v>
      </c>
      <c r="H1740" s="86">
        <v>5</v>
      </c>
      <c r="I1740" s="86">
        <v>30</v>
      </c>
      <c r="J1740" s="87"/>
      <c r="K1740" s="87"/>
      <c r="L1740" s="87"/>
      <c r="M1740" s="87"/>
      <c r="N1740" s="87"/>
      <c r="O1740" s="87">
        <v>1</v>
      </c>
      <c r="P1740" s="87"/>
      <c r="Q1740" s="87"/>
      <c r="R1740" s="87">
        <v>1</v>
      </c>
      <c r="S1740" s="87"/>
      <c r="T1740" s="87"/>
      <c r="U1740" s="87"/>
      <c r="V1740" s="87">
        <v>2</v>
      </c>
      <c r="W1740" s="87"/>
      <c r="X1740" s="87">
        <v>1</v>
      </c>
      <c r="Y1740" s="87"/>
      <c r="Z1740" s="87"/>
      <c r="AA1740" s="87"/>
      <c r="AB1740" s="87"/>
      <c r="AC1740" s="87">
        <v>3</v>
      </c>
      <c r="AD1740" s="87"/>
      <c r="AE1740" s="87"/>
      <c r="AF1740" s="87"/>
      <c r="AG1740" s="87">
        <v>1</v>
      </c>
      <c r="AH1740" s="87">
        <v>1</v>
      </c>
      <c r="AI1740" s="87"/>
      <c r="AJ1740" s="87"/>
      <c r="AK1740" s="87"/>
      <c r="AL1740" s="87"/>
      <c r="AM1740" s="87"/>
      <c r="AN1740" s="87"/>
      <c r="AO1740" s="87"/>
      <c r="AP1740" s="87">
        <v>3</v>
      </c>
      <c r="AQ1740" s="87">
        <v>2</v>
      </c>
      <c r="AR1740" s="87"/>
      <c r="AS1740" s="87"/>
      <c r="AT1740" s="87"/>
      <c r="AU1740" s="87"/>
      <c r="AV1740" s="87"/>
      <c r="AW1740" s="88" t="str">
        <f>HYPERLINK("http://www.openstreetmap.org/?mlat=31.8466&amp;mlon=47.1543&amp;zoom=12#map=12/31.8466/47.1543","Maplink1")</f>
        <v>Maplink1</v>
      </c>
      <c r="AX1740" s="88" t="str">
        <f>HYPERLINK("https://www.google.iq/maps/search/+31.8466,47.1543/@31.8466,47.1543,14z?hl=en","Maplink2")</f>
        <v>Maplink2</v>
      </c>
      <c r="AY1740" s="88" t="str">
        <f>HYPERLINK("http://www.bing.com/maps/?lvl=14&amp;sty=h&amp;cp=31.8466~47.1543&amp;sp=point.31.8466_47.1543","Maplink3")</f>
        <v>Maplink3</v>
      </c>
      <c r="AZ1740" s="76"/>
    </row>
    <row r="1741" spans="1:52" x14ac:dyDescent="0.25">
      <c r="A1741" s="86">
        <v>16850</v>
      </c>
      <c r="B1741" s="87" t="s">
        <v>21</v>
      </c>
      <c r="C1741" s="87" t="s">
        <v>3330</v>
      </c>
      <c r="D1741" s="87" t="s">
        <v>3384</v>
      </c>
      <c r="E1741" s="87" t="s">
        <v>1309</v>
      </c>
      <c r="F1741" s="87">
        <v>31.824825368799999</v>
      </c>
      <c r="G1741" s="87">
        <v>47.126792948099997</v>
      </c>
      <c r="H1741" s="86">
        <v>5</v>
      </c>
      <c r="I1741" s="86">
        <v>30</v>
      </c>
      <c r="J1741" s="87"/>
      <c r="K1741" s="87">
        <v>4</v>
      </c>
      <c r="L1741" s="87"/>
      <c r="M1741" s="87"/>
      <c r="N1741" s="87"/>
      <c r="O1741" s="87"/>
      <c r="P1741" s="87"/>
      <c r="Q1741" s="87"/>
      <c r="R1741" s="87">
        <v>1</v>
      </c>
      <c r="S1741" s="87"/>
      <c r="T1741" s="87"/>
      <c r="U1741" s="87"/>
      <c r="V1741" s="87"/>
      <c r="W1741" s="87"/>
      <c r="X1741" s="87"/>
      <c r="Y1741" s="87"/>
      <c r="Z1741" s="87"/>
      <c r="AA1741" s="87"/>
      <c r="AB1741" s="87"/>
      <c r="AC1741" s="87">
        <v>2</v>
      </c>
      <c r="AD1741" s="87"/>
      <c r="AE1741" s="87"/>
      <c r="AF1741" s="87"/>
      <c r="AG1741" s="87"/>
      <c r="AH1741" s="87">
        <v>3</v>
      </c>
      <c r="AI1741" s="87"/>
      <c r="AJ1741" s="87"/>
      <c r="AK1741" s="87"/>
      <c r="AL1741" s="87"/>
      <c r="AM1741" s="87"/>
      <c r="AN1741" s="87">
        <v>3</v>
      </c>
      <c r="AO1741" s="87">
        <v>1</v>
      </c>
      <c r="AP1741" s="87">
        <v>1</v>
      </c>
      <c r="AQ1741" s="87"/>
      <c r="AR1741" s="87"/>
      <c r="AS1741" s="87"/>
      <c r="AT1741" s="87"/>
      <c r="AU1741" s="87"/>
      <c r="AV1741" s="87"/>
      <c r="AW1741" s="88" t="str">
        <f>HYPERLINK("http://www.openstreetmap.org/?mlat=31.8248&amp;mlon=47.1268&amp;zoom=12#map=12/31.8248/47.1268","Maplink1")</f>
        <v>Maplink1</v>
      </c>
      <c r="AX1741" s="88" t="str">
        <f>HYPERLINK("https://www.google.iq/maps/search/+31.8248,47.1268/@31.8248,47.1268,14z?hl=en","Maplink2")</f>
        <v>Maplink2</v>
      </c>
      <c r="AY1741" s="88" t="str">
        <f>HYPERLINK("http://www.bing.com/maps/?lvl=14&amp;sty=h&amp;cp=31.8248~47.1268&amp;sp=point.31.8248_47.1268","Maplink3")</f>
        <v>Maplink3</v>
      </c>
      <c r="AZ1741" s="76"/>
    </row>
    <row r="1742" spans="1:52" x14ac:dyDescent="0.25">
      <c r="A1742" s="86">
        <v>16845</v>
      </c>
      <c r="B1742" s="87" t="s">
        <v>21</v>
      </c>
      <c r="C1742" s="87" t="s">
        <v>3330</v>
      </c>
      <c r="D1742" s="87" t="s">
        <v>3385</v>
      </c>
      <c r="E1742" s="87" t="s">
        <v>3386</v>
      </c>
      <c r="F1742" s="87">
        <v>31.8231898686</v>
      </c>
      <c r="G1742" s="87">
        <v>47.155122890500003</v>
      </c>
      <c r="H1742" s="86">
        <v>2</v>
      </c>
      <c r="I1742" s="86">
        <v>12</v>
      </c>
      <c r="J1742" s="87"/>
      <c r="K1742" s="87"/>
      <c r="L1742" s="87"/>
      <c r="M1742" s="87"/>
      <c r="N1742" s="87"/>
      <c r="O1742" s="87"/>
      <c r="P1742" s="87"/>
      <c r="Q1742" s="87"/>
      <c r="R1742" s="87"/>
      <c r="S1742" s="87"/>
      <c r="T1742" s="87"/>
      <c r="U1742" s="87"/>
      <c r="V1742" s="87"/>
      <c r="W1742" s="87"/>
      <c r="X1742" s="87">
        <v>2</v>
      </c>
      <c r="Y1742" s="87"/>
      <c r="Z1742" s="87"/>
      <c r="AA1742" s="87"/>
      <c r="AB1742" s="87"/>
      <c r="AC1742" s="87">
        <v>1</v>
      </c>
      <c r="AD1742" s="87"/>
      <c r="AE1742" s="87"/>
      <c r="AF1742" s="87"/>
      <c r="AG1742" s="87"/>
      <c r="AH1742" s="87">
        <v>1</v>
      </c>
      <c r="AI1742" s="87"/>
      <c r="AJ1742" s="87"/>
      <c r="AK1742" s="87"/>
      <c r="AL1742" s="87"/>
      <c r="AM1742" s="87"/>
      <c r="AN1742" s="87"/>
      <c r="AO1742" s="87">
        <v>1</v>
      </c>
      <c r="AP1742" s="87"/>
      <c r="AQ1742" s="87">
        <v>1</v>
      </c>
      <c r="AR1742" s="87"/>
      <c r="AS1742" s="87"/>
      <c r="AT1742" s="87"/>
      <c r="AU1742" s="87"/>
      <c r="AV1742" s="87"/>
      <c r="AW1742" s="88" t="str">
        <f>HYPERLINK("http://www.openstreetmap.org/?mlat=31.8232&amp;mlon=47.1551&amp;zoom=12#map=12/31.8232/47.1551","Maplink1")</f>
        <v>Maplink1</v>
      </c>
      <c r="AX1742" s="88" t="str">
        <f>HYPERLINK("https://www.google.iq/maps/search/+31.8232,47.1551/@31.8232,47.1551,14z?hl=en","Maplink2")</f>
        <v>Maplink2</v>
      </c>
      <c r="AY1742" s="88" t="str">
        <f>HYPERLINK("http://www.bing.com/maps/?lvl=14&amp;sty=h&amp;cp=31.8232~47.1551&amp;sp=point.31.8232_47.1551","Maplink3")</f>
        <v>Maplink3</v>
      </c>
      <c r="AZ1742" s="76"/>
    </row>
    <row r="1743" spans="1:52" x14ac:dyDescent="0.25">
      <c r="A1743" s="86">
        <v>16851</v>
      </c>
      <c r="B1743" s="87" t="s">
        <v>21</v>
      </c>
      <c r="C1743" s="87" t="s">
        <v>3330</v>
      </c>
      <c r="D1743" s="87" t="s">
        <v>3387</v>
      </c>
      <c r="E1743" s="87" t="s">
        <v>3388</v>
      </c>
      <c r="F1743" s="87">
        <v>31.8527225638</v>
      </c>
      <c r="G1743" s="87">
        <v>47.152801808</v>
      </c>
      <c r="H1743" s="86">
        <v>2</v>
      </c>
      <c r="I1743" s="86">
        <v>12</v>
      </c>
      <c r="J1743" s="87"/>
      <c r="K1743" s="87"/>
      <c r="L1743" s="87"/>
      <c r="M1743" s="87"/>
      <c r="N1743" s="87"/>
      <c r="O1743" s="87"/>
      <c r="P1743" s="87"/>
      <c r="Q1743" s="87"/>
      <c r="R1743" s="87">
        <v>1</v>
      </c>
      <c r="S1743" s="87"/>
      <c r="T1743" s="87"/>
      <c r="U1743" s="87"/>
      <c r="V1743" s="87"/>
      <c r="W1743" s="87"/>
      <c r="X1743" s="87">
        <v>1</v>
      </c>
      <c r="Y1743" s="87"/>
      <c r="Z1743" s="87"/>
      <c r="AA1743" s="87"/>
      <c r="AB1743" s="87"/>
      <c r="AC1743" s="87"/>
      <c r="AD1743" s="87"/>
      <c r="AE1743" s="87"/>
      <c r="AF1743" s="87"/>
      <c r="AG1743" s="87"/>
      <c r="AH1743" s="87">
        <v>2</v>
      </c>
      <c r="AI1743" s="87"/>
      <c r="AJ1743" s="87"/>
      <c r="AK1743" s="87"/>
      <c r="AL1743" s="87"/>
      <c r="AM1743" s="87"/>
      <c r="AN1743" s="87"/>
      <c r="AO1743" s="87"/>
      <c r="AP1743" s="87">
        <v>1</v>
      </c>
      <c r="AQ1743" s="87">
        <v>1</v>
      </c>
      <c r="AR1743" s="87"/>
      <c r="AS1743" s="87"/>
      <c r="AT1743" s="87"/>
      <c r="AU1743" s="87"/>
      <c r="AV1743" s="87"/>
      <c r="AW1743" s="88" t="str">
        <f>HYPERLINK("http://www.openstreetmap.org/?mlat=31.8527&amp;mlon=47.1528&amp;zoom=12#map=12/31.8527/47.1528","Maplink1")</f>
        <v>Maplink1</v>
      </c>
      <c r="AX1743" s="88" t="str">
        <f>HYPERLINK("https://www.google.iq/maps/search/+31.8527,47.1528/@31.8527,47.1528,14z?hl=en","Maplink2")</f>
        <v>Maplink2</v>
      </c>
      <c r="AY1743" s="88" t="str">
        <f>HYPERLINK("http://www.bing.com/maps/?lvl=14&amp;sty=h&amp;cp=31.8527~47.1528&amp;sp=point.31.8527_47.1528","Maplink3")</f>
        <v>Maplink3</v>
      </c>
      <c r="AZ1743" s="76"/>
    </row>
    <row r="1744" spans="1:52" x14ac:dyDescent="0.25">
      <c r="A1744" s="86">
        <v>16817</v>
      </c>
      <c r="B1744" s="87" t="s">
        <v>21</v>
      </c>
      <c r="C1744" s="87" t="s">
        <v>3330</v>
      </c>
      <c r="D1744" s="87" t="s">
        <v>3389</v>
      </c>
      <c r="E1744" s="87" t="s">
        <v>3390</v>
      </c>
      <c r="F1744" s="87">
        <v>31.860931626399999</v>
      </c>
      <c r="G1744" s="87">
        <v>47.168568878000002</v>
      </c>
      <c r="H1744" s="86">
        <v>5</v>
      </c>
      <c r="I1744" s="86">
        <v>30</v>
      </c>
      <c r="J1744" s="87">
        <v>1</v>
      </c>
      <c r="K1744" s="87"/>
      <c r="L1744" s="87">
        <v>1</v>
      </c>
      <c r="M1744" s="87"/>
      <c r="N1744" s="87"/>
      <c r="O1744" s="87"/>
      <c r="P1744" s="87"/>
      <c r="Q1744" s="87"/>
      <c r="R1744" s="87"/>
      <c r="S1744" s="87"/>
      <c r="T1744" s="87"/>
      <c r="U1744" s="87"/>
      <c r="V1744" s="87">
        <v>3</v>
      </c>
      <c r="W1744" s="87"/>
      <c r="X1744" s="87"/>
      <c r="Y1744" s="87"/>
      <c r="Z1744" s="87"/>
      <c r="AA1744" s="87"/>
      <c r="AB1744" s="87"/>
      <c r="AC1744" s="87">
        <v>3</v>
      </c>
      <c r="AD1744" s="87"/>
      <c r="AE1744" s="87"/>
      <c r="AF1744" s="87"/>
      <c r="AG1744" s="87"/>
      <c r="AH1744" s="87">
        <v>2</v>
      </c>
      <c r="AI1744" s="87"/>
      <c r="AJ1744" s="87"/>
      <c r="AK1744" s="87"/>
      <c r="AL1744" s="87"/>
      <c r="AM1744" s="87"/>
      <c r="AN1744" s="87"/>
      <c r="AO1744" s="87">
        <v>1</v>
      </c>
      <c r="AP1744" s="87">
        <v>3</v>
      </c>
      <c r="AQ1744" s="87"/>
      <c r="AR1744" s="87"/>
      <c r="AS1744" s="87"/>
      <c r="AT1744" s="87">
        <v>1</v>
      </c>
      <c r="AU1744" s="87"/>
      <c r="AV1744" s="87"/>
      <c r="AW1744" s="88" t="str">
        <f>HYPERLINK("http://www.openstreetmap.org/?mlat=31.8609&amp;mlon=47.1686&amp;zoom=12#map=12/31.8609/47.1686","Maplink1")</f>
        <v>Maplink1</v>
      </c>
      <c r="AX1744" s="88" t="str">
        <f>HYPERLINK("https://www.google.iq/maps/search/+31.8609,47.1686/@31.8609,47.1686,14z?hl=en","Maplink2")</f>
        <v>Maplink2</v>
      </c>
      <c r="AY1744" s="88" t="str">
        <f>HYPERLINK("http://www.bing.com/maps/?lvl=14&amp;sty=h&amp;cp=31.8609~47.1686&amp;sp=point.31.8609_47.1686","Maplink3")</f>
        <v>Maplink3</v>
      </c>
      <c r="AZ1744" s="76"/>
    </row>
    <row r="1745" spans="1:52" x14ac:dyDescent="0.25">
      <c r="A1745" s="86">
        <v>28411</v>
      </c>
      <c r="B1745" s="87" t="s">
        <v>21</v>
      </c>
      <c r="C1745" s="87" t="s">
        <v>3330</v>
      </c>
      <c r="D1745" s="87" t="s">
        <v>3389</v>
      </c>
      <c r="E1745" s="87" t="s">
        <v>3390</v>
      </c>
      <c r="F1745" s="87">
        <v>32.037730795400002</v>
      </c>
      <c r="G1745" s="87">
        <v>46.872166067000002</v>
      </c>
      <c r="H1745" s="86">
        <v>1</v>
      </c>
      <c r="I1745" s="86">
        <v>6</v>
      </c>
      <c r="J1745" s="87">
        <v>1</v>
      </c>
      <c r="K1745" s="87"/>
      <c r="L1745" s="87"/>
      <c r="M1745" s="87"/>
      <c r="N1745" s="87"/>
      <c r="O1745" s="87"/>
      <c r="P1745" s="87"/>
      <c r="Q1745" s="87"/>
      <c r="R1745" s="87"/>
      <c r="S1745" s="87"/>
      <c r="T1745" s="87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87"/>
      <c r="AE1745" s="87"/>
      <c r="AF1745" s="87"/>
      <c r="AG1745" s="87"/>
      <c r="AH1745" s="87">
        <v>1</v>
      </c>
      <c r="AI1745" s="87"/>
      <c r="AJ1745" s="87"/>
      <c r="AK1745" s="87"/>
      <c r="AL1745" s="87"/>
      <c r="AM1745" s="87"/>
      <c r="AN1745" s="87"/>
      <c r="AO1745" s="87"/>
      <c r="AP1745" s="87"/>
      <c r="AQ1745" s="87"/>
      <c r="AR1745" s="87">
        <v>1</v>
      </c>
      <c r="AS1745" s="87"/>
      <c r="AT1745" s="87"/>
      <c r="AU1745" s="87"/>
      <c r="AV1745" s="87"/>
      <c r="AW1745" s="88" t="str">
        <f>HYPERLINK("http://www.openstreetmap.org/?mlat=32.0377&amp;mlon=46.8722&amp;zoom=12#map=12/32.0377/46.8722","Maplink1")</f>
        <v>Maplink1</v>
      </c>
      <c r="AX1745" s="88" t="str">
        <f>HYPERLINK("https://www.google.iq/maps/search/+32.0377,46.8722/@32.0377,46.8722,14z?hl=en","Maplink2")</f>
        <v>Maplink2</v>
      </c>
      <c r="AY1745" s="88" t="str">
        <f>HYPERLINK("http://www.bing.com/maps/?lvl=14&amp;sty=h&amp;cp=32.0377~46.8722&amp;sp=point.32.0377_46.8722","Maplink3")</f>
        <v>Maplink3</v>
      </c>
      <c r="AZ1745" s="76"/>
    </row>
    <row r="1746" spans="1:52" x14ac:dyDescent="0.25">
      <c r="A1746" s="86">
        <v>16862</v>
      </c>
      <c r="B1746" s="87" t="s">
        <v>21</v>
      </c>
      <c r="C1746" s="87" t="s">
        <v>3330</v>
      </c>
      <c r="D1746" s="87" t="s">
        <v>3391</v>
      </c>
      <c r="E1746" s="87" t="s">
        <v>3392</v>
      </c>
      <c r="F1746" s="87">
        <v>31.8539072443</v>
      </c>
      <c r="G1746" s="87">
        <v>47.208737561100001</v>
      </c>
      <c r="H1746" s="86">
        <v>1</v>
      </c>
      <c r="I1746" s="86">
        <v>6</v>
      </c>
      <c r="J1746" s="87"/>
      <c r="K1746" s="87"/>
      <c r="L1746" s="87">
        <v>1</v>
      </c>
      <c r="M1746" s="87"/>
      <c r="N1746" s="87"/>
      <c r="O1746" s="87"/>
      <c r="P1746" s="87"/>
      <c r="Q1746" s="87"/>
      <c r="R1746" s="87"/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87"/>
      <c r="AE1746" s="87"/>
      <c r="AF1746" s="87"/>
      <c r="AG1746" s="87"/>
      <c r="AH1746" s="87">
        <v>1</v>
      </c>
      <c r="AI1746" s="87"/>
      <c r="AJ1746" s="87"/>
      <c r="AK1746" s="87"/>
      <c r="AL1746" s="87"/>
      <c r="AM1746" s="87"/>
      <c r="AN1746" s="87"/>
      <c r="AO1746" s="87"/>
      <c r="AP1746" s="87">
        <v>1</v>
      </c>
      <c r="AQ1746" s="87"/>
      <c r="AR1746" s="87"/>
      <c r="AS1746" s="87"/>
      <c r="AT1746" s="87"/>
      <c r="AU1746" s="87"/>
      <c r="AV1746" s="87"/>
      <c r="AW1746" s="88" t="str">
        <f>HYPERLINK("http://www.openstreetmap.org/?mlat=31.8539&amp;mlon=47.2087&amp;zoom=12#map=12/31.8539/47.2087","Maplink1")</f>
        <v>Maplink1</v>
      </c>
      <c r="AX1746" s="88" t="str">
        <f>HYPERLINK("https://www.google.iq/maps/search/+31.8539,47.2087/@31.8539,47.2087,14z?hl=en","Maplink2")</f>
        <v>Maplink2</v>
      </c>
      <c r="AY1746" s="88" t="str">
        <f>HYPERLINK("http://www.bing.com/maps/?lvl=14&amp;sty=h&amp;cp=31.8539~47.2087&amp;sp=point.31.8539_47.2087","Maplink3")</f>
        <v>Maplink3</v>
      </c>
      <c r="AZ1746" s="76"/>
    </row>
    <row r="1747" spans="1:52" x14ac:dyDescent="0.25">
      <c r="A1747" s="86">
        <v>16848</v>
      </c>
      <c r="B1747" s="87" t="s">
        <v>21</v>
      </c>
      <c r="C1747" s="87" t="s">
        <v>3330</v>
      </c>
      <c r="D1747" s="87" t="s">
        <v>3393</v>
      </c>
      <c r="E1747" s="87" t="s">
        <v>3394</v>
      </c>
      <c r="F1747" s="87">
        <v>31.845580888899999</v>
      </c>
      <c r="G1747" s="87">
        <v>47.121717017100003</v>
      </c>
      <c r="H1747" s="86">
        <v>5</v>
      </c>
      <c r="I1747" s="86">
        <v>30</v>
      </c>
      <c r="J1747" s="87">
        <v>2</v>
      </c>
      <c r="K1747" s="87"/>
      <c r="L1747" s="87">
        <v>1</v>
      </c>
      <c r="M1747" s="87"/>
      <c r="N1747" s="87"/>
      <c r="O1747" s="87"/>
      <c r="P1747" s="87"/>
      <c r="Q1747" s="87"/>
      <c r="R1747" s="87">
        <v>1</v>
      </c>
      <c r="S1747" s="87"/>
      <c r="T1747" s="87"/>
      <c r="U1747" s="87"/>
      <c r="V1747" s="87">
        <v>1</v>
      </c>
      <c r="W1747" s="87"/>
      <c r="X1747" s="87"/>
      <c r="Y1747" s="87"/>
      <c r="Z1747" s="87"/>
      <c r="AA1747" s="87"/>
      <c r="AB1747" s="87"/>
      <c r="AC1747" s="87">
        <v>3</v>
      </c>
      <c r="AD1747" s="87"/>
      <c r="AE1747" s="87"/>
      <c r="AF1747" s="87"/>
      <c r="AG1747" s="87"/>
      <c r="AH1747" s="87">
        <v>2</v>
      </c>
      <c r="AI1747" s="87"/>
      <c r="AJ1747" s="87"/>
      <c r="AK1747" s="87"/>
      <c r="AL1747" s="87"/>
      <c r="AM1747" s="87"/>
      <c r="AN1747" s="87"/>
      <c r="AO1747" s="87">
        <v>4</v>
      </c>
      <c r="AP1747" s="87">
        <v>1</v>
      </c>
      <c r="AQ1747" s="87"/>
      <c r="AR1747" s="87"/>
      <c r="AS1747" s="87"/>
      <c r="AT1747" s="87"/>
      <c r="AU1747" s="87"/>
      <c r="AV1747" s="87"/>
      <c r="AW1747" s="88" t="str">
        <f>HYPERLINK("http://www.openstreetmap.org/?mlat=31.8456&amp;mlon=47.1217&amp;zoom=12#map=12/31.8456/47.1217","Maplink1")</f>
        <v>Maplink1</v>
      </c>
      <c r="AX1747" s="88" t="str">
        <f>HYPERLINK("https://www.google.iq/maps/search/+31.8456,47.1217/@31.8456,47.1217,14z?hl=en","Maplink2")</f>
        <v>Maplink2</v>
      </c>
      <c r="AY1747" s="88" t="str">
        <f>HYPERLINK("http://www.bing.com/maps/?lvl=14&amp;sty=h&amp;cp=31.8456~47.1217&amp;sp=point.31.8456_47.1217","Maplink3")</f>
        <v>Maplink3</v>
      </c>
      <c r="AZ1747" s="76"/>
    </row>
    <row r="1748" spans="1:52" x14ac:dyDescent="0.25">
      <c r="A1748" s="86">
        <v>16593</v>
      </c>
      <c r="B1748" s="87" t="s">
        <v>21</v>
      </c>
      <c r="C1748" s="87" t="s">
        <v>3330</v>
      </c>
      <c r="D1748" s="87" t="s">
        <v>301</v>
      </c>
      <c r="E1748" s="87" t="s">
        <v>208</v>
      </c>
      <c r="F1748" s="87">
        <v>31.869253587599999</v>
      </c>
      <c r="G1748" s="87">
        <v>47.128883688400002</v>
      </c>
      <c r="H1748" s="86">
        <v>2</v>
      </c>
      <c r="I1748" s="86">
        <v>12</v>
      </c>
      <c r="J1748" s="87">
        <v>1</v>
      </c>
      <c r="K1748" s="87"/>
      <c r="L1748" s="87"/>
      <c r="M1748" s="87"/>
      <c r="N1748" s="87"/>
      <c r="O1748" s="87"/>
      <c r="P1748" s="87"/>
      <c r="Q1748" s="87"/>
      <c r="R1748" s="87">
        <v>1</v>
      </c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>
        <v>1</v>
      </c>
      <c r="AD1748" s="87"/>
      <c r="AE1748" s="87"/>
      <c r="AF1748" s="87"/>
      <c r="AG1748" s="87"/>
      <c r="AH1748" s="87">
        <v>1</v>
      </c>
      <c r="AI1748" s="87"/>
      <c r="AJ1748" s="87"/>
      <c r="AK1748" s="87"/>
      <c r="AL1748" s="87"/>
      <c r="AM1748" s="87"/>
      <c r="AN1748" s="87"/>
      <c r="AO1748" s="87">
        <v>1</v>
      </c>
      <c r="AP1748" s="87"/>
      <c r="AQ1748" s="87">
        <v>1</v>
      </c>
      <c r="AR1748" s="87"/>
      <c r="AS1748" s="87"/>
      <c r="AT1748" s="87"/>
      <c r="AU1748" s="87"/>
      <c r="AV1748" s="87"/>
      <c r="AW1748" s="88" t="str">
        <f>HYPERLINK("http://www.openstreetmap.org/?mlat=31.8693&amp;mlon=47.1289&amp;zoom=12#map=12/31.8693/47.1289","Maplink1")</f>
        <v>Maplink1</v>
      </c>
      <c r="AX1748" s="88" t="str">
        <f>HYPERLINK("https://www.google.iq/maps/search/+31.8693,47.1289/@31.8693,47.1289,14z?hl=en","Maplink2")</f>
        <v>Maplink2</v>
      </c>
      <c r="AY1748" s="88" t="str">
        <f>HYPERLINK("http://www.bing.com/maps/?lvl=14&amp;sty=h&amp;cp=31.8693~47.1289&amp;sp=point.31.8693_47.1289","Maplink3")</f>
        <v>Maplink3</v>
      </c>
      <c r="AZ1748" s="76"/>
    </row>
    <row r="1749" spans="1:52" x14ac:dyDescent="0.25">
      <c r="A1749" s="86">
        <v>16473</v>
      </c>
      <c r="B1749" s="87" t="s">
        <v>21</v>
      </c>
      <c r="C1749" s="87" t="s">
        <v>3330</v>
      </c>
      <c r="D1749" s="87" t="s">
        <v>3395</v>
      </c>
      <c r="E1749" s="87" t="s">
        <v>3396</v>
      </c>
      <c r="F1749" s="87">
        <v>31.8188527599</v>
      </c>
      <c r="G1749" s="87">
        <v>47.130854381200002</v>
      </c>
      <c r="H1749" s="86">
        <v>3</v>
      </c>
      <c r="I1749" s="86">
        <v>18</v>
      </c>
      <c r="J1749" s="87"/>
      <c r="K1749" s="87"/>
      <c r="L1749" s="87"/>
      <c r="M1749" s="87"/>
      <c r="N1749" s="87"/>
      <c r="O1749" s="87"/>
      <c r="P1749" s="87"/>
      <c r="Q1749" s="87"/>
      <c r="R1749" s="87"/>
      <c r="S1749" s="87"/>
      <c r="T1749" s="87"/>
      <c r="U1749" s="87"/>
      <c r="V1749" s="87">
        <v>3</v>
      </c>
      <c r="W1749" s="87"/>
      <c r="X1749" s="87"/>
      <c r="Y1749" s="87"/>
      <c r="Z1749" s="87"/>
      <c r="AA1749" s="87"/>
      <c r="AB1749" s="87"/>
      <c r="AC1749" s="87">
        <v>2</v>
      </c>
      <c r="AD1749" s="87"/>
      <c r="AE1749" s="87"/>
      <c r="AF1749" s="87"/>
      <c r="AG1749" s="87"/>
      <c r="AH1749" s="87">
        <v>1</v>
      </c>
      <c r="AI1749" s="87"/>
      <c r="AJ1749" s="87"/>
      <c r="AK1749" s="87"/>
      <c r="AL1749" s="87"/>
      <c r="AM1749" s="87"/>
      <c r="AN1749" s="87"/>
      <c r="AO1749" s="87"/>
      <c r="AP1749" s="87">
        <v>3</v>
      </c>
      <c r="AQ1749" s="87"/>
      <c r="AR1749" s="87"/>
      <c r="AS1749" s="87"/>
      <c r="AT1749" s="87"/>
      <c r="AU1749" s="87"/>
      <c r="AV1749" s="87"/>
      <c r="AW1749" s="88" t="str">
        <f>HYPERLINK("http://www.openstreetmap.org/?mlat=31.8189&amp;mlon=47.1309&amp;zoom=12#map=12/31.8189/47.1309","Maplink1")</f>
        <v>Maplink1</v>
      </c>
      <c r="AX1749" s="88" t="str">
        <f>HYPERLINK("https://www.google.iq/maps/search/+31.8189,47.1309/@31.8189,47.1309,14z?hl=en","Maplink2")</f>
        <v>Maplink2</v>
      </c>
      <c r="AY1749" s="88" t="str">
        <f>HYPERLINK("http://www.bing.com/maps/?lvl=14&amp;sty=h&amp;cp=31.8189~47.1309&amp;sp=point.31.8189_47.1309","Maplink3")</f>
        <v>Maplink3</v>
      </c>
      <c r="AZ1749" s="76"/>
    </row>
    <row r="1750" spans="1:52" x14ac:dyDescent="0.25">
      <c r="A1750" s="86">
        <v>16457</v>
      </c>
      <c r="B1750" s="87" t="s">
        <v>21</v>
      </c>
      <c r="C1750" s="87" t="s">
        <v>3330</v>
      </c>
      <c r="D1750" s="87" t="s">
        <v>3397</v>
      </c>
      <c r="E1750" s="87" t="s">
        <v>120</v>
      </c>
      <c r="F1750" s="87">
        <v>31.846697400299998</v>
      </c>
      <c r="G1750" s="87">
        <v>47.152643557600001</v>
      </c>
      <c r="H1750" s="86">
        <v>1</v>
      </c>
      <c r="I1750" s="86">
        <v>6</v>
      </c>
      <c r="J1750" s="87"/>
      <c r="K1750" s="87"/>
      <c r="L1750" s="87"/>
      <c r="M1750" s="87"/>
      <c r="N1750" s="87"/>
      <c r="O1750" s="87"/>
      <c r="P1750" s="87"/>
      <c r="Q1750" s="87"/>
      <c r="R1750" s="87"/>
      <c r="S1750" s="87"/>
      <c r="T1750" s="87"/>
      <c r="U1750" s="87"/>
      <c r="V1750" s="87">
        <v>1</v>
      </c>
      <c r="W1750" s="87"/>
      <c r="X1750" s="87"/>
      <c r="Y1750" s="87"/>
      <c r="Z1750" s="87"/>
      <c r="AA1750" s="87"/>
      <c r="AB1750" s="87"/>
      <c r="AC1750" s="87">
        <v>1</v>
      </c>
      <c r="AD1750" s="87"/>
      <c r="AE1750" s="87"/>
      <c r="AF1750" s="87"/>
      <c r="AG1750" s="87"/>
      <c r="AH1750" s="87"/>
      <c r="AI1750" s="87"/>
      <c r="AJ1750" s="87"/>
      <c r="AK1750" s="87"/>
      <c r="AL1750" s="87"/>
      <c r="AM1750" s="87"/>
      <c r="AN1750" s="87"/>
      <c r="AO1750" s="87"/>
      <c r="AP1750" s="87"/>
      <c r="AQ1750" s="87"/>
      <c r="AR1750" s="87"/>
      <c r="AS1750" s="87"/>
      <c r="AT1750" s="87">
        <v>1</v>
      </c>
      <c r="AU1750" s="87"/>
      <c r="AV1750" s="87"/>
      <c r="AW1750" s="88" t="str">
        <f>HYPERLINK("http://www.openstreetmap.org/?mlat=31.8467&amp;mlon=47.1526&amp;zoom=12#map=12/31.8467/47.1526","Maplink1")</f>
        <v>Maplink1</v>
      </c>
      <c r="AX1750" s="88" t="str">
        <f>HYPERLINK("https://www.google.iq/maps/search/+31.8467,47.1526/@31.8467,47.1526,14z?hl=en","Maplink2")</f>
        <v>Maplink2</v>
      </c>
      <c r="AY1750" s="88" t="str">
        <f>HYPERLINK("http://www.bing.com/maps/?lvl=14&amp;sty=h&amp;cp=31.8467~47.1526&amp;sp=point.31.8467_47.1526","Maplink3")</f>
        <v>Maplink3</v>
      </c>
      <c r="AZ1750" s="76"/>
    </row>
    <row r="1751" spans="1:52" x14ac:dyDescent="0.25">
      <c r="A1751" s="86">
        <v>16838</v>
      </c>
      <c r="B1751" s="87" t="s">
        <v>21</v>
      </c>
      <c r="C1751" s="87" t="s">
        <v>3330</v>
      </c>
      <c r="D1751" s="87" t="s">
        <v>3398</v>
      </c>
      <c r="E1751" s="87" t="s">
        <v>1353</v>
      </c>
      <c r="F1751" s="87">
        <v>31.8745274622</v>
      </c>
      <c r="G1751" s="87">
        <v>47.144200019199999</v>
      </c>
      <c r="H1751" s="86">
        <v>5</v>
      </c>
      <c r="I1751" s="86">
        <v>30</v>
      </c>
      <c r="J1751" s="87"/>
      <c r="K1751" s="87"/>
      <c r="L1751" s="87"/>
      <c r="M1751" s="87"/>
      <c r="N1751" s="87"/>
      <c r="O1751" s="87"/>
      <c r="P1751" s="87"/>
      <c r="Q1751" s="87"/>
      <c r="R1751" s="87">
        <v>4</v>
      </c>
      <c r="S1751" s="87"/>
      <c r="T1751" s="87"/>
      <c r="U1751" s="87"/>
      <c r="V1751" s="87">
        <v>1</v>
      </c>
      <c r="W1751" s="87"/>
      <c r="X1751" s="87"/>
      <c r="Y1751" s="87"/>
      <c r="Z1751" s="87"/>
      <c r="AA1751" s="87"/>
      <c r="AB1751" s="87"/>
      <c r="AC1751" s="87">
        <v>4</v>
      </c>
      <c r="AD1751" s="87"/>
      <c r="AE1751" s="87"/>
      <c r="AF1751" s="87"/>
      <c r="AG1751" s="87"/>
      <c r="AH1751" s="87">
        <v>1</v>
      </c>
      <c r="AI1751" s="87"/>
      <c r="AJ1751" s="87"/>
      <c r="AK1751" s="87"/>
      <c r="AL1751" s="87"/>
      <c r="AM1751" s="87"/>
      <c r="AN1751" s="87"/>
      <c r="AO1751" s="87"/>
      <c r="AP1751" s="87">
        <v>4</v>
      </c>
      <c r="AQ1751" s="87">
        <v>1</v>
      </c>
      <c r="AR1751" s="87"/>
      <c r="AS1751" s="87"/>
      <c r="AT1751" s="87"/>
      <c r="AU1751" s="87"/>
      <c r="AV1751" s="87"/>
      <c r="AW1751" s="88" t="str">
        <f>HYPERLINK("http://www.openstreetmap.org/?mlat=31.8745&amp;mlon=47.1442&amp;zoom=12#map=12/31.8745/47.1442","Maplink1")</f>
        <v>Maplink1</v>
      </c>
      <c r="AX1751" s="88" t="str">
        <f>HYPERLINK("https://www.google.iq/maps/search/+31.8745,47.1442/@31.8745,47.1442,14z?hl=en","Maplink2")</f>
        <v>Maplink2</v>
      </c>
      <c r="AY1751" s="88" t="str">
        <f>HYPERLINK("http://www.bing.com/maps/?lvl=14&amp;sty=h&amp;cp=31.8745~47.1442&amp;sp=point.31.8745_47.1442","Maplink3")</f>
        <v>Maplink3</v>
      </c>
      <c r="AZ1751" s="76"/>
    </row>
    <row r="1752" spans="1:52" x14ac:dyDescent="0.25">
      <c r="A1752" s="86">
        <v>24486</v>
      </c>
      <c r="B1752" s="87" t="s">
        <v>21</v>
      </c>
      <c r="C1752" s="87" t="s">
        <v>3330</v>
      </c>
      <c r="D1752" s="87" t="s">
        <v>3399</v>
      </c>
      <c r="E1752" s="87" t="s">
        <v>3400</v>
      </c>
      <c r="F1752" s="87">
        <v>32.033008976300003</v>
      </c>
      <c r="G1752" s="87">
        <v>46.884853174100002</v>
      </c>
      <c r="H1752" s="86">
        <v>3</v>
      </c>
      <c r="I1752" s="86">
        <v>18</v>
      </c>
      <c r="J1752" s="87"/>
      <c r="K1752" s="87"/>
      <c r="L1752" s="87"/>
      <c r="M1752" s="87"/>
      <c r="N1752" s="87"/>
      <c r="O1752" s="87">
        <v>2</v>
      </c>
      <c r="P1752" s="87"/>
      <c r="Q1752" s="87"/>
      <c r="R1752" s="87"/>
      <c r="S1752" s="87"/>
      <c r="T1752" s="87"/>
      <c r="U1752" s="87"/>
      <c r="V1752" s="87">
        <v>1</v>
      </c>
      <c r="W1752" s="87"/>
      <c r="X1752" s="87"/>
      <c r="Y1752" s="87"/>
      <c r="Z1752" s="87"/>
      <c r="AA1752" s="87"/>
      <c r="AB1752" s="87"/>
      <c r="AC1752" s="87">
        <v>1</v>
      </c>
      <c r="AD1752" s="87"/>
      <c r="AE1752" s="87"/>
      <c r="AF1752" s="87"/>
      <c r="AG1752" s="87"/>
      <c r="AH1752" s="87">
        <v>2</v>
      </c>
      <c r="AI1752" s="87"/>
      <c r="AJ1752" s="87"/>
      <c r="AK1752" s="87"/>
      <c r="AL1752" s="87"/>
      <c r="AM1752" s="87"/>
      <c r="AN1752" s="87"/>
      <c r="AO1752" s="87">
        <v>3</v>
      </c>
      <c r="AP1752" s="87"/>
      <c r="AQ1752" s="87"/>
      <c r="AR1752" s="87"/>
      <c r="AS1752" s="87"/>
      <c r="AT1752" s="87"/>
      <c r="AU1752" s="87"/>
      <c r="AV1752" s="87"/>
      <c r="AW1752" s="88" t="str">
        <f>HYPERLINK("http://www.openstreetmap.org/?mlat=32.033&amp;mlon=46.8849&amp;zoom=12#map=12/32.033/46.8849","Maplink1")</f>
        <v>Maplink1</v>
      </c>
      <c r="AX1752" s="88" t="str">
        <f>HYPERLINK("https://www.google.iq/maps/search/+32.033,46.8849/@32.033,46.8849,14z?hl=en","Maplink2")</f>
        <v>Maplink2</v>
      </c>
      <c r="AY1752" s="88" t="str">
        <f>HYPERLINK("http://www.bing.com/maps/?lvl=14&amp;sty=h&amp;cp=32.033~46.8849&amp;sp=point.32.033_46.8849","Maplink3")</f>
        <v>Maplink3</v>
      </c>
      <c r="AZ1752" s="76"/>
    </row>
    <row r="1753" spans="1:52" x14ac:dyDescent="0.25">
      <c r="A1753" s="86">
        <v>16497</v>
      </c>
      <c r="B1753" s="87" t="s">
        <v>21</v>
      </c>
      <c r="C1753" s="87" t="s">
        <v>3330</v>
      </c>
      <c r="D1753" s="87" t="s">
        <v>3401</v>
      </c>
      <c r="E1753" s="87" t="s">
        <v>3402</v>
      </c>
      <c r="F1753" s="87">
        <v>31.836000583099999</v>
      </c>
      <c r="G1753" s="87">
        <v>47.145023234200004</v>
      </c>
      <c r="H1753" s="86">
        <v>1</v>
      </c>
      <c r="I1753" s="86">
        <v>6</v>
      </c>
      <c r="J1753" s="87"/>
      <c r="K1753" s="87"/>
      <c r="L1753" s="87"/>
      <c r="M1753" s="87"/>
      <c r="N1753" s="87"/>
      <c r="O1753" s="87"/>
      <c r="P1753" s="87"/>
      <c r="Q1753" s="87"/>
      <c r="R1753" s="87">
        <v>1</v>
      </c>
      <c r="S1753" s="87"/>
      <c r="T1753" s="87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87"/>
      <c r="AE1753" s="87"/>
      <c r="AF1753" s="87"/>
      <c r="AG1753" s="87"/>
      <c r="AH1753" s="87">
        <v>1</v>
      </c>
      <c r="AI1753" s="87"/>
      <c r="AJ1753" s="87"/>
      <c r="AK1753" s="87"/>
      <c r="AL1753" s="87"/>
      <c r="AM1753" s="87"/>
      <c r="AN1753" s="87"/>
      <c r="AO1753" s="87"/>
      <c r="AP1753" s="87">
        <v>1</v>
      </c>
      <c r="AQ1753" s="87"/>
      <c r="AR1753" s="87"/>
      <c r="AS1753" s="87"/>
      <c r="AT1753" s="87"/>
      <c r="AU1753" s="87"/>
      <c r="AV1753" s="87"/>
      <c r="AW1753" s="88" t="str">
        <f>HYPERLINK("http://www.openstreetmap.org/?mlat=31.836&amp;mlon=47.145&amp;zoom=12#map=12/31.836/47.145","Maplink1")</f>
        <v>Maplink1</v>
      </c>
      <c r="AX1753" s="88" t="str">
        <f>HYPERLINK("https://www.google.iq/maps/search/+31.836,47.145/@31.836,47.145,14z?hl=en","Maplink2")</f>
        <v>Maplink2</v>
      </c>
      <c r="AY1753" s="88" t="str">
        <f>HYPERLINK("http://www.bing.com/maps/?lvl=14&amp;sty=h&amp;cp=31.836~47.145&amp;sp=point.31.836_47.145","Maplink3")</f>
        <v>Maplink3</v>
      </c>
      <c r="AZ1753" s="76"/>
    </row>
    <row r="1754" spans="1:52" x14ac:dyDescent="0.25">
      <c r="A1754" s="86">
        <v>16844</v>
      </c>
      <c r="B1754" s="87" t="s">
        <v>21</v>
      </c>
      <c r="C1754" s="87" t="s">
        <v>3330</v>
      </c>
      <c r="D1754" s="87" t="s">
        <v>3403</v>
      </c>
      <c r="E1754" s="87" t="s">
        <v>3404</v>
      </c>
      <c r="F1754" s="87">
        <v>31.831813094299999</v>
      </c>
      <c r="G1754" s="87">
        <v>47.152594245300001</v>
      </c>
      <c r="H1754" s="86">
        <v>9</v>
      </c>
      <c r="I1754" s="86">
        <v>54</v>
      </c>
      <c r="J1754" s="87">
        <v>3</v>
      </c>
      <c r="K1754" s="87"/>
      <c r="L1754" s="87"/>
      <c r="M1754" s="87"/>
      <c r="N1754" s="87"/>
      <c r="O1754" s="87"/>
      <c r="P1754" s="87"/>
      <c r="Q1754" s="87"/>
      <c r="R1754" s="87"/>
      <c r="S1754" s="87"/>
      <c r="T1754" s="87"/>
      <c r="U1754" s="87"/>
      <c r="V1754" s="87">
        <v>2</v>
      </c>
      <c r="W1754" s="87"/>
      <c r="X1754" s="87">
        <v>4</v>
      </c>
      <c r="Y1754" s="87"/>
      <c r="Z1754" s="87"/>
      <c r="AA1754" s="87"/>
      <c r="AB1754" s="87"/>
      <c r="AC1754" s="87">
        <v>3</v>
      </c>
      <c r="AD1754" s="87"/>
      <c r="AE1754" s="87"/>
      <c r="AF1754" s="87"/>
      <c r="AG1754" s="87"/>
      <c r="AH1754" s="87">
        <v>6</v>
      </c>
      <c r="AI1754" s="87"/>
      <c r="AJ1754" s="87"/>
      <c r="AK1754" s="87"/>
      <c r="AL1754" s="87"/>
      <c r="AM1754" s="87"/>
      <c r="AN1754" s="87"/>
      <c r="AO1754" s="87">
        <v>1</v>
      </c>
      <c r="AP1754" s="87">
        <v>1</v>
      </c>
      <c r="AQ1754" s="87">
        <v>7</v>
      </c>
      <c r="AR1754" s="87"/>
      <c r="AS1754" s="87"/>
      <c r="AT1754" s="87"/>
      <c r="AU1754" s="87"/>
      <c r="AV1754" s="87"/>
      <c r="AW1754" s="88" t="str">
        <f>HYPERLINK("http://www.openstreetmap.org/?mlat=31.8318&amp;mlon=47.1526&amp;zoom=12#map=12/31.8318/47.1526","Maplink1")</f>
        <v>Maplink1</v>
      </c>
      <c r="AX1754" s="88" t="str">
        <f>HYPERLINK("https://www.google.iq/maps/search/+31.8318,47.1526/@31.8318,47.1526,14z?hl=en","Maplink2")</f>
        <v>Maplink2</v>
      </c>
      <c r="AY1754" s="88" t="str">
        <f>HYPERLINK("http://www.bing.com/maps/?lvl=14&amp;sty=h&amp;cp=31.8318~47.1526&amp;sp=point.31.8318_47.1526","Maplink3")</f>
        <v>Maplink3</v>
      </c>
      <c r="AZ1754" s="76"/>
    </row>
    <row r="1755" spans="1:52" x14ac:dyDescent="0.25">
      <c r="A1755" s="86">
        <v>16813</v>
      </c>
      <c r="B1755" s="87" t="s">
        <v>21</v>
      </c>
      <c r="C1755" s="87" t="s">
        <v>3330</v>
      </c>
      <c r="D1755" s="87" t="s">
        <v>3405</v>
      </c>
      <c r="E1755" s="87" t="s">
        <v>3406</v>
      </c>
      <c r="F1755" s="87">
        <v>31.875044787299998</v>
      </c>
      <c r="G1755" s="87">
        <v>47.138120128799997</v>
      </c>
      <c r="H1755" s="86">
        <v>5</v>
      </c>
      <c r="I1755" s="86">
        <v>30</v>
      </c>
      <c r="J1755" s="87"/>
      <c r="K1755" s="87"/>
      <c r="L1755" s="87"/>
      <c r="M1755" s="87"/>
      <c r="N1755" s="87"/>
      <c r="O1755" s="87">
        <v>1</v>
      </c>
      <c r="P1755" s="87"/>
      <c r="Q1755" s="87"/>
      <c r="R1755" s="87">
        <v>2</v>
      </c>
      <c r="S1755" s="87"/>
      <c r="T1755" s="87"/>
      <c r="U1755" s="87"/>
      <c r="V1755" s="87">
        <v>2</v>
      </c>
      <c r="W1755" s="87"/>
      <c r="X1755" s="87"/>
      <c r="Y1755" s="87"/>
      <c r="Z1755" s="87"/>
      <c r="AA1755" s="87"/>
      <c r="AB1755" s="87"/>
      <c r="AC1755" s="87">
        <v>2</v>
      </c>
      <c r="AD1755" s="87"/>
      <c r="AE1755" s="87">
        <v>1</v>
      </c>
      <c r="AF1755" s="87"/>
      <c r="AG1755" s="87"/>
      <c r="AH1755" s="87">
        <v>2</v>
      </c>
      <c r="AI1755" s="87"/>
      <c r="AJ1755" s="87"/>
      <c r="AK1755" s="87"/>
      <c r="AL1755" s="87"/>
      <c r="AM1755" s="87"/>
      <c r="AN1755" s="87"/>
      <c r="AO1755" s="87">
        <v>2</v>
      </c>
      <c r="AP1755" s="87">
        <v>2</v>
      </c>
      <c r="AQ1755" s="87">
        <v>1</v>
      </c>
      <c r="AR1755" s="87"/>
      <c r="AS1755" s="87"/>
      <c r="AT1755" s="87"/>
      <c r="AU1755" s="87"/>
      <c r="AV1755" s="87"/>
      <c r="AW1755" s="88" t="str">
        <f>HYPERLINK("http://www.openstreetmap.org/?mlat=31.875&amp;mlon=47.1381&amp;zoom=12#map=12/31.875/47.1381","Maplink1")</f>
        <v>Maplink1</v>
      </c>
      <c r="AX1755" s="88" t="str">
        <f>HYPERLINK("https://www.google.iq/maps/search/+31.875,47.1381/@31.875,47.1381,14z?hl=en","Maplink2")</f>
        <v>Maplink2</v>
      </c>
      <c r="AY1755" s="88" t="str">
        <f>HYPERLINK("http://www.bing.com/maps/?lvl=14&amp;sty=h&amp;cp=31.875~47.1381&amp;sp=point.31.875_47.1381","Maplink3")</f>
        <v>Maplink3</v>
      </c>
      <c r="AZ1755" s="76"/>
    </row>
    <row r="1756" spans="1:52" x14ac:dyDescent="0.25">
      <c r="A1756" s="86">
        <v>24199</v>
      </c>
      <c r="B1756" s="87" t="s">
        <v>21</v>
      </c>
      <c r="C1756" s="87" t="s">
        <v>3330</v>
      </c>
      <c r="D1756" s="87" t="s">
        <v>3407</v>
      </c>
      <c r="E1756" s="87" t="s">
        <v>3408</v>
      </c>
      <c r="F1756" s="87">
        <v>31.844853004400001</v>
      </c>
      <c r="G1756" s="87">
        <v>47.145340153900001</v>
      </c>
      <c r="H1756" s="86">
        <v>4</v>
      </c>
      <c r="I1756" s="86">
        <v>24</v>
      </c>
      <c r="J1756" s="87"/>
      <c r="K1756" s="87"/>
      <c r="L1756" s="87"/>
      <c r="M1756" s="87"/>
      <c r="N1756" s="87"/>
      <c r="O1756" s="87"/>
      <c r="P1756" s="87"/>
      <c r="Q1756" s="87"/>
      <c r="R1756" s="87">
        <v>2</v>
      </c>
      <c r="S1756" s="87"/>
      <c r="T1756" s="87"/>
      <c r="U1756" s="87"/>
      <c r="V1756" s="87">
        <v>2</v>
      </c>
      <c r="W1756" s="87"/>
      <c r="X1756" s="87"/>
      <c r="Y1756" s="87"/>
      <c r="Z1756" s="87"/>
      <c r="AA1756" s="87"/>
      <c r="AB1756" s="87"/>
      <c r="AC1756" s="87">
        <v>1</v>
      </c>
      <c r="AD1756" s="87"/>
      <c r="AE1756" s="87">
        <v>1</v>
      </c>
      <c r="AF1756" s="87"/>
      <c r="AG1756" s="87"/>
      <c r="AH1756" s="87">
        <v>2</v>
      </c>
      <c r="AI1756" s="87"/>
      <c r="AJ1756" s="87"/>
      <c r="AK1756" s="87"/>
      <c r="AL1756" s="87"/>
      <c r="AM1756" s="87"/>
      <c r="AN1756" s="87"/>
      <c r="AO1756" s="87">
        <v>2</v>
      </c>
      <c r="AP1756" s="87"/>
      <c r="AQ1756" s="87">
        <v>2</v>
      </c>
      <c r="AR1756" s="87"/>
      <c r="AS1756" s="87"/>
      <c r="AT1756" s="87"/>
      <c r="AU1756" s="87"/>
      <c r="AV1756" s="87"/>
      <c r="AW1756" s="88" t="str">
        <f>HYPERLINK("http://www.openstreetmap.org/?mlat=31.8449&amp;mlon=47.1453&amp;zoom=12#map=12/31.8449/47.1453","Maplink1")</f>
        <v>Maplink1</v>
      </c>
      <c r="AX1756" s="88" t="str">
        <f>HYPERLINK("https://www.google.iq/maps/search/+31.8449,47.1453/@31.8449,47.1453,14z?hl=en","Maplink2")</f>
        <v>Maplink2</v>
      </c>
      <c r="AY1756" s="88" t="str">
        <f>HYPERLINK("http://www.bing.com/maps/?lvl=14&amp;sty=h&amp;cp=31.8449~47.1453&amp;sp=point.31.8449_47.1453","Maplink3")</f>
        <v>Maplink3</v>
      </c>
      <c r="AZ1756" s="76"/>
    </row>
    <row r="1757" spans="1:52" x14ac:dyDescent="0.25">
      <c r="A1757" s="86">
        <v>22889</v>
      </c>
      <c r="B1757" s="87" t="s">
        <v>21</v>
      </c>
      <c r="C1757" s="87" t="s">
        <v>3330</v>
      </c>
      <c r="D1757" s="87" t="s">
        <v>3409</v>
      </c>
      <c r="E1757" s="87" t="s">
        <v>3410</v>
      </c>
      <c r="F1757" s="87">
        <v>31.811079038999999</v>
      </c>
      <c r="G1757" s="87">
        <v>47.154446138899999</v>
      </c>
      <c r="H1757" s="86">
        <v>5</v>
      </c>
      <c r="I1757" s="86">
        <v>30</v>
      </c>
      <c r="J1757" s="87"/>
      <c r="K1757" s="87"/>
      <c r="L1757" s="87"/>
      <c r="M1757" s="87"/>
      <c r="N1757" s="87"/>
      <c r="O1757" s="87"/>
      <c r="P1757" s="87"/>
      <c r="Q1757" s="87"/>
      <c r="R1757" s="87"/>
      <c r="S1757" s="87"/>
      <c r="T1757" s="87"/>
      <c r="U1757" s="87"/>
      <c r="V1757" s="87"/>
      <c r="W1757" s="87"/>
      <c r="X1757" s="87">
        <v>5</v>
      </c>
      <c r="Y1757" s="87"/>
      <c r="Z1757" s="87"/>
      <c r="AA1757" s="87"/>
      <c r="AB1757" s="87"/>
      <c r="AC1757" s="87">
        <v>3</v>
      </c>
      <c r="AD1757" s="87"/>
      <c r="AE1757" s="87"/>
      <c r="AF1757" s="87"/>
      <c r="AG1757" s="87"/>
      <c r="AH1757" s="87">
        <v>2</v>
      </c>
      <c r="AI1757" s="87"/>
      <c r="AJ1757" s="87"/>
      <c r="AK1757" s="87"/>
      <c r="AL1757" s="87"/>
      <c r="AM1757" s="87"/>
      <c r="AN1757" s="87"/>
      <c r="AO1757" s="87">
        <v>3</v>
      </c>
      <c r="AP1757" s="87"/>
      <c r="AQ1757" s="87">
        <v>2</v>
      </c>
      <c r="AR1757" s="87"/>
      <c r="AS1757" s="87"/>
      <c r="AT1757" s="87"/>
      <c r="AU1757" s="87"/>
      <c r="AV1757" s="87"/>
      <c r="AW1757" s="88" t="str">
        <f>HYPERLINK("http://www.openstreetmap.org/?mlat=31.8111&amp;mlon=47.1544&amp;zoom=12#map=12/31.8111/47.1544","Maplink1")</f>
        <v>Maplink1</v>
      </c>
      <c r="AX1757" s="88" t="str">
        <f>HYPERLINK("https://www.google.iq/maps/search/+31.8111,47.1544/@31.8111,47.1544,14z?hl=en","Maplink2")</f>
        <v>Maplink2</v>
      </c>
      <c r="AY1757" s="88" t="str">
        <f>HYPERLINK("http://www.bing.com/maps/?lvl=14&amp;sty=h&amp;cp=31.8111~47.1544&amp;sp=point.31.8111_47.1544","Maplink3")</f>
        <v>Maplink3</v>
      </c>
      <c r="AZ1757" s="76"/>
    </row>
    <row r="1758" spans="1:52" x14ac:dyDescent="0.25">
      <c r="A1758" s="86">
        <v>21220</v>
      </c>
      <c r="B1758" s="87" t="s">
        <v>21</v>
      </c>
      <c r="C1758" s="87" t="s">
        <v>3411</v>
      </c>
      <c r="D1758" s="87" t="s">
        <v>1888</v>
      </c>
      <c r="E1758" s="87" t="s">
        <v>410</v>
      </c>
      <c r="F1758" s="87">
        <v>31.5289852123</v>
      </c>
      <c r="G1758" s="87">
        <v>47.294532807400003</v>
      </c>
      <c r="H1758" s="86">
        <v>1</v>
      </c>
      <c r="I1758" s="86">
        <v>6</v>
      </c>
      <c r="J1758" s="87"/>
      <c r="K1758" s="87"/>
      <c r="L1758" s="87"/>
      <c r="M1758" s="87"/>
      <c r="N1758" s="87"/>
      <c r="O1758" s="87"/>
      <c r="P1758" s="87"/>
      <c r="Q1758" s="87"/>
      <c r="R1758" s="87">
        <v>1</v>
      </c>
      <c r="S1758" s="87"/>
      <c r="T1758" s="87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87"/>
      <c r="AE1758" s="87"/>
      <c r="AF1758" s="87"/>
      <c r="AG1758" s="87"/>
      <c r="AH1758" s="87">
        <v>1</v>
      </c>
      <c r="AI1758" s="87"/>
      <c r="AJ1758" s="87"/>
      <c r="AK1758" s="87"/>
      <c r="AL1758" s="87"/>
      <c r="AM1758" s="87"/>
      <c r="AN1758" s="87"/>
      <c r="AO1758" s="87">
        <v>1</v>
      </c>
      <c r="AP1758" s="87"/>
      <c r="AQ1758" s="87"/>
      <c r="AR1758" s="87"/>
      <c r="AS1758" s="87"/>
      <c r="AT1758" s="87"/>
      <c r="AU1758" s="87"/>
      <c r="AV1758" s="87"/>
      <c r="AW1758" s="88" t="str">
        <f>HYPERLINK("http://www.openstreetmap.org/?mlat=31.529&amp;mlon=47.2945&amp;zoom=12#map=12/31.529/47.2945","Maplink1")</f>
        <v>Maplink1</v>
      </c>
      <c r="AX1758" s="88" t="str">
        <f>HYPERLINK("https://www.google.iq/maps/search/+31.529,47.2945/@31.529,47.2945,14z?hl=en","Maplink2")</f>
        <v>Maplink2</v>
      </c>
      <c r="AY1758" s="88" t="str">
        <f>HYPERLINK("http://www.bing.com/maps/?lvl=14&amp;sty=h&amp;cp=31.529~47.2945&amp;sp=point.31.529_47.2945","Maplink3")</f>
        <v>Maplink3</v>
      </c>
      <c r="AZ1758" s="76"/>
    </row>
    <row r="1759" spans="1:52" x14ac:dyDescent="0.25">
      <c r="A1759" s="86">
        <v>21369</v>
      </c>
      <c r="B1759" s="87" t="s">
        <v>21</v>
      </c>
      <c r="C1759" s="87" t="s">
        <v>3411</v>
      </c>
      <c r="D1759" s="87" t="s">
        <v>3412</v>
      </c>
      <c r="E1759" s="87" t="s">
        <v>3413</v>
      </c>
      <c r="F1759" s="87">
        <v>31.5186842532</v>
      </c>
      <c r="G1759" s="87">
        <v>47.289435724900002</v>
      </c>
      <c r="H1759" s="86">
        <v>2</v>
      </c>
      <c r="I1759" s="86">
        <v>12</v>
      </c>
      <c r="J1759" s="87"/>
      <c r="K1759" s="87"/>
      <c r="L1759" s="87"/>
      <c r="M1759" s="87"/>
      <c r="N1759" s="87"/>
      <c r="O1759" s="87"/>
      <c r="P1759" s="87"/>
      <c r="Q1759" s="87"/>
      <c r="R1759" s="87"/>
      <c r="S1759" s="87"/>
      <c r="T1759" s="87"/>
      <c r="U1759" s="87"/>
      <c r="V1759" s="87">
        <v>2</v>
      </c>
      <c r="W1759" s="87"/>
      <c r="X1759" s="87"/>
      <c r="Y1759" s="87"/>
      <c r="Z1759" s="87"/>
      <c r="AA1759" s="87"/>
      <c r="AB1759" s="87"/>
      <c r="AC1759" s="87">
        <v>1</v>
      </c>
      <c r="AD1759" s="87"/>
      <c r="AE1759" s="87"/>
      <c r="AF1759" s="87"/>
      <c r="AG1759" s="87">
        <v>1</v>
      </c>
      <c r="AH1759" s="87"/>
      <c r="AI1759" s="87"/>
      <c r="AJ1759" s="87"/>
      <c r="AK1759" s="87"/>
      <c r="AL1759" s="87"/>
      <c r="AM1759" s="87"/>
      <c r="AN1759" s="87"/>
      <c r="AO1759" s="87"/>
      <c r="AP1759" s="87"/>
      <c r="AQ1759" s="87"/>
      <c r="AR1759" s="87"/>
      <c r="AS1759" s="87"/>
      <c r="AT1759" s="87">
        <v>2</v>
      </c>
      <c r="AU1759" s="87"/>
      <c r="AV1759" s="87"/>
      <c r="AW1759" s="88" t="str">
        <f>HYPERLINK("http://www.openstreetmap.org/?mlat=31.5187&amp;mlon=47.2894&amp;zoom=12#map=12/31.5187/47.2894","Maplink1")</f>
        <v>Maplink1</v>
      </c>
      <c r="AX1759" s="88" t="str">
        <f>HYPERLINK("https://www.google.iq/maps/search/+31.5187,47.2894/@31.5187,47.2894,14z?hl=en","Maplink2")</f>
        <v>Maplink2</v>
      </c>
      <c r="AY1759" s="88" t="str">
        <f>HYPERLINK("http://www.bing.com/maps/?lvl=14&amp;sty=h&amp;cp=31.5187~47.2894&amp;sp=point.31.5187_47.2894","Maplink3")</f>
        <v>Maplink3</v>
      </c>
      <c r="AZ1759" s="76"/>
    </row>
    <row r="1760" spans="1:52" x14ac:dyDescent="0.25">
      <c r="A1760" s="86">
        <v>15777</v>
      </c>
      <c r="B1760" s="87" t="s">
        <v>21</v>
      </c>
      <c r="C1760" s="87" t="s">
        <v>3411</v>
      </c>
      <c r="D1760" s="87" t="s">
        <v>3414</v>
      </c>
      <c r="E1760" s="87" t="s">
        <v>3415</v>
      </c>
      <c r="F1760" s="87">
        <v>31.518643493199999</v>
      </c>
      <c r="G1760" s="87">
        <v>47.2955179175</v>
      </c>
      <c r="H1760" s="86">
        <v>2</v>
      </c>
      <c r="I1760" s="86">
        <v>12</v>
      </c>
      <c r="J1760" s="87"/>
      <c r="K1760" s="87"/>
      <c r="L1760" s="87"/>
      <c r="M1760" s="87"/>
      <c r="N1760" s="87"/>
      <c r="O1760" s="87"/>
      <c r="P1760" s="87"/>
      <c r="Q1760" s="87"/>
      <c r="R1760" s="87">
        <v>1</v>
      </c>
      <c r="S1760" s="87"/>
      <c r="T1760" s="87"/>
      <c r="U1760" s="87"/>
      <c r="V1760" s="87">
        <v>1</v>
      </c>
      <c r="W1760" s="87"/>
      <c r="X1760" s="87"/>
      <c r="Y1760" s="87"/>
      <c r="Z1760" s="87"/>
      <c r="AA1760" s="87"/>
      <c r="AB1760" s="87"/>
      <c r="AC1760" s="87">
        <v>2</v>
      </c>
      <c r="AD1760" s="87"/>
      <c r="AE1760" s="87"/>
      <c r="AF1760" s="87"/>
      <c r="AG1760" s="87"/>
      <c r="AH1760" s="87"/>
      <c r="AI1760" s="87"/>
      <c r="AJ1760" s="87"/>
      <c r="AK1760" s="87"/>
      <c r="AL1760" s="87"/>
      <c r="AM1760" s="87"/>
      <c r="AN1760" s="87"/>
      <c r="AO1760" s="87"/>
      <c r="AP1760" s="87">
        <v>1</v>
      </c>
      <c r="AQ1760" s="87"/>
      <c r="AR1760" s="87"/>
      <c r="AS1760" s="87">
        <v>1</v>
      </c>
      <c r="AT1760" s="87"/>
      <c r="AU1760" s="87"/>
      <c r="AV1760" s="87"/>
      <c r="AW1760" s="88" t="str">
        <f>HYPERLINK("http://www.openstreetmap.org/?mlat=31.5186&amp;mlon=47.2955&amp;zoom=12#map=12/31.5186/47.2955","Maplink1")</f>
        <v>Maplink1</v>
      </c>
      <c r="AX1760" s="88" t="str">
        <f>HYPERLINK("https://www.google.iq/maps/search/+31.5186,47.2955/@31.5186,47.2955,14z?hl=en","Maplink2")</f>
        <v>Maplink2</v>
      </c>
      <c r="AY1760" s="88" t="str">
        <f>HYPERLINK("http://www.bing.com/maps/?lvl=14&amp;sty=h&amp;cp=31.5186~47.2955&amp;sp=point.31.5186_47.2955","Maplink3")</f>
        <v>Maplink3</v>
      </c>
      <c r="AZ1760" s="76"/>
    </row>
    <row r="1761" spans="1:52" x14ac:dyDescent="0.25">
      <c r="A1761" s="86">
        <v>21370</v>
      </c>
      <c r="B1761" s="87" t="s">
        <v>21</v>
      </c>
      <c r="C1761" s="87" t="s">
        <v>3411</v>
      </c>
      <c r="D1761" s="87" t="s">
        <v>3416</v>
      </c>
      <c r="E1761" s="87" t="s">
        <v>3392</v>
      </c>
      <c r="F1761" s="87">
        <v>31.5204271502</v>
      </c>
      <c r="G1761" s="87">
        <v>47.289783137900002</v>
      </c>
      <c r="H1761" s="86">
        <v>1</v>
      </c>
      <c r="I1761" s="86">
        <v>6</v>
      </c>
      <c r="J1761" s="87"/>
      <c r="K1761" s="87"/>
      <c r="L1761" s="87"/>
      <c r="M1761" s="87"/>
      <c r="N1761" s="87"/>
      <c r="O1761" s="87"/>
      <c r="P1761" s="87"/>
      <c r="Q1761" s="87"/>
      <c r="R1761" s="87"/>
      <c r="S1761" s="87"/>
      <c r="T1761" s="87"/>
      <c r="U1761" s="87"/>
      <c r="V1761" s="87">
        <v>1</v>
      </c>
      <c r="W1761" s="87"/>
      <c r="X1761" s="87"/>
      <c r="Y1761" s="87"/>
      <c r="Z1761" s="87"/>
      <c r="AA1761" s="87"/>
      <c r="AB1761" s="87"/>
      <c r="AC1761" s="87"/>
      <c r="AD1761" s="87"/>
      <c r="AE1761" s="87"/>
      <c r="AF1761" s="87"/>
      <c r="AG1761" s="87"/>
      <c r="AH1761" s="87">
        <v>1</v>
      </c>
      <c r="AI1761" s="87"/>
      <c r="AJ1761" s="87"/>
      <c r="AK1761" s="87"/>
      <c r="AL1761" s="87"/>
      <c r="AM1761" s="87"/>
      <c r="AN1761" s="87"/>
      <c r="AO1761" s="87"/>
      <c r="AP1761" s="87"/>
      <c r="AQ1761" s="87">
        <v>1</v>
      </c>
      <c r="AR1761" s="87"/>
      <c r="AS1761" s="87"/>
      <c r="AT1761" s="87"/>
      <c r="AU1761" s="87"/>
      <c r="AV1761" s="87"/>
      <c r="AW1761" s="88" t="str">
        <f>HYPERLINK("http://www.openstreetmap.org/?mlat=31.5204&amp;mlon=47.2898&amp;zoom=12#map=12/31.5204/47.2898","Maplink1")</f>
        <v>Maplink1</v>
      </c>
      <c r="AX1761" s="88" t="str">
        <f>HYPERLINK("https://www.google.iq/maps/search/+31.5204,47.2898/@31.5204,47.2898,14z?hl=en","Maplink2")</f>
        <v>Maplink2</v>
      </c>
      <c r="AY1761" s="88" t="str">
        <f>HYPERLINK("http://www.bing.com/maps/?lvl=14&amp;sty=h&amp;cp=31.5204~47.2898&amp;sp=point.31.5204_47.2898","Maplink3")</f>
        <v>Maplink3</v>
      </c>
      <c r="AZ1761" s="76"/>
    </row>
    <row r="1762" spans="1:52" x14ac:dyDescent="0.25">
      <c r="A1762" s="86">
        <v>23622</v>
      </c>
      <c r="B1762" s="87" t="s">
        <v>21</v>
      </c>
      <c r="C1762" s="87" t="s">
        <v>3411</v>
      </c>
      <c r="D1762" s="87" t="s">
        <v>3364</v>
      </c>
      <c r="E1762" s="87" t="s">
        <v>269</v>
      </c>
      <c r="F1762" s="87">
        <v>31.531346166799999</v>
      </c>
      <c r="G1762" s="87">
        <v>47.289242273100001</v>
      </c>
      <c r="H1762" s="86">
        <v>9</v>
      </c>
      <c r="I1762" s="86">
        <v>54</v>
      </c>
      <c r="J1762" s="87"/>
      <c r="K1762" s="87"/>
      <c r="L1762" s="87"/>
      <c r="M1762" s="87"/>
      <c r="N1762" s="87"/>
      <c r="O1762" s="87"/>
      <c r="P1762" s="87"/>
      <c r="Q1762" s="87"/>
      <c r="R1762" s="87">
        <v>2</v>
      </c>
      <c r="S1762" s="87"/>
      <c r="T1762" s="87"/>
      <c r="U1762" s="87"/>
      <c r="V1762" s="87">
        <v>7</v>
      </c>
      <c r="W1762" s="87"/>
      <c r="X1762" s="87"/>
      <c r="Y1762" s="87"/>
      <c r="Z1762" s="87"/>
      <c r="AA1762" s="87"/>
      <c r="AB1762" s="87"/>
      <c r="AC1762" s="87">
        <v>3</v>
      </c>
      <c r="AD1762" s="87"/>
      <c r="AE1762" s="87"/>
      <c r="AF1762" s="87"/>
      <c r="AG1762" s="87"/>
      <c r="AH1762" s="87">
        <v>6</v>
      </c>
      <c r="AI1762" s="87"/>
      <c r="AJ1762" s="87"/>
      <c r="AK1762" s="87"/>
      <c r="AL1762" s="87"/>
      <c r="AM1762" s="87"/>
      <c r="AN1762" s="87"/>
      <c r="AO1762" s="87">
        <v>6</v>
      </c>
      <c r="AP1762" s="87">
        <v>2</v>
      </c>
      <c r="AQ1762" s="87"/>
      <c r="AR1762" s="87"/>
      <c r="AS1762" s="87"/>
      <c r="AT1762" s="87">
        <v>1</v>
      </c>
      <c r="AU1762" s="87"/>
      <c r="AV1762" s="87"/>
      <c r="AW1762" s="88" t="str">
        <f>HYPERLINK("http://www.openstreetmap.org/?mlat=31.5313&amp;mlon=47.2892&amp;zoom=12#map=12/31.5313/47.2892","Maplink1")</f>
        <v>Maplink1</v>
      </c>
      <c r="AX1762" s="88" t="str">
        <f>HYPERLINK("https://www.google.iq/maps/search/+31.5313,47.2892/@31.5313,47.2892,14z?hl=en","Maplink2")</f>
        <v>Maplink2</v>
      </c>
      <c r="AY1762" s="88" t="str">
        <f>HYPERLINK("http://www.bing.com/maps/?lvl=14&amp;sty=h&amp;cp=31.5313~47.2892&amp;sp=point.31.5313_47.2892","Maplink3")</f>
        <v>Maplink3</v>
      </c>
      <c r="AZ1762" s="76"/>
    </row>
    <row r="1763" spans="1:52" x14ac:dyDescent="0.25">
      <c r="A1763" s="86">
        <v>24548</v>
      </c>
      <c r="B1763" s="87" t="s">
        <v>21</v>
      </c>
      <c r="C1763" s="87" t="s">
        <v>3411</v>
      </c>
      <c r="D1763" s="87" t="s">
        <v>301</v>
      </c>
      <c r="E1763" s="87" t="s">
        <v>208</v>
      </c>
      <c r="F1763" s="87">
        <v>31.523269803600002</v>
      </c>
      <c r="G1763" s="87">
        <v>47.298196364799999</v>
      </c>
      <c r="H1763" s="86">
        <v>1</v>
      </c>
      <c r="I1763" s="86">
        <v>6</v>
      </c>
      <c r="J1763" s="87"/>
      <c r="K1763" s="87"/>
      <c r="L1763" s="87"/>
      <c r="M1763" s="87"/>
      <c r="N1763" s="87"/>
      <c r="O1763" s="87"/>
      <c r="P1763" s="87"/>
      <c r="Q1763" s="87"/>
      <c r="R1763" s="87"/>
      <c r="S1763" s="87"/>
      <c r="T1763" s="87"/>
      <c r="U1763" s="87"/>
      <c r="V1763" s="87">
        <v>1</v>
      </c>
      <c r="W1763" s="87"/>
      <c r="X1763" s="87"/>
      <c r="Y1763" s="87"/>
      <c r="Z1763" s="87"/>
      <c r="AA1763" s="87"/>
      <c r="AB1763" s="87"/>
      <c r="AC1763" s="87">
        <v>1</v>
      </c>
      <c r="AD1763" s="87"/>
      <c r="AE1763" s="87"/>
      <c r="AF1763" s="87"/>
      <c r="AG1763" s="87"/>
      <c r="AH1763" s="87"/>
      <c r="AI1763" s="87"/>
      <c r="AJ1763" s="87"/>
      <c r="AK1763" s="87"/>
      <c r="AL1763" s="87"/>
      <c r="AM1763" s="87"/>
      <c r="AN1763" s="87"/>
      <c r="AO1763" s="87"/>
      <c r="AP1763" s="87"/>
      <c r="AQ1763" s="87">
        <v>1</v>
      </c>
      <c r="AR1763" s="87"/>
      <c r="AS1763" s="87"/>
      <c r="AT1763" s="87"/>
      <c r="AU1763" s="87"/>
      <c r="AV1763" s="87"/>
      <c r="AW1763" s="88" t="str">
        <f>HYPERLINK("http://www.openstreetmap.org/?mlat=31.5233&amp;mlon=47.2982&amp;zoom=12#map=12/31.5233/47.2982","Maplink1")</f>
        <v>Maplink1</v>
      </c>
      <c r="AX1763" s="88" t="str">
        <f>HYPERLINK("https://www.google.iq/maps/search/+31.5233,47.2982/@31.5233,47.2982,14z?hl=en","Maplink2")</f>
        <v>Maplink2</v>
      </c>
      <c r="AY1763" s="88" t="str">
        <f>HYPERLINK("http://www.bing.com/maps/?lvl=14&amp;sty=h&amp;cp=31.5233~47.2982&amp;sp=point.31.5233_47.2982","Maplink3")</f>
        <v>Maplink3</v>
      </c>
      <c r="AZ1763" s="76"/>
    </row>
    <row r="1764" spans="1:52" x14ac:dyDescent="0.25">
      <c r="A1764" s="86">
        <v>21371</v>
      </c>
      <c r="B1764" s="87" t="s">
        <v>21</v>
      </c>
      <c r="C1764" s="87" t="s">
        <v>3411</v>
      </c>
      <c r="D1764" s="87" t="s">
        <v>3417</v>
      </c>
      <c r="E1764" s="87" t="s">
        <v>3418</v>
      </c>
      <c r="F1764" s="87">
        <v>31.525480787399999</v>
      </c>
      <c r="G1764" s="87">
        <v>47.291432272999998</v>
      </c>
      <c r="H1764" s="86">
        <v>4</v>
      </c>
      <c r="I1764" s="86">
        <v>24</v>
      </c>
      <c r="J1764" s="87"/>
      <c r="K1764" s="87"/>
      <c r="L1764" s="87"/>
      <c r="M1764" s="87"/>
      <c r="N1764" s="87"/>
      <c r="O1764" s="87"/>
      <c r="P1764" s="87"/>
      <c r="Q1764" s="87"/>
      <c r="R1764" s="87"/>
      <c r="S1764" s="87"/>
      <c r="T1764" s="87"/>
      <c r="U1764" s="87"/>
      <c r="V1764" s="87">
        <v>4</v>
      </c>
      <c r="W1764" s="87"/>
      <c r="X1764" s="87"/>
      <c r="Y1764" s="87"/>
      <c r="Z1764" s="87"/>
      <c r="AA1764" s="87"/>
      <c r="AB1764" s="87"/>
      <c r="AC1764" s="87">
        <v>2</v>
      </c>
      <c r="AD1764" s="87"/>
      <c r="AE1764" s="87"/>
      <c r="AF1764" s="87"/>
      <c r="AG1764" s="87"/>
      <c r="AH1764" s="87">
        <v>2</v>
      </c>
      <c r="AI1764" s="87"/>
      <c r="AJ1764" s="87"/>
      <c r="AK1764" s="87"/>
      <c r="AL1764" s="87"/>
      <c r="AM1764" s="87"/>
      <c r="AN1764" s="87"/>
      <c r="AO1764" s="87"/>
      <c r="AP1764" s="87"/>
      <c r="AQ1764" s="87">
        <v>4</v>
      </c>
      <c r="AR1764" s="87"/>
      <c r="AS1764" s="87"/>
      <c r="AT1764" s="87"/>
      <c r="AU1764" s="87"/>
      <c r="AV1764" s="87"/>
      <c r="AW1764" s="88" t="str">
        <f>HYPERLINK("http://www.openstreetmap.org/?mlat=31.5255&amp;mlon=47.2914&amp;zoom=12#map=12/31.5255/47.2914","Maplink1")</f>
        <v>Maplink1</v>
      </c>
      <c r="AX1764" s="88" t="str">
        <f>HYPERLINK("https://www.google.iq/maps/search/+31.5255,47.2914/@31.5255,47.2914,14z?hl=en","Maplink2")</f>
        <v>Maplink2</v>
      </c>
      <c r="AY1764" s="88" t="str">
        <f>HYPERLINK("http://www.bing.com/maps/?lvl=14&amp;sty=h&amp;cp=31.5255~47.2914&amp;sp=point.31.5255_47.2914","Maplink3")</f>
        <v>Maplink3</v>
      </c>
      <c r="AZ1764" s="76"/>
    </row>
    <row r="1765" spans="1:52" x14ac:dyDescent="0.25">
      <c r="A1765" s="86">
        <v>27229</v>
      </c>
      <c r="B1765" s="87" t="s">
        <v>22</v>
      </c>
      <c r="C1765" s="87" t="s">
        <v>3419</v>
      </c>
      <c r="D1765" s="87" t="s">
        <v>3420</v>
      </c>
      <c r="E1765" s="87" t="s">
        <v>3421</v>
      </c>
      <c r="F1765" s="87">
        <v>31.184894009499999</v>
      </c>
      <c r="G1765" s="87">
        <v>45.555099835599997</v>
      </c>
      <c r="H1765" s="86">
        <v>1</v>
      </c>
      <c r="I1765" s="86">
        <v>6</v>
      </c>
      <c r="J1765" s="87"/>
      <c r="K1765" s="87"/>
      <c r="L1765" s="87"/>
      <c r="M1765" s="87"/>
      <c r="N1765" s="87"/>
      <c r="O1765" s="87"/>
      <c r="P1765" s="87"/>
      <c r="Q1765" s="87"/>
      <c r="R1765" s="87"/>
      <c r="S1765" s="87"/>
      <c r="T1765" s="87"/>
      <c r="U1765" s="87"/>
      <c r="V1765" s="87"/>
      <c r="W1765" s="87"/>
      <c r="X1765" s="87">
        <v>1</v>
      </c>
      <c r="Y1765" s="87"/>
      <c r="Z1765" s="87"/>
      <c r="AA1765" s="87"/>
      <c r="AB1765" s="87"/>
      <c r="AC1765" s="87"/>
      <c r="AD1765" s="87"/>
      <c r="AE1765" s="87"/>
      <c r="AF1765" s="87"/>
      <c r="AG1765" s="87"/>
      <c r="AH1765" s="87">
        <v>1</v>
      </c>
      <c r="AI1765" s="87"/>
      <c r="AJ1765" s="87"/>
      <c r="AK1765" s="87"/>
      <c r="AL1765" s="87"/>
      <c r="AM1765" s="87"/>
      <c r="AN1765" s="87"/>
      <c r="AO1765" s="87">
        <v>1</v>
      </c>
      <c r="AP1765" s="87"/>
      <c r="AQ1765" s="87"/>
      <c r="AR1765" s="87"/>
      <c r="AS1765" s="87"/>
      <c r="AT1765" s="87"/>
      <c r="AU1765" s="87"/>
      <c r="AV1765" s="87"/>
      <c r="AW1765" s="88" t="str">
        <f>HYPERLINK("http://www.openstreetmap.org/?mlat=31.1849&amp;mlon=45.5551&amp;zoom=12#map=12/31.1849/45.5551","Maplink1")</f>
        <v>Maplink1</v>
      </c>
      <c r="AX1765" s="88" t="str">
        <f>HYPERLINK("https://www.google.iq/maps/search/+31.1849,45.5551/@31.1849,45.5551,14z?hl=en","Maplink2")</f>
        <v>Maplink2</v>
      </c>
      <c r="AY1765" s="88" t="str">
        <f>HYPERLINK("http://www.bing.com/maps/?lvl=14&amp;sty=h&amp;cp=31.1849~45.5551&amp;sp=point.31.1849_45.5551","Maplink3")</f>
        <v>Maplink3</v>
      </c>
      <c r="AZ1765" s="76"/>
    </row>
    <row r="1766" spans="1:52" x14ac:dyDescent="0.25">
      <c r="A1766" s="86">
        <v>27301</v>
      </c>
      <c r="B1766" s="87" t="s">
        <v>22</v>
      </c>
      <c r="C1766" s="87" t="s">
        <v>3419</v>
      </c>
      <c r="D1766" s="87" t="s">
        <v>3422</v>
      </c>
      <c r="E1766" s="87" t="s">
        <v>3423</v>
      </c>
      <c r="F1766" s="87">
        <v>31.184368841400001</v>
      </c>
      <c r="G1766" s="87">
        <v>45.537408655500002</v>
      </c>
      <c r="H1766" s="86">
        <v>2</v>
      </c>
      <c r="I1766" s="86">
        <v>12</v>
      </c>
      <c r="J1766" s="87"/>
      <c r="K1766" s="87"/>
      <c r="L1766" s="87"/>
      <c r="M1766" s="87"/>
      <c r="N1766" s="87"/>
      <c r="O1766" s="87"/>
      <c r="P1766" s="87"/>
      <c r="Q1766" s="87"/>
      <c r="R1766" s="87"/>
      <c r="S1766" s="87"/>
      <c r="T1766" s="87"/>
      <c r="U1766" s="87"/>
      <c r="V1766" s="87">
        <v>2</v>
      </c>
      <c r="W1766" s="87"/>
      <c r="X1766" s="87"/>
      <c r="Y1766" s="87"/>
      <c r="Z1766" s="87"/>
      <c r="AA1766" s="87"/>
      <c r="AB1766" s="87"/>
      <c r="AC1766" s="87"/>
      <c r="AD1766" s="87"/>
      <c r="AE1766" s="87"/>
      <c r="AF1766" s="87"/>
      <c r="AG1766" s="87"/>
      <c r="AH1766" s="87">
        <v>2</v>
      </c>
      <c r="AI1766" s="87"/>
      <c r="AJ1766" s="87"/>
      <c r="AK1766" s="87"/>
      <c r="AL1766" s="87"/>
      <c r="AM1766" s="87"/>
      <c r="AN1766" s="87"/>
      <c r="AO1766" s="87"/>
      <c r="AP1766" s="87">
        <v>2</v>
      </c>
      <c r="AQ1766" s="87"/>
      <c r="AR1766" s="87"/>
      <c r="AS1766" s="87"/>
      <c r="AT1766" s="87"/>
      <c r="AU1766" s="87"/>
      <c r="AV1766" s="87"/>
      <c r="AW1766" s="88" t="str">
        <f>HYPERLINK("http://www.openstreetmap.org/?mlat=31.1844&amp;mlon=45.5374&amp;zoom=12#map=12/31.1844/45.5374","Maplink1")</f>
        <v>Maplink1</v>
      </c>
      <c r="AX1766" s="88" t="str">
        <f>HYPERLINK("https://www.google.iq/maps/search/+31.1844,45.5374/@31.1844,45.5374,14z?hl=en","Maplink2")</f>
        <v>Maplink2</v>
      </c>
      <c r="AY1766" s="88" t="str">
        <f>HYPERLINK("http://www.bing.com/maps/?lvl=14&amp;sty=h&amp;cp=31.1844~45.5374&amp;sp=point.31.1844_45.5374","Maplink3")</f>
        <v>Maplink3</v>
      </c>
      <c r="AZ1766" s="76"/>
    </row>
    <row r="1767" spans="1:52" x14ac:dyDescent="0.25">
      <c r="A1767" s="86">
        <v>27300</v>
      </c>
      <c r="B1767" s="87" t="s">
        <v>22</v>
      </c>
      <c r="C1767" s="87" t="s">
        <v>3419</v>
      </c>
      <c r="D1767" s="87" t="s">
        <v>3298</v>
      </c>
      <c r="E1767" s="87" t="s">
        <v>1353</v>
      </c>
      <c r="F1767" s="87">
        <v>31.196809471600002</v>
      </c>
      <c r="G1767" s="87">
        <v>45.526491897200003</v>
      </c>
      <c r="H1767" s="86">
        <v>2</v>
      </c>
      <c r="I1767" s="86">
        <v>12</v>
      </c>
      <c r="J1767" s="87"/>
      <c r="K1767" s="87"/>
      <c r="L1767" s="87"/>
      <c r="M1767" s="87"/>
      <c r="N1767" s="87"/>
      <c r="O1767" s="87"/>
      <c r="P1767" s="87"/>
      <c r="Q1767" s="87"/>
      <c r="R1767" s="87">
        <v>2</v>
      </c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>
        <v>1</v>
      </c>
      <c r="AD1767" s="87"/>
      <c r="AE1767" s="87"/>
      <c r="AF1767" s="87"/>
      <c r="AG1767" s="87"/>
      <c r="AH1767" s="87">
        <v>1</v>
      </c>
      <c r="AI1767" s="87"/>
      <c r="AJ1767" s="87"/>
      <c r="AK1767" s="87"/>
      <c r="AL1767" s="87"/>
      <c r="AM1767" s="87"/>
      <c r="AN1767" s="87"/>
      <c r="AO1767" s="87">
        <v>2</v>
      </c>
      <c r="AP1767" s="87"/>
      <c r="AQ1767" s="87"/>
      <c r="AR1767" s="87"/>
      <c r="AS1767" s="87"/>
      <c r="AT1767" s="87"/>
      <c r="AU1767" s="87"/>
      <c r="AV1767" s="87"/>
      <c r="AW1767" s="88" t="str">
        <f>HYPERLINK("http://www.openstreetmap.org/?mlat=31.1968&amp;mlon=45.5265&amp;zoom=12#map=12/31.1968/45.5265","Maplink1")</f>
        <v>Maplink1</v>
      </c>
      <c r="AX1767" s="88" t="str">
        <f>HYPERLINK("https://www.google.iq/maps/search/+31.1968,45.5265/@31.1968,45.5265,14z?hl=en","Maplink2")</f>
        <v>Maplink2</v>
      </c>
      <c r="AY1767" s="88" t="str">
        <f>HYPERLINK("http://www.bing.com/maps/?lvl=14&amp;sty=h&amp;cp=31.1968~45.5265&amp;sp=point.31.1968_45.5265","Maplink3")</f>
        <v>Maplink3</v>
      </c>
      <c r="AZ1767" s="76"/>
    </row>
    <row r="1768" spans="1:52" x14ac:dyDescent="0.25">
      <c r="A1768" s="86">
        <v>33679</v>
      </c>
      <c r="B1768" s="87" t="s">
        <v>22</v>
      </c>
      <c r="C1768" s="87" t="s">
        <v>3419</v>
      </c>
      <c r="D1768" s="87" t="s">
        <v>3424</v>
      </c>
      <c r="E1768" s="87" t="s">
        <v>3425</v>
      </c>
      <c r="F1768" s="87">
        <v>31.186841000000001</v>
      </c>
      <c r="G1768" s="87">
        <v>45.549366999999997</v>
      </c>
      <c r="H1768" s="86">
        <v>1</v>
      </c>
      <c r="I1768" s="86">
        <v>6</v>
      </c>
      <c r="J1768" s="87"/>
      <c r="K1768" s="87"/>
      <c r="L1768" s="87"/>
      <c r="M1768" s="87"/>
      <c r="N1768" s="87"/>
      <c r="O1768" s="87"/>
      <c r="P1768" s="87"/>
      <c r="Q1768" s="87"/>
      <c r="R1768" s="87"/>
      <c r="S1768" s="87"/>
      <c r="T1768" s="87"/>
      <c r="U1768" s="87"/>
      <c r="V1768" s="87">
        <v>1</v>
      </c>
      <c r="W1768" s="87"/>
      <c r="X1768" s="87"/>
      <c r="Y1768" s="87"/>
      <c r="Z1768" s="87"/>
      <c r="AA1768" s="87"/>
      <c r="AB1768" s="87"/>
      <c r="AC1768" s="87"/>
      <c r="AD1768" s="87"/>
      <c r="AE1768" s="87"/>
      <c r="AF1768" s="87"/>
      <c r="AG1768" s="87"/>
      <c r="AH1768" s="87">
        <v>1</v>
      </c>
      <c r="AI1768" s="87"/>
      <c r="AJ1768" s="87"/>
      <c r="AK1768" s="87"/>
      <c r="AL1768" s="87"/>
      <c r="AM1768" s="87"/>
      <c r="AN1768" s="87"/>
      <c r="AO1768" s="87"/>
      <c r="AP1768" s="87">
        <v>1</v>
      </c>
      <c r="AQ1768" s="87"/>
      <c r="AR1768" s="87"/>
      <c r="AS1768" s="87"/>
      <c r="AT1768" s="87"/>
      <c r="AU1768" s="87"/>
      <c r="AV1768" s="87"/>
      <c r="AW1768" s="88" t="str">
        <f>HYPERLINK("http://www.openstreetmap.org/?mlat=31.1868&amp;mlon=45.5494&amp;zoom=12#map=12/31.1868/45.5494","Maplink1")</f>
        <v>Maplink1</v>
      </c>
      <c r="AX1768" s="88" t="str">
        <f>HYPERLINK("https://www.google.iq/maps/search/+31.1868,45.5494/@31.1868,45.5494,14z?hl=en","Maplink2")</f>
        <v>Maplink2</v>
      </c>
      <c r="AY1768" s="88" t="str">
        <f>HYPERLINK("http://www.bing.com/maps/?lvl=14&amp;sty=h&amp;cp=31.1868~45.5494&amp;sp=point.31.1868_45.5494","Maplink3")</f>
        <v>Maplink3</v>
      </c>
      <c r="AZ1768" s="76"/>
    </row>
    <row r="1769" spans="1:52" x14ac:dyDescent="0.25">
      <c r="A1769" s="86">
        <v>2026</v>
      </c>
      <c r="B1769" s="87" t="s">
        <v>22</v>
      </c>
      <c r="C1769" s="87" t="s">
        <v>3426</v>
      </c>
      <c r="D1769" s="87" t="s">
        <v>3427</v>
      </c>
      <c r="E1769" s="87" t="s">
        <v>3428</v>
      </c>
      <c r="F1769" s="87">
        <v>31.5565597499</v>
      </c>
      <c r="G1769" s="87">
        <v>45.147730456700003</v>
      </c>
      <c r="H1769" s="86">
        <v>1</v>
      </c>
      <c r="I1769" s="86">
        <v>6</v>
      </c>
      <c r="J1769" s="87"/>
      <c r="K1769" s="87"/>
      <c r="L1769" s="87"/>
      <c r="M1769" s="87"/>
      <c r="N1769" s="87"/>
      <c r="O1769" s="87"/>
      <c r="P1769" s="87"/>
      <c r="Q1769" s="87"/>
      <c r="R1769" s="87"/>
      <c r="S1769" s="87"/>
      <c r="T1769" s="87"/>
      <c r="U1769" s="87"/>
      <c r="V1769" s="87">
        <v>1</v>
      </c>
      <c r="W1769" s="87"/>
      <c r="X1769" s="87"/>
      <c r="Y1769" s="87"/>
      <c r="Z1769" s="87"/>
      <c r="AA1769" s="87"/>
      <c r="AB1769" s="87"/>
      <c r="AC1769" s="87"/>
      <c r="AD1769" s="87"/>
      <c r="AE1769" s="87"/>
      <c r="AF1769" s="87"/>
      <c r="AG1769" s="87">
        <v>1</v>
      </c>
      <c r="AH1769" s="87"/>
      <c r="AI1769" s="87"/>
      <c r="AJ1769" s="87"/>
      <c r="AK1769" s="87"/>
      <c r="AL1769" s="87"/>
      <c r="AM1769" s="87"/>
      <c r="AN1769" s="87"/>
      <c r="AO1769" s="87"/>
      <c r="AP1769" s="87"/>
      <c r="AQ1769" s="87">
        <v>1</v>
      </c>
      <c r="AR1769" s="87"/>
      <c r="AS1769" s="87"/>
      <c r="AT1769" s="87"/>
      <c r="AU1769" s="87"/>
      <c r="AV1769" s="87"/>
      <c r="AW1769" s="88" t="str">
        <f>HYPERLINK("http://www.openstreetmap.org/?mlat=31.5566&amp;mlon=45.1477&amp;zoom=12#map=12/31.5566/45.1477","Maplink1")</f>
        <v>Maplink1</v>
      </c>
      <c r="AX1769" s="88" t="str">
        <f>HYPERLINK("https://www.google.iq/maps/search/+31.5566,45.1477/@31.5566,45.1477,14z?hl=en","Maplink2")</f>
        <v>Maplink2</v>
      </c>
      <c r="AY1769" s="88" t="str">
        <f>HYPERLINK("http://www.bing.com/maps/?lvl=14&amp;sty=h&amp;cp=31.5566~45.1477&amp;sp=point.31.5566_45.1477","Maplink3")</f>
        <v>Maplink3</v>
      </c>
      <c r="AZ1769" s="76"/>
    </row>
    <row r="1770" spans="1:52" x14ac:dyDescent="0.25">
      <c r="A1770" s="86">
        <v>1803</v>
      </c>
      <c r="B1770" s="87" t="s">
        <v>22</v>
      </c>
      <c r="C1770" s="87" t="s">
        <v>3426</v>
      </c>
      <c r="D1770" s="87" t="s">
        <v>3429</v>
      </c>
      <c r="E1770" s="87" t="s">
        <v>3430</v>
      </c>
      <c r="F1770" s="87">
        <v>31.495036371099999</v>
      </c>
      <c r="G1770" s="87">
        <v>45.199558559400003</v>
      </c>
      <c r="H1770" s="86">
        <v>8</v>
      </c>
      <c r="I1770" s="86">
        <v>48</v>
      </c>
      <c r="J1770" s="87"/>
      <c r="K1770" s="87"/>
      <c r="L1770" s="87">
        <v>8</v>
      </c>
      <c r="M1770" s="87"/>
      <c r="N1770" s="87"/>
      <c r="O1770" s="87"/>
      <c r="P1770" s="87"/>
      <c r="Q1770" s="87"/>
      <c r="R1770" s="87"/>
      <c r="S1770" s="87"/>
      <c r="T1770" s="87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87"/>
      <c r="AE1770" s="87"/>
      <c r="AF1770" s="87"/>
      <c r="AG1770" s="87"/>
      <c r="AH1770" s="87">
        <v>8</v>
      </c>
      <c r="AI1770" s="87"/>
      <c r="AJ1770" s="87"/>
      <c r="AK1770" s="87"/>
      <c r="AL1770" s="87"/>
      <c r="AM1770" s="87"/>
      <c r="AN1770" s="87"/>
      <c r="AO1770" s="87">
        <v>7</v>
      </c>
      <c r="AP1770" s="87"/>
      <c r="AQ1770" s="87">
        <v>1</v>
      </c>
      <c r="AR1770" s="87"/>
      <c r="AS1770" s="87"/>
      <c r="AT1770" s="87"/>
      <c r="AU1770" s="87"/>
      <c r="AV1770" s="87"/>
      <c r="AW1770" s="88" t="str">
        <f>HYPERLINK("http://www.openstreetmap.org/?mlat=31.495&amp;mlon=45.1996&amp;zoom=12#map=12/31.495/45.1996","Maplink1")</f>
        <v>Maplink1</v>
      </c>
      <c r="AX1770" s="88" t="str">
        <f>HYPERLINK("https://www.google.iq/maps/search/+31.495,45.1996/@31.495,45.1996,14z?hl=en","Maplink2")</f>
        <v>Maplink2</v>
      </c>
      <c r="AY1770" s="88" t="str">
        <f>HYPERLINK("http://www.bing.com/maps/?lvl=14&amp;sty=h&amp;cp=31.495~45.1996&amp;sp=point.31.495_45.1996","Maplink3")</f>
        <v>Maplink3</v>
      </c>
      <c r="AZ1770" s="76"/>
    </row>
    <row r="1771" spans="1:52" x14ac:dyDescent="0.25">
      <c r="A1771" s="86">
        <v>2006</v>
      </c>
      <c r="B1771" s="87" t="s">
        <v>22</v>
      </c>
      <c r="C1771" s="87" t="s">
        <v>3426</v>
      </c>
      <c r="D1771" s="87" t="s">
        <v>3431</v>
      </c>
      <c r="E1771" s="87" t="s">
        <v>3432</v>
      </c>
      <c r="F1771" s="87">
        <v>31.543800816899999</v>
      </c>
      <c r="G1771" s="87">
        <v>45.199660453900002</v>
      </c>
      <c r="H1771" s="86">
        <v>1</v>
      </c>
      <c r="I1771" s="86">
        <v>6</v>
      </c>
      <c r="J1771" s="87"/>
      <c r="K1771" s="87"/>
      <c r="L1771" s="87"/>
      <c r="M1771" s="87"/>
      <c r="N1771" s="87"/>
      <c r="O1771" s="87"/>
      <c r="P1771" s="87"/>
      <c r="Q1771" s="87"/>
      <c r="R1771" s="87">
        <v>1</v>
      </c>
      <c r="S1771" s="87"/>
      <c r="T1771" s="87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87"/>
      <c r="AE1771" s="87"/>
      <c r="AF1771" s="87"/>
      <c r="AG1771" s="87"/>
      <c r="AH1771" s="87">
        <v>1</v>
      </c>
      <c r="AI1771" s="87"/>
      <c r="AJ1771" s="87"/>
      <c r="AK1771" s="87"/>
      <c r="AL1771" s="87"/>
      <c r="AM1771" s="87"/>
      <c r="AN1771" s="87"/>
      <c r="AO1771" s="87">
        <v>1</v>
      </c>
      <c r="AP1771" s="87"/>
      <c r="AQ1771" s="87"/>
      <c r="AR1771" s="87"/>
      <c r="AS1771" s="87"/>
      <c r="AT1771" s="87"/>
      <c r="AU1771" s="87"/>
      <c r="AV1771" s="87"/>
      <c r="AW1771" s="88" t="str">
        <f>HYPERLINK("http://www.openstreetmap.org/?mlat=31.5438&amp;mlon=45.1997&amp;zoom=12#map=12/31.5438/45.1997","Maplink1")</f>
        <v>Maplink1</v>
      </c>
      <c r="AX1771" s="88" t="str">
        <f>HYPERLINK("https://www.google.iq/maps/search/+31.5438,45.1997/@31.5438,45.1997,14z?hl=en","Maplink2")</f>
        <v>Maplink2</v>
      </c>
      <c r="AY1771" s="88" t="str">
        <f>HYPERLINK("http://www.bing.com/maps/?lvl=14&amp;sty=h&amp;cp=31.5438~45.1997&amp;sp=point.31.5438_45.1997","Maplink3")</f>
        <v>Maplink3</v>
      </c>
      <c r="AZ1771" s="76"/>
    </row>
    <row r="1772" spans="1:52" x14ac:dyDescent="0.25">
      <c r="A1772" s="86">
        <v>27228</v>
      </c>
      <c r="B1772" s="87" t="s">
        <v>22</v>
      </c>
      <c r="C1772" s="87" t="s">
        <v>3426</v>
      </c>
      <c r="D1772" s="87" t="s">
        <v>3433</v>
      </c>
      <c r="E1772" s="87" t="s">
        <v>3434</v>
      </c>
      <c r="F1772" s="87">
        <v>31.461165896600001</v>
      </c>
      <c r="G1772" s="87">
        <v>45.2855598911</v>
      </c>
      <c r="H1772" s="86">
        <v>12</v>
      </c>
      <c r="I1772" s="86">
        <v>72</v>
      </c>
      <c r="J1772" s="87"/>
      <c r="K1772" s="87"/>
      <c r="L1772" s="87"/>
      <c r="M1772" s="87"/>
      <c r="N1772" s="87"/>
      <c r="O1772" s="87"/>
      <c r="P1772" s="87"/>
      <c r="Q1772" s="87"/>
      <c r="R1772" s="87"/>
      <c r="S1772" s="87"/>
      <c r="T1772" s="87"/>
      <c r="U1772" s="87"/>
      <c r="V1772" s="87">
        <v>12</v>
      </c>
      <c r="W1772" s="87"/>
      <c r="X1772" s="87"/>
      <c r="Y1772" s="87"/>
      <c r="Z1772" s="87"/>
      <c r="AA1772" s="87"/>
      <c r="AB1772" s="87"/>
      <c r="AC1772" s="87">
        <v>2</v>
      </c>
      <c r="AD1772" s="87"/>
      <c r="AE1772" s="87"/>
      <c r="AF1772" s="87"/>
      <c r="AG1772" s="87"/>
      <c r="AH1772" s="87">
        <v>10</v>
      </c>
      <c r="AI1772" s="87"/>
      <c r="AJ1772" s="87"/>
      <c r="AK1772" s="87"/>
      <c r="AL1772" s="87"/>
      <c r="AM1772" s="87"/>
      <c r="AN1772" s="87"/>
      <c r="AO1772" s="87">
        <v>10</v>
      </c>
      <c r="AP1772" s="87">
        <v>2</v>
      </c>
      <c r="AQ1772" s="87"/>
      <c r="AR1772" s="87"/>
      <c r="AS1772" s="87"/>
      <c r="AT1772" s="87"/>
      <c r="AU1772" s="87"/>
      <c r="AV1772" s="87"/>
      <c r="AW1772" s="88" t="str">
        <f>HYPERLINK("http://www.openstreetmap.org/?mlat=31.4612&amp;mlon=45.2856&amp;zoom=12#map=12/31.4612/45.2856","Maplink1")</f>
        <v>Maplink1</v>
      </c>
      <c r="AX1772" s="88" t="str">
        <f>HYPERLINK("https://www.google.iq/maps/search/+31.4612,45.2856/@31.4612,45.2856,14z?hl=en","Maplink2")</f>
        <v>Maplink2</v>
      </c>
      <c r="AY1772" s="88" t="str">
        <f>HYPERLINK("http://www.bing.com/maps/?lvl=14&amp;sty=h&amp;cp=31.4612~45.2856&amp;sp=point.31.4612_45.2856","Maplink3")</f>
        <v>Maplink3</v>
      </c>
      <c r="AZ1772" s="76"/>
    </row>
    <row r="1773" spans="1:52" x14ac:dyDescent="0.25">
      <c r="A1773" s="86">
        <v>29681</v>
      </c>
      <c r="B1773" s="87" t="s">
        <v>22</v>
      </c>
      <c r="C1773" s="87" t="s">
        <v>3426</v>
      </c>
      <c r="D1773" s="87" t="s">
        <v>3435</v>
      </c>
      <c r="E1773" s="87" t="s">
        <v>3436</v>
      </c>
      <c r="F1773" s="87">
        <v>31.471119825700001</v>
      </c>
      <c r="G1773" s="87">
        <v>45.284691257399999</v>
      </c>
      <c r="H1773" s="86">
        <v>2</v>
      </c>
      <c r="I1773" s="86">
        <v>12</v>
      </c>
      <c r="J1773" s="87"/>
      <c r="K1773" s="87"/>
      <c r="L1773" s="87"/>
      <c r="M1773" s="87"/>
      <c r="N1773" s="87"/>
      <c r="O1773" s="87"/>
      <c r="P1773" s="87"/>
      <c r="Q1773" s="87"/>
      <c r="R1773" s="87"/>
      <c r="S1773" s="87"/>
      <c r="T1773" s="87"/>
      <c r="U1773" s="87"/>
      <c r="V1773" s="87">
        <v>2</v>
      </c>
      <c r="W1773" s="87"/>
      <c r="X1773" s="87"/>
      <c r="Y1773" s="87"/>
      <c r="Z1773" s="87"/>
      <c r="AA1773" s="87"/>
      <c r="AB1773" s="87"/>
      <c r="AC1773" s="87"/>
      <c r="AD1773" s="87"/>
      <c r="AE1773" s="87"/>
      <c r="AF1773" s="87"/>
      <c r="AG1773" s="87"/>
      <c r="AH1773" s="87">
        <v>2</v>
      </c>
      <c r="AI1773" s="87"/>
      <c r="AJ1773" s="87"/>
      <c r="AK1773" s="87"/>
      <c r="AL1773" s="87"/>
      <c r="AM1773" s="87"/>
      <c r="AN1773" s="87"/>
      <c r="AO1773" s="87">
        <v>2</v>
      </c>
      <c r="AP1773" s="87"/>
      <c r="AQ1773" s="87"/>
      <c r="AR1773" s="87"/>
      <c r="AS1773" s="87"/>
      <c r="AT1773" s="87"/>
      <c r="AU1773" s="87"/>
      <c r="AV1773" s="87"/>
      <c r="AW1773" s="88" t="str">
        <f>HYPERLINK("http://www.openstreetmap.org/?mlat=31.4711&amp;mlon=45.2847&amp;zoom=12#map=12/31.4711/45.2847","Maplink1")</f>
        <v>Maplink1</v>
      </c>
      <c r="AX1773" s="88" t="str">
        <f>HYPERLINK("https://www.google.iq/maps/search/+31.4711,45.2847/@31.4711,45.2847,14z?hl=en","Maplink2")</f>
        <v>Maplink2</v>
      </c>
      <c r="AY1773" s="88" t="str">
        <f>HYPERLINK("http://www.bing.com/maps/?lvl=14&amp;sty=h&amp;cp=31.4711~45.2847&amp;sp=point.31.4711_45.2847","Maplink3")</f>
        <v>Maplink3</v>
      </c>
      <c r="AZ1773" s="76"/>
    </row>
    <row r="1774" spans="1:52" x14ac:dyDescent="0.25">
      <c r="A1774" s="86">
        <v>33792</v>
      </c>
      <c r="B1774" s="87" t="s">
        <v>22</v>
      </c>
      <c r="C1774" s="87" t="s">
        <v>3426</v>
      </c>
      <c r="D1774" s="87" t="s">
        <v>5830</v>
      </c>
      <c r="E1774" s="87" t="s">
        <v>5831</v>
      </c>
      <c r="F1774" s="87">
        <v>31.408837999999999</v>
      </c>
      <c r="G1774" s="87">
        <v>45.166794199999998</v>
      </c>
      <c r="H1774" s="86">
        <v>4</v>
      </c>
      <c r="I1774" s="86">
        <v>24</v>
      </c>
      <c r="J1774" s="87"/>
      <c r="K1774" s="87"/>
      <c r="L1774" s="87">
        <v>3</v>
      </c>
      <c r="M1774" s="87"/>
      <c r="N1774" s="87"/>
      <c r="O1774" s="87"/>
      <c r="P1774" s="87"/>
      <c r="Q1774" s="87"/>
      <c r="R1774" s="87"/>
      <c r="S1774" s="87"/>
      <c r="T1774" s="87"/>
      <c r="U1774" s="87"/>
      <c r="V1774" s="87"/>
      <c r="W1774" s="87"/>
      <c r="X1774" s="87">
        <v>1</v>
      </c>
      <c r="Y1774" s="87"/>
      <c r="Z1774" s="87"/>
      <c r="AA1774" s="87"/>
      <c r="AB1774" s="87"/>
      <c r="AC1774" s="87">
        <v>4</v>
      </c>
      <c r="AD1774" s="87"/>
      <c r="AE1774" s="87"/>
      <c r="AF1774" s="87"/>
      <c r="AG1774" s="87"/>
      <c r="AH1774" s="87"/>
      <c r="AI1774" s="87"/>
      <c r="AJ1774" s="87"/>
      <c r="AK1774" s="87"/>
      <c r="AL1774" s="87"/>
      <c r="AM1774" s="87"/>
      <c r="AN1774" s="87"/>
      <c r="AO1774" s="87">
        <v>3</v>
      </c>
      <c r="AP1774" s="87"/>
      <c r="AQ1774" s="87">
        <v>1</v>
      </c>
      <c r="AR1774" s="87"/>
      <c r="AS1774" s="87"/>
      <c r="AT1774" s="87"/>
      <c r="AU1774" s="87"/>
      <c r="AV1774" s="87"/>
      <c r="AW1774" s="88" t="str">
        <f>HYPERLINK("http://www.openstreetmap.org/?mlat=31.4088&amp;mlon=45.1668&amp;zoom=12#map=12/31.4088/45.1668","Maplink1")</f>
        <v>Maplink1</v>
      </c>
      <c r="AX1774" s="88" t="str">
        <f>HYPERLINK("https://www.google.iq/maps/search/+31.4088,45.1668/@31.4088,45.1668,14z?hl=en","Maplink2")</f>
        <v>Maplink2</v>
      </c>
      <c r="AY1774" s="88" t="str">
        <f>HYPERLINK("http://www.bing.com/maps/?lvl=14&amp;sty=h&amp;cp=31.4088~45.1668&amp;sp=point.31.4088_45.1668","Maplink3")</f>
        <v>Maplink3</v>
      </c>
      <c r="AZ1774" s="76"/>
    </row>
    <row r="1775" spans="1:52" x14ac:dyDescent="0.25">
      <c r="A1775" s="86">
        <v>1888</v>
      </c>
      <c r="B1775" s="87" t="s">
        <v>22</v>
      </c>
      <c r="C1775" s="87" t="s">
        <v>3426</v>
      </c>
      <c r="D1775" s="87" t="s">
        <v>3437</v>
      </c>
      <c r="E1775" s="87" t="s">
        <v>55</v>
      </c>
      <c r="F1775" s="87">
        <v>31.5330013214</v>
      </c>
      <c r="G1775" s="87">
        <v>45.200921595099999</v>
      </c>
      <c r="H1775" s="86">
        <v>2</v>
      </c>
      <c r="I1775" s="86">
        <v>12</v>
      </c>
      <c r="J1775" s="87">
        <v>1</v>
      </c>
      <c r="K1775" s="87"/>
      <c r="L1775" s="87">
        <v>1</v>
      </c>
      <c r="M1775" s="87"/>
      <c r="N1775" s="87"/>
      <c r="O1775" s="87"/>
      <c r="P1775" s="87"/>
      <c r="Q1775" s="87"/>
      <c r="R1775" s="87"/>
      <c r="S1775" s="87"/>
      <c r="T1775" s="87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87"/>
      <c r="AE1775" s="87"/>
      <c r="AF1775" s="87"/>
      <c r="AG1775" s="87"/>
      <c r="AH1775" s="87">
        <v>2</v>
      </c>
      <c r="AI1775" s="87"/>
      <c r="AJ1775" s="87"/>
      <c r="AK1775" s="87"/>
      <c r="AL1775" s="87"/>
      <c r="AM1775" s="87"/>
      <c r="AN1775" s="87">
        <v>1</v>
      </c>
      <c r="AO1775" s="87"/>
      <c r="AP1775" s="87">
        <v>1</v>
      </c>
      <c r="AQ1775" s="87"/>
      <c r="AR1775" s="87"/>
      <c r="AS1775" s="87"/>
      <c r="AT1775" s="87"/>
      <c r="AU1775" s="87"/>
      <c r="AV1775" s="87"/>
      <c r="AW1775" s="88" t="str">
        <f>HYPERLINK("http://www.openstreetmap.org/?mlat=31.533&amp;mlon=45.2009&amp;zoom=12#map=12/31.533/45.2009","Maplink1")</f>
        <v>Maplink1</v>
      </c>
      <c r="AX1775" s="88" t="str">
        <f>HYPERLINK("https://www.google.iq/maps/search/+31.533,45.2009/@31.533,45.2009,14z?hl=en","Maplink2")</f>
        <v>Maplink2</v>
      </c>
      <c r="AY1775" s="88" t="str">
        <f>HYPERLINK("http://www.bing.com/maps/?lvl=14&amp;sty=h&amp;cp=31.533~45.2009&amp;sp=point.31.533_45.2009","Maplink3")</f>
        <v>Maplink3</v>
      </c>
      <c r="AZ1775" s="76"/>
    </row>
    <row r="1776" spans="1:52" x14ac:dyDescent="0.25">
      <c r="A1776" s="86">
        <v>33794</v>
      </c>
      <c r="B1776" s="87" t="s">
        <v>22</v>
      </c>
      <c r="C1776" s="87" t="s">
        <v>3426</v>
      </c>
      <c r="D1776" s="87" t="s">
        <v>5832</v>
      </c>
      <c r="E1776" s="87" t="s">
        <v>5833</v>
      </c>
      <c r="F1776" s="87">
        <v>31.4290387</v>
      </c>
      <c r="G1776" s="87">
        <v>45.104403300000001</v>
      </c>
      <c r="H1776" s="86">
        <v>2</v>
      </c>
      <c r="I1776" s="86">
        <v>12</v>
      </c>
      <c r="J1776" s="87"/>
      <c r="K1776" s="87"/>
      <c r="L1776" s="87"/>
      <c r="M1776" s="87"/>
      <c r="N1776" s="87"/>
      <c r="O1776" s="87"/>
      <c r="P1776" s="87"/>
      <c r="Q1776" s="87"/>
      <c r="R1776" s="87"/>
      <c r="S1776" s="87"/>
      <c r="T1776" s="87"/>
      <c r="U1776" s="87"/>
      <c r="V1776" s="87"/>
      <c r="W1776" s="87"/>
      <c r="X1776" s="87">
        <v>2</v>
      </c>
      <c r="Y1776" s="87"/>
      <c r="Z1776" s="87"/>
      <c r="AA1776" s="87"/>
      <c r="AB1776" s="87"/>
      <c r="AC1776" s="87"/>
      <c r="AD1776" s="87"/>
      <c r="AE1776" s="87"/>
      <c r="AF1776" s="87"/>
      <c r="AG1776" s="87"/>
      <c r="AH1776" s="87">
        <v>2</v>
      </c>
      <c r="AI1776" s="87"/>
      <c r="AJ1776" s="87"/>
      <c r="AK1776" s="87"/>
      <c r="AL1776" s="87"/>
      <c r="AM1776" s="87"/>
      <c r="AN1776" s="87"/>
      <c r="AO1776" s="87">
        <v>2</v>
      </c>
      <c r="AP1776" s="87"/>
      <c r="AQ1776" s="87"/>
      <c r="AR1776" s="87"/>
      <c r="AS1776" s="87"/>
      <c r="AT1776" s="87"/>
      <c r="AU1776" s="87"/>
      <c r="AV1776" s="87"/>
      <c r="AW1776" s="88" t="str">
        <f>HYPERLINK("http://www.openstreetmap.org/?mlat=31.429&amp;mlon=45.1044&amp;zoom=12#map=12/31.429/45.1044","Maplink1")</f>
        <v>Maplink1</v>
      </c>
      <c r="AX1776" s="88" t="str">
        <f>HYPERLINK("https://www.google.iq/maps/search/+31.429,45.1044/@31.429,45.1044,14z?hl=en","Maplink2")</f>
        <v>Maplink2</v>
      </c>
      <c r="AY1776" s="88" t="str">
        <f>HYPERLINK("http://www.bing.com/maps/?lvl=14&amp;sty=h&amp;cp=31.429~45.1044&amp;sp=point.31.429_45.1044","Maplink3")</f>
        <v>Maplink3</v>
      </c>
      <c r="AZ1776" s="76"/>
    </row>
    <row r="1777" spans="1:52" x14ac:dyDescent="0.25">
      <c r="A1777" s="86">
        <v>1991</v>
      </c>
      <c r="B1777" s="87" t="s">
        <v>22</v>
      </c>
      <c r="C1777" s="87" t="s">
        <v>3426</v>
      </c>
      <c r="D1777" s="87" t="s">
        <v>3438</v>
      </c>
      <c r="E1777" s="87" t="s">
        <v>3439</v>
      </c>
      <c r="F1777" s="87">
        <v>31.539676166100001</v>
      </c>
      <c r="G1777" s="87">
        <v>45.183458961500001</v>
      </c>
      <c r="H1777" s="86">
        <v>5</v>
      </c>
      <c r="I1777" s="86">
        <v>30</v>
      </c>
      <c r="J1777" s="87">
        <v>1</v>
      </c>
      <c r="K1777" s="87"/>
      <c r="L1777" s="87"/>
      <c r="M1777" s="87"/>
      <c r="N1777" s="87"/>
      <c r="O1777" s="87"/>
      <c r="P1777" s="87"/>
      <c r="Q1777" s="87"/>
      <c r="R1777" s="87"/>
      <c r="S1777" s="87"/>
      <c r="T1777" s="87"/>
      <c r="U1777" s="87"/>
      <c r="V1777" s="87">
        <v>4</v>
      </c>
      <c r="W1777" s="87"/>
      <c r="X1777" s="87"/>
      <c r="Y1777" s="87"/>
      <c r="Z1777" s="87"/>
      <c r="AA1777" s="87"/>
      <c r="AB1777" s="87"/>
      <c r="AC1777" s="87"/>
      <c r="AD1777" s="87"/>
      <c r="AE1777" s="87"/>
      <c r="AF1777" s="87"/>
      <c r="AG1777" s="87"/>
      <c r="AH1777" s="87"/>
      <c r="AI1777" s="87"/>
      <c r="AJ1777" s="87"/>
      <c r="AK1777" s="87">
        <v>5</v>
      </c>
      <c r="AL1777" s="87"/>
      <c r="AM1777" s="87"/>
      <c r="AN1777" s="87"/>
      <c r="AO1777" s="87">
        <v>3</v>
      </c>
      <c r="AP1777" s="87"/>
      <c r="AQ1777" s="87">
        <v>2</v>
      </c>
      <c r="AR1777" s="87"/>
      <c r="AS1777" s="87"/>
      <c r="AT1777" s="87"/>
      <c r="AU1777" s="87"/>
      <c r="AV1777" s="87"/>
      <c r="AW1777" s="88" t="str">
        <f>HYPERLINK("http://www.openstreetmap.org/?mlat=31.5397&amp;mlon=45.1835&amp;zoom=12#map=12/31.5397/45.1835","Maplink1")</f>
        <v>Maplink1</v>
      </c>
      <c r="AX1777" s="88" t="str">
        <f>HYPERLINK("https://www.google.iq/maps/search/+31.5397,45.1835/@31.5397,45.1835,14z?hl=en","Maplink2")</f>
        <v>Maplink2</v>
      </c>
      <c r="AY1777" s="88" t="str">
        <f>HYPERLINK("http://www.bing.com/maps/?lvl=14&amp;sty=h&amp;cp=31.5397~45.1835&amp;sp=point.31.5397_45.1835","Maplink3")</f>
        <v>Maplink3</v>
      </c>
      <c r="AZ1777" s="76"/>
    </row>
    <row r="1778" spans="1:52" x14ac:dyDescent="0.25">
      <c r="A1778" s="86">
        <v>1874</v>
      </c>
      <c r="B1778" s="87" t="s">
        <v>22</v>
      </c>
      <c r="C1778" s="87" t="s">
        <v>3426</v>
      </c>
      <c r="D1778" s="87" t="s">
        <v>3440</v>
      </c>
      <c r="E1778" s="87" t="s">
        <v>208</v>
      </c>
      <c r="F1778" s="87">
        <v>31.5296785673</v>
      </c>
      <c r="G1778" s="87">
        <v>45.213039815400002</v>
      </c>
      <c r="H1778" s="86">
        <v>3</v>
      </c>
      <c r="I1778" s="86">
        <v>18</v>
      </c>
      <c r="J1778" s="87">
        <v>1</v>
      </c>
      <c r="K1778" s="87"/>
      <c r="L1778" s="87"/>
      <c r="M1778" s="87"/>
      <c r="N1778" s="87"/>
      <c r="O1778" s="87"/>
      <c r="P1778" s="87"/>
      <c r="Q1778" s="87"/>
      <c r="R1778" s="87"/>
      <c r="S1778" s="87"/>
      <c r="T1778" s="87"/>
      <c r="U1778" s="87"/>
      <c r="V1778" s="87">
        <v>2</v>
      </c>
      <c r="W1778" s="87"/>
      <c r="X1778" s="87"/>
      <c r="Y1778" s="87"/>
      <c r="Z1778" s="87"/>
      <c r="AA1778" s="87"/>
      <c r="AB1778" s="87"/>
      <c r="AC1778" s="87"/>
      <c r="AD1778" s="87"/>
      <c r="AE1778" s="87"/>
      <c r="AF1778" s="87"/>
      <c r="AG1778" s="87"/>
      <c r="AH1778" s="87">
        <v>3</v>
      </c>
      <c r="AI1778" s="87"/>
      <c r="AJ1778" s="87"/>
      <c r="AK1778" s="87"/>
      <c r="AL1778" s="87"/>
      <c r="AM1778" s="87"/>
      <c r="AN1778" s="87">
        <v>1</v>
      </c>
      <c r="AO1778" s="87">
        <v>1</v>
      </c>
      <c r="AP1778" s="87"/>
      <c r="AQ1778" s="87"/>
      <c r="AR1778" s="87">
        <v>1</v>
      </c>
      <c r="AS1778" s="87"/>
      <c r="AT1778" s="87"/>
      <c r="AU1778" s="87"/>
      <c r="AV1778" s="87"/>
      <c r="AW1778" s="88" t="str">
        <f>HYPERLINK("http://www.openstreetmap.org/?mlat=31.5297&amp;mlon=45.213&amp;zoom=12#map=12/31.5297/45.213","Maplink1")</f>
        <v>Maplink1</v>
      </c>
      <c r="AX1778" s="88" t="str">
        <f>HYPERLINK("https://www.google.iq/maps/search/+31.5297,45.213/@31.5297,45.213,14z?hl=en","Maplink2")</f>
        <v>Maplink2</v>
      </c>
      <c r="AY1778" s="88" t="str">
        <f>HYPERLINK("http://www.bing.com/maps/?lvl=14&amp;sty=h&amp;cp=31.5297~45.213&amp;sp=point.31.5297_45.213","Maplink3")</f>
        <v>Maplink3</v>
      </c>
      <c r="AZ1778" s="76"/>
    </row>
    <row r="1779" spans="1:52" x14ac:dyDescent="0.25">
      <c r="A1779" s="86">
        <v>25976</v>
      </c>
      <c r="B1779" s="87" t="s">
        <v>22</v>
      </c>
      <c r="C1779" s="87" t="s">
        <v>3426</v>
      </c>
      <c r="D1779" s="87" t="s">
        <v>3441</v>
      </c>
      <c r="E1779" s="87" t="s">
        <v>208</v>
      </c>
      <c r="F1779" s="87">
        <v>31.4740041224</v>
      </c>
      <c r="G1779" s="87">
        <v>45.284695794400001</v>
      </c>
      <c r="H1779" s="86">
        <v>7</v>
      </c>
      <c r="I1779" s="86">
        <v>42</v>
      </c>
      <c r="J1779" s="87"/>
      <c r="K1779" s="87"/>
      <c r="L1779" s="87"/>
      <c r="M1779" s="87"/>
      <c r="N1779" s="87"/>
      <c r="O1779" s="87"/>
      <c r="P1779" s="87"/>
      <c r="Q1779" s="87"/>
      <c r="R1779" s="87"/>
      <c r="S1779" s="87"/>
      <c r="T1779" s="87"/>
      <c r="U1779" s="87"/>
      <c r="V1779" s="87">
        <v>7</v>
      </c>
      <c r="W1779" s="87"/>
      <c r="X1779" s="87"/>
      <c r="Y1779" s="87"/>
      <c r="Z1779" s="87"/>
      <c r="AA1779" s="87"/>
      <c r="AB1779" s="87"/>
      <c r="AC1779" s="87">
        <v>1</v>
      </c>
      <c r="AD1779" s="87"/>
      <c r="AE1779" s="87"/>
      <c r="AF1779" s="87"/>
      <c r="AG1779" s="87"/>
      <c r="AH1779" s="87">
        <v>6</v>
      </c>
      <c r="AI1779" s="87"/>
      <c r="AJ1779" s="87"/>
      <c r="AK1779" s="87"/>
      <c r="AL1779" s="87"/>
      <c r="AM1779" s="87"/>
      <c r="AN1779" s="87"/>
      <c r="AO1779" s="87">
        <v>6</v>
      </c>
      <c r="AP1779" s="87">
        <v>1</v>
      </c>
      <c r="AQ1779" s="87"/>
      <c r="AR1779" s="87"/>
      <c r="AS1779" s="87"/>
      <c r="AT1779" s="87"/>
      <c r="AU1779" s="87"/>
      <c r="AV1779" s="87"/>
      <c r="AW1779" s="88" t="str">
        <f>HYPERLINK("http://www.openstreetmap.org/?mlat=31.474&amp;mlon=45.2847&amp;zoom=12#map=12/31.474/45.2847","Maplink1")</f>
        <v>Maplink1</v>
      </c>
      <c r="AX1779" s="88" t="str">
        <f>HYPERLINK("https://www.google.iq/maps/search/+31.474,45.2847/@31.474,45.2847,14z?hl=en","Maplink2")</f>
        <v>Maplink2</v>
      </c>
      <c r="AY1779" s="88" t="str">
        <f>HYPERLINK("http://www.bing.com/maps/?lvl=14&amp;sty=h&amp;cp=31.474~45.2847&amp;sp=point.31.474_45.2847","Maplink3")</f>
        <v>Maplink3</v>
      </c>
      <c r="AZ1779" s="76"/>
    </row>
    <row r="1780" spans="1:52" x14ac:dyDescent="0.25">
      <c r="A1780" s="86">
        <v>1885</v>
      </c>
      <c r="B1780" s="87" t="s">
        <v>22</v>
      </c>
      <c r="C1780" s="87" t="s">
        <v>3426</v>
      </c>
      <c r="D1780" s="87" t="s">
        <v>3442</v>
      </c>
      <c r="E1780" s="87" t="s">
        <v>307</v>
      </c>
      <c r="F1780" s="87">
        <v>31.5280914539</v>
      </c>
      <c r="G1780" s="87">
        <v>45.2034770697</v>
      </c>
      <c r="H1780" s="86">
        <v>5</v>
      </c>
      <c r="I1780" s="86">
        <v>30</v>
      </c>
      <c r="J1780" s="87"/>
      <c r="K1780" s="87"/>
      <c r="L1780" s="87">
        <v>2</v>
      </c>
      <c r="M1780" s="87"/>
      <c r="N1780" s="87"/>
      <c r="O1780" s="87"/>
      <c r="P1780" s="87"/>
      <c r="Q1780" s="87"/>
      <c r="R1780" s="87"/>
      <c r="S1780" s="87"/>
      <c r="T1780" s="87"/>
      <c r="U1780" s="87"/>
      <c r="V1780" s="87">
        <v>3</v>
      </c>
      <c r="W1780" s="87"/>
      <c r="X1780" s="87"/>
      <c r="Y1780" s="87"/>
      <c r="Z1780" s="87"/>
      <c r="AA1780" s="87"/>
      <c r="AB1780" s="87"/>
      <c r="AC1780" s="87">
        <v>3</v>
      </c>
      <c r="AD1780" s="87"/>
      <c r="AE1780" s="87"/>
      <c r="AF1780" s="87"/>
      <c r="AG1780" s="87"/>
      <c r="AH1780" s="87">
        <v>2</v>
      </c>
      <c r="AI1780" s="87"/>
      <c r="AJ1780" s="87"/>
      <c r="AK1780" s="87"/>
      <c r="AL1780" s="87"/>
      <c r="AM1780" s="87"/>
      <c r="AN1780" s="87">
        <v>1</v>
      </c>
      <c r="AO1780" s="87">
        <v>3</v>
      </c>
      <c r="AP1780" s="87">
        <v>1</v>
      </c>
      <c r="AQ1780" s="87"/>
      <c r="AR1780" s="87"/>
      <c r="AS1780" s="87"/>
      <c r="AT1780" s="87"/>
      <c r="AU1780" s="87"/>
      <c r="AV1780" s="87"/>
      <c r="AW1780" s="88" t="str">
        <f>HYPERLINK("http://www.openstreetmap.org/?mlat=31.5281&amp;mlon=45.2035&amp;zoom=12#map=12/31.5281/45.2035","Maplink1")</f>
        <v>Maplink1</v>
      </c>
      <c r="AX1780" s="88" t="str">
        <f>HYPERLINK("https://www.google.iq/maps/search/+31.5281,45.2035/@31.5281,45.2035,14z?hl=en","Maplink2")</f>
        <v>Maplink2</v>
      </c>
      <c r="AY1780" s="88" t="str">
        <f>HYPERLINK("http://www.bing.com/maps/?lvl=14&amp;sty=h&amp;cp=31.5281~45.2035&amp;sp=point.31.5281_45.2035","Maplink3")</f>
        <v>Maplink3</v>
      </c>
      <c r="AZ1780" s="76"/>
    </row>
    <row r="1781" spans="1:52" x14ac:dyDescent="0.25">
      <c r="A1781" s="86">
        <v>33793</v>
      </c>
      <c r="B1781" s="87" t="s">
        <v>22</v>
      </c>
      <c r="C1781" s="87" t="s">
        <v>3426</v>
      </c>
      <c r="D1781" s="87" t="s">
        <v>5834</v>
      </c>
      <c r="E1781" s="87" t="s">
        <v>5835</v>
      </c>
      <c r="F1781" s="87">
        <v>31.430115600000001</v>
      </c>
      <c r="G1781" s="87">
        <v>45.108028699999998</v>
      </c>
      <c r="H1781" s="86">
        <v>1</v>
      </c>
      <c r="I1781" s="86">
        <v>6</v>
      </c>
      <c r="J1781" s="87"/>
      <c r="K1781" s="87"/>
      <c r="L1781" s="87"/>
      <c r="M1781" s="87"/>
      <c r="N1781" s="87"/>
      <c r="O1781" s="87"/>
      <c r="P1781" s="87"/>
      <c r="Q1781" s="87"/>
      <c r="R1781" s="87"/>
      <c r="S1781" s="87"/>
      <c r="T1781" s="87"/>
      <c r="U1781" s="87"/>
      <c r="V1781" s="87">
        <v>1</v>
      </c>
      <c r="W1781" s="87"/>
      <c r="X1781" s="87"/>
      <c r="Y1781" s="87"/>
      <c r="Z1781" s="87"/>
      <c r="AA1781" s="87"/>
      <c r="AB1781" s="87"/>
      <c r="AC1781" s="87">
        <v>1</v>
      </c>
      <c r="AD1781" s="87"/>
      <c r="AE1781" s="87"/>
      <c r="AF1781" s="87"/>
      <c r="AG1781" s="87"/>
      <c r="AH1781" s="87"/>
      <c r="AI1781" s="87"/>
      <c r="AJ1781" s="87"/>
      <c r="AK1781" s="87"/>
      <c r="AL1781" s="87"/>
      <c r="AM1781" s="87"/>
      <c r="AN1781" s="87"/>
      <c r="AO1781" s="87"/>
      <c r="AP1781" s="87">
        <v>1</v>
      </c>
      <c r="AQ1781" s="87"/>
      <c r="AR1781" s="87"/>
      <c r="AS1781" s="87"/>
      <c r="AT1781" s="87"/>
      <c r="AU1781" s="87"/>
      <c r="AV1781" s="87"/>
      <c r="AW1781" s="88" t="str">
        <f>HYPERLINK("http://www.openstreetmap.org/?mlat=31.4301&amp;mlon=45.108&amp;zoom=12#map=12/31.4301/45.108","Maplink1")</f>
        <v>Maplink1</v>
      </c>
      <c r="AX1781" s="88" t="str">
        <f>HYPERLINK("https://www.google.iq/maps/search/+31.4301,45.108/@31.4301,45.108,14z?hl=en","Maplink2")</f>
        <v>Maplink2</v>
      </c>
      <c r="AY1781" s="88" t="str">
        <f>HYPERLINK("http://www.bing.com/maps/?lvl=14&amp;sty=h&amp;cp=31.4301~45.108&amp;sp=point.31.4301_45.108","Maplink3")</f>
        <v>Maplink3</v>
      </c>
      <c r="AZ1781" s="76"/>
    </row>
    <row r="1782" spans="1:52" x14ac:dyDescent="0.25">
      <c r="A1782" s="86">
        <v>1609</v>
      </c>
      <c r="B1782" s="87" t="s">
        <v>22</v>
      </c>
      <c r="C1782" s="87" t="s">
        <v>3443</v>
      </c>
      <c r="D1782" s="87" t="s">
        <v>3444</v>
      </c>
      <c r="E1782" s="87" t="s">
        <v>3445</v>
      </c>
      <c r="F1782" s="87">
        <v>31.3262343546</v>
      </c>
      <c r="G1782" s="87">
        <v>45.2706156112</v>
      </c>
      <c r="H1782" s="86">
        <v>1</v>
      </c>
      <c r="I1782" s="86">
        <v>6</v>
      </c>
      <c r="J1782" s="87"/>
      <c r="K1782" s="87"/>
      <c r="L1782" s="87"/>
      <c r="M1782" s="87"/>
      <c r="N1782" s="87"/>
      <c r="O1782" s="87"/>
      <c r="P1782" s="87"/>
      <c r="Q1782" s="87"/>
      <c r="R1782" s="87"/>
      <c r="S1782" s="87"/>
      <c r="T1782" s="87"/>
      <c r="U1782" s="87"/>
      <c r="V1782" s="87">
        <v>1</v>
      </c>
      <c r="W1782" s="87"/>
      <c r="X1782" s="87"/>
      <c r="Y1782" s="87"/>
      <c r="Z1782" s="87"/>
      <c r="AA1782" s="87"/>
      <c r="AB1782" s="87"/>
      <c r="AC1782" s="87"/>
      <c r="AD1782" s="87"/>
      <c r="AE1782" s="87"/>
      <c r="AF1782" s="87"/>
      <c r="AG1782" s="87">
        <v>1</v>
      </c>
      <c r="AH1782" s="87"/>
      <c r="AI1782" s="87"/>
      <c r="AJ1782" s="87"/>
      <c r="AK1782" s="87"/>
      <c r="AL1782" s="87"/>
      <c r="AM1782" s="87"/>
      <c r="AN1782" s="87"/>
      <c r="AO1782" s="87"/>
      <c r="AP1782" s="87">
        <v>1</v>
      </c>
      <c r="AQ1782" s="87"/>
      <c r="AR1782" s="87"/>
      <c r="AS1782" s="87"/>
      <c r="AT1782" s="87"/>
      <c r="AU1782" s="87"/>
      <c r="AV1782" s="87"/>
      <c r="AW1782" s="88" t="str">
        <f>HYPERLINK("http://www.openstreetmap.org/?mlat=31.3262&amp;mlon=45.2706&amp;zoom=12#map=12/31.3262/45.2706","Maplink1")</f>
        <v>Maplink1</v>
      </c>
      <c r="AX1782" s="88" t="str">
        <f>HYPERLINK("https://www.google.iq/maps/search/+31.3262,45.2706/@31.3262,45.2706,14z?hl=en","Maplink2")</f>
        <v>Maplink2</v>
      </c>
      <c r="AY1782" s="88" t="str">
        <f>HYPERLINK("http://www.bing.com/maps/?lvl=14&amp;sty=h&amp;cp=31.3262~45.2706&amp;sp=point.31.3262_45.2706","Maplink3")</f>
        <v>Maplink3</v>
      </c>
      <c r="AZ1782" s="76"/>
    </row>
    <row r="1783" spans="1:52" x14ac:dyDescent="0.25">
      <c r="A1783" s="86">
        <v>26083</v>
      </c>
      <c r="B1783" s="87" t="s">
        <v>22</v>
      </c>
      <c r="C1783" s="87" t="s">
        <v>3443</v>
      </c>
      <c r="D1783" s="87" t="s">
        <v>3446</v>
      </c>
      <c r="E1783" s="87" t="s">
        <v>3447</v>
      </c>
      <c r="F1783" s="87">
        <v>31.2638196861</v>
      </c>
      <c r="G1783" s="87">
        <v>45.064184172099999</v>
      </c>
      <c r="H1783" s="86">
        <v>1</v>
      </c>
      <c r="I1783" s="86">
        <v>6</v>
      </c>
      <c r="J1783" s="87">
        <v>1</v>
      </c>
      <c r="K1783" s="87"/>
      <c r="L1783" s="87"/>
      <c r="M1783" s="87"/>
      <c r="N1783" s="87"/>
      <c r="O1783" s="87"/>
      <c r="P1783" s="87"/>
      <c r="Q1783" s="87"/>
      <c r="R1783" s="87"/>
      <c r="S1783" s="87"/>
      <c r="T1783" s="87"/>
      <c r="U1783" s="87"/>
      <c r="V1783" s="87"/>
      <c r="W1783" s="87"/>
      <c r="X1783" s="87"/>
      <c r="Y1783" s="87"/>
      <c r="Z1783" s="87"/>
      <c r="AA1783" s="87"/>
      <c r="AB1783" s="87"/>
      <c r="AC1783" s="87">
        <v>1</v>
      </c>
      <c r="AD1783" s="87"/>
      <c r="AE1783" s="87"/>
      <c r="AF1783" s="87"/>
      <c r="AG1783" s="87"/>
      <c r="AH1783" s="87"/>
      <c r="AI1783" s="87"/>
      <c r="AJ1783" s="87"/>
      <c r="AK1783" s="87"/>
      <c r="AL1783" s="87"/>
      <c r="AM1783" s="87"/>
      <c r="AN1783" s="87"/>
      <c r="AO1783" s="87"/>
      <c r="AP1783" s="87"/>
      <c r="AQ1783" s="87"/>
      <c r="AR1783" s="87">
        <v>1</v>
      </c>
      <c r="AS1783" s="87"/>
      <c r="AT1783" s="87"/>
      <c r="AU1783" s="87"/>
      <c r="AV1783" s="87"/>
      <c r="AW1783" s="88" t="str">
        <f>HYPERLINK("http://www.openstreetmap.org/?mlat=31.2638&amp;mlon=45.0642&amp;zoom=12#map=12/31.2638/45.0642","Maplink1")</f>
        <v>Maplink1</v>
      </c>
      <c r="AX1783" s="88" t="str">
        <f>HYPERLINK("https://www.google.iq/maps/search/+31.2638,45.0642/@31.2638,45.0642,14z?hl=en","Maplink2")</f>
        <v>Maplink2</v>
      </c>
      <c r="AY1783" s="88" t="str">
        <f>HYPERLINK("http://www.bing.com/maps/?lvl=14&amp;sty=h&amp;cp=31.2638~45.0642&amp;sp=point.31.2638_45.0642","Maplink3")</f>
        <v>Maplink3</v>
      </c>
      <c r="AZ1783" s="76"/>
    </row>
    <row r="1784" spans="1:52" x14ac:dyDescent="0.25">
      <c r="A1784" s="86">
        <v>25496</v>
      </c>
      <c r="B1784" s="87" t="s">
        <v>22</v>
      </c>
      <c r="C1784" s="87" t="s">
        <v>3443</v>
      </c>
      <c r="D1784" s="87" t="s">
        <v>3448</v>
      </c>
      <c r="E1784" s="87" t="s">
        <v>3449</v>
      </c>
      <c r="F1784" s="87">
        <v>31.2827080954</v>
      </c>
      <c r="G1784" s="87">
        <v>45.301062287800001</v>
      </c>
      <c r="H1784" s="86">
        <v>2</v>
      </c>
      <c r="I1784" s="86">
        <v>12</v>
      </c>
      <c r="J1784" s="87"/>
      <c r="K1784" s="87"/>
      <c r="L1784" s="87"/>
      <c r="M1784" s="87"/>
      <c r="N1784" s="87"/>
      <c r="O1784" s="87"/>
      <c r="P1784" s="87"/>
      <c r="Q1784" s="87"/>
      <c r="R1784" s="87">
        <v>2</v>
      </c>
      <c r="S1784" s="87"/>
      <c r="T1784" s="87"/>
      <c r="U1784" s="87"/>
      <c r="V1784" s="87"/>
      <c r="W1784" s="87"/>
      <c r="X1784" s="87"/>
      <c r="Y1784" s="87"/>
      <c r="Z1784" s="87"/>
      <c r="AA1784" s="87"/>
      <c r="AB1784" s="87"/>
      <c r="AC1784" s="87">
        <v>2</v>
      </c>
      <c r="AD1784" s="87"/>
      <c r="AE1784" s="87"/>
      <c r="AF1784" s="87"/>
      <c r="AG1784" s="87"/>
      <c r="AH1784" s="87"/>
      <c r="AI1784" s="87"/>
      <c r="AJ1784" s="87"/>
      <c r="AK1784" s="87"/>
      <c r="AL1784" s="87"/>
      <c r="AM1784" s="87"/>
      <c r="AN1784" s="87"/>
      <c r="AO1784" s="87">
        <v>2</v>
      </c>
      <c r="AP1784" s="87"/>
      <c r="AQ1784" s="87"/>
      <c r="AR1784" s="87"/>
      <c r="AS1784" s="87"/>
      <c r="AT1784" s="87"/>
      <c r="AU1784" s="87"/>
      <c r="AV1784" s="87"/>
      <c r="AW1784" s="88" t="str">
        <f>HYPERLINK("http://www.openstreetmap.org/?mlat=31.2827&amp;mlon=45.3011&amp;zoom=12#map=12/31.2827/45.3011","Maplink1")</f>
        <v>Maplink1</v>
      </c>
      <c r="AX1784" s="88" t="str">
        <f>HYPERLINK("https://www.google.iq/maps/search/+31.2827,45.3011/@31.2827,45.3011,14z?hl=en","Maplink2")</f>
        <v>Maplink2</v>
      </c>
      <c r="AY1784" s="88" t="str">
        <f>HYPERLINK("http://www.bing.com/maps/?lvl=14&amp;sty=h&amp;cp=31.2827~45.3011&amp;sp=point.31.2827_45.3011","Maplink3")</f>
        <v>Maplink3</v>
      </c>
      <c r="AZ1784" s="76"/>
    </row>
    <row r="1785" spans="1:52" x14ac:dyDescent="0.25">
      <c r="A1785" s="86">
        <v>21434</v>
      </c>
      <c r="B1785" s="87" t="s">
        <v>22</v>
      </c>
      <c r="C1785" s="87" t="s">
        <v>3443</v>
      </c>
      <c r="D1785" s="87" t="s">
        <v>5918</v>
      </c>
      <c r="E1785" s="87" t="s">
        <v>5919</v>
      </c>
      <c r="F1785" s="87">
        <v>31.2698439276</v>
      </c>
      <c r="G1785" s="87">
        <v>45.2554403432</v>
      </c>
      <c r="H1785" s="86">
        <v>1</v>
      </c>
      <c r="I1785" s="86">
        <v>6</v>
      </c>
      <c r="J1785" s="87"/>
      <c r="K1785" s="87"/>
      <c r="L1785" s="87"/>
      <c r="M1785" s="87"/>
      <c r="N1785" s="87"/>
      <c r="O1785" s="87"/>
      <c r="P1785" s="87"/>
      <c r="Q1785" s="87"/>
      <c r="R1785" s="87">
        <v>1</v>
      </c>
      <c r="S1785" s="87"/>
      <c r="T1785" s="87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87"/>
      <c r="AE1785" s="87"/>
      <c r="AF1785" s="87"/>
      <c r="AG1785" s="87"/>
      <c r="AH1785" s="87">
        <v>1</v>
      </c>
      <c r="AI1785" s="87"/>
      <c r="AJ1785" s="87"/>
      <c r="AK1785" s="87"/>
      <c r="AL1785" s="87"/>
      <c r="AM1785" s="87"/>
      <c r="AN1785" s="87"/>
      <c r="AO1785" s="87"/>
      <c r="AP1785" s="87">
        <v>1</v>
      </c>
      <c r="AQ1785" s="87"/>
      <c r="AR1785" s="87"/>
      <c r="AS1785" s="87"/>
      <c r="AT1785" s="87"/>
      <c r="AU1785" s="87"/>
      <c r="AV1785" s="87"/>
      <c r="AW1785" s="88" t="str">
        <f>HYPERLINK("http://www.openstreetmap.org/?mlat=31.2698&amp;mlon=45.2554&amp;zoom=12#map=12/31.2698/45.2554","Maplink1")</f>
        <v>Maplink1</v>
      </c>
      <c r="AX1785" s="88" t="str">
        <f>HYPERLINK("https://www.google.iq/maps/search/+31.2698,45.2554/@31.2698,45.2554,14z?hl=en","Maplink2")</f>
        <v>Maplink2</v>
      </c>
      <c r="AY1785" s="88" t="str">
        <f>HYPERLINK("http://www.bing.com/maps/?lvl=14&amp;sty=h&amp;cp=31.2698~45.2554&amp;sp=point.31.2698_45.2554","Maplink3")</f>
        <v>Maplink3</v>
      </c>
      <c r="AZ1785" s="76"/>
    </row>
    <row r="1786" spans="1:52" x14ac:dyDescent="0.25">
      <c r="A1786" s="86">
        <v>25430</v>
      </c>
      <c r="B1786" s="87" t="s">
        <v>22</v>
      </c>
      <c r="C1786" s="87" t="s">
        <v>3443</v>
      </c>
      <c r="D1786" s="87" t="s">
        <v>3450</v>
      </c>
      <c r="E1786" s="87" t="s">
        <v>3451</v>
      </c>
      <c r="F1786" s="87">
        <v>31.349932970499999</v>
      </c>
      <c r="G1786" s="87">
        <v>45.292521758600003</v>
      </c>
      <c r="H1786" s="86">
        <v>25</v>
      </c>
      <c r="I1786" s="86">
        <v>150</v>
      </c>
      <c r="J1786" s="87"/>
      <c r="K1786" s="87"/>
      <c r="L1786" s="87">
        <v>1</v>
      </c>
      <c r="M1786" s="87"/>
      <c r="N1786" s="87"/>
      <c r="O1786" s="87">
        <v>1</v>
      </c>
      <c r="P1786" s="87"/>
      <c r="Q1786" s="87"/>
      <c r="R1786" s="87">
        <v>1</v>
      </c>
      <c r="S1786" s="87"/>
      <c r="T1786" s="87"/>
      <c r="U1786" s="87"/>
      <c r="V1786" s="87">
        <v>22</v>
      </c>
      <c r="W1786" s="87"/>
      <c r="X1786" s="87"/>
      <c r="Y1786" s="87"/>
      <c r="Z1786" s="87"/>
      <c r="AA1786" s="87"/>
      <c r="AB1786" s="87"/>
      <c r="AC1786" s="87">
        <v>10</v>
      </c>
      <c r="AD1786" s="87"/>
      <c r="AE1786" s="87"/>
      <c r="AF1786" s="87"/>
      <c r="AG1786" s="87"/>
      <c r="AH1786" s="87">
        <v>15</v>
      </c>
      <c r="AI1786" s="87"/>
      <c r="AJ1786" s="87"/>
      <c r="AK1786" s="87"/>
      <c r="AL1786" s="87"/>
      <c r="AM1786" s="87"/>
      <c r="AN1786" s="87">
        <v>1</v>
      </c>
      <c r="AO1786" s="87">
        <v>7</v>
      </c>
      <c r="AP1786" s="87">
        <v>8</v>
      </c>
      <c r="AQ1786" s="87">
        <v>1</v>
      </c>
      <c r="AR1786" s="87">
        <v>4</v>
      </c>
      <c r="AS1786" s="87"/>
      <c r="AT1786" s="87">
        <v>4</v>
      </c>
      <c r="AU1786" s="87"/>
      <c r="AV1786" s="87"/>
      <c r="AW1786" s="88" t="str">
        <f>HYPERLINK("http://www.openstreetmap.org/?mlat=31.3499&amp;mlon=45.2925&amp;zoom=12#map=12/31.3499/45.2925","Maplink1")</f>
        <v>Maplink1</v>
      </c>
      <c r="AX1786" s="88" t="str">
        <f>HYPERLINK("https://www.google.iq/maps/search/+31.3499,45.2925/@31.3499,45.2925,14z?hl=en","Maplink2")</f>
        <v>Maplink2</v>
      </c>
      <c r="AY1786" s="88" t="str">
        <f>HYPERLINK("http://www.bing.com/maps/?lvl=14&amp;sty=h&amp;cp=31.3499~45.2925&amp;sp=point.31.3499_45.2925","Maplink3")</f>
        <v>Maplink3</v>
      </c>
      <c r="AZ1786" s="76"/>
    </row>
    <row r="1787" spans="1:52" x14ac:dyDescent="0.25">
      <c r="A1787" s="86">
        <v>1492</v>
      </c>
      <c r="B1787" s="87" t="s">
        <v>22</v>
      </c>
      <c r="C1787" s="87" t="s">
        <v>3443</v>
      </c>
      <c r="D1787" s="87" t="s">
        <v>3452</v>
      </c>
      <c r="E1787" s="87" t="s">
        <v>3453</v>
      </c>
      <c r="F1787" s="87">
        <v>31.304492913200001</v>
      </c>
      <c r="G1787" s="87">
        <v>45.2826445643</v>
      </c>
      <c r="H1787" s="86">
        <v>2</v>
      </c>
      <c r="I1787" s="86">
        <v>12</v>
      </c>
      <c r="J1787" s="87"/>
      <c r="K1787" s="87"/>
      <c r="L1787" s="87"/>
      <c r="M1787" s="87"/>
      <c r="N1787" s="87"/>
      <c r="O1787" s="87"/>
      <c r="P1787" s="87"/>
      <c r="Q1787" s="87"/>
      <c r="R1787" s="87"/>
      <c r="S1787" s="87"/>
      <c r="T1787" s="87"/>
      <c r="U1787" s="87"/>
      <c r="V1787" s="87">
        <v>2</v>
      </c>
      <c r="W1787" s="87"/>
      <c r="X1787" s="87"/>
      <c r="Y1787" s="87"/>
      <c r="Z1787" s="87"/>
      <c r="AA1787" s="87"/>
      <c r="AB1787" s="87"/>
      <c r="AC1787" s="87"/>
      <c r="AD1787" s="87"/>
      <c r="AE1787" s="87"/>
      <c r="AF1787" s="87"/>
      <c r="AG1787" s="87"/>
      <c r="AH1787" s="87">
        <v>2</v>
      </c>
      <c r="AI1787" s="87"/>
      <c r="AJ1787" s="87"/>
      <c r="AK1787" s="87"/>
      <c r="AL1787" s="87"/>
      <c r="AM1787" s="87"/>
      <c r="AN1787" s="87"/>
      <c r="AO1787" s="87"/>
      <c r="AP1787" s="87"/>
      <c r="AQ1787" s="87">
        <v>2</v>
      </c>
      <c r="AR1787" s="87"/>
      <c r="AS1787" s="87"/>
      <c r="AT1787" s="87"/>
      <c r="AU1787" s="87"/>
      <c r="AV1787" s="87"/>
      <c r="AW1787" s="88" t="str">
        <f>HYPERLINK("http://www.openstreetmap.org/?mlat=31.3045&amp;mlon=45.2826&amp;zoom=12#map=12/31.3045/45.2826","Maplink1")</f>
        <v>Maplink1</v>
      </c>
      <c r="AX1787" s="88" t="str">
        <f>HYPERLINK("https://www.google.iq/maps/search/+31.3045,45.2826/@31.3045,45.2826,14z?hl=en","Maplink2")</f>
        <v>Maplink2</v>
      </c>
      <c r="AY1787" s="88" t="str">
        <f>HYPERLINK("http://www.bing.com/maps/?lvl=14&amp;sty=h&amp;cp=31.3045~45.2826&amp;sp=point.31.3045_45.2826","Maplink3")</f>
        <v>Maplink3</v>
      </c>
      <c r="AZ1787" s="76"/>
    </row>
    <row r="1788" spans="1:52" x14ac:dyDescent="0.25">
      <c r="A1788" s="86">
        <v>33239</v>
      </c>
      <c r="B1788" s="87" t="s">
        <v>22</v>
      </c>
      <c r="C1788" s="87" t="s">
        <v>3443</v>
      </c>
      <c r="D1788" s="87" t="s">
        <v>3454</v>
      </c>
      <c r="E1788" s="87" t="s">
        <v>3455</v>
      </c>
      <c r="F1788" s="87">
        <v>31.291097207</v>
      </c>
      <c r="G1788" s="87">
        <v>45.304473722399997</v>
      </c>
      <c r="H1788" s="86">
        <v>3</v>
      </c>
      <c r="I1788" s="86">
        <v>18</v>
      </c>
      <c r="J1788" s="87"/>
      <c r="K1788" s="87"/>
      <c r="L1788" s="87"/>
      <c r="M1788" s="87"/>
      <c r="N1788" s="87"/>
      <c r="O1788" s="87"/>
      <c r="P1788" s="87"/>
      <c r="Q1788" s="87"/>
      <c r="R1788" s="87"/>
      <c r="S1788" s="87"/>
      <c r="T1788" s="87"/>
      <c r="U1788" s="87"/>
      <c r="V1788" s="87">
        <v>3</v>
      </c>
      <c r="W1788" s="87"/>
      <c r="X1788" s="87"/>
      <c r="Y1788" s="87"/>
      <c r="Z1788" s="87"/>
      <c r="AA1788" s="87"/>
      <c r="AB1788" s="87"/>
      <c r="AC1788" s="87">
        <v>3</v>
      </c>
      <c r="AD1788" s="87"/>
      <c r="AE1788" s="87"/>
      <c r="AF1788" s="87"/>
      <c r="AG1788" s="87"/>
      <c r="AH1788" s="87"/>
      <c r="AI1788" s="87"/>
      <c r="AJ1788" s="87"/>
      <c r="AK1788" s="87"/>
      <c r="AL1788" s="87"/>
      <c r="AM1788" s="87"/>
      <c r="AN1788" s="87"/>
      <c r="AO1788" s="87"/>
      <c r="AP1788" s="87">
        <v>3</v>
      </c>
      <c r="AQ1788" s="87"/>
      <c r="AR1788" s="87"/>
      <c r="AS1788" s="87"/>
      <c r="AT1788" s="87"/>
      <c r="AU1788" s="87"/>
      <c r="AV1788" s="87"/>
      <c r="AW1788" s="88" t="str">
        <f>HYPERLINK("http://www.openstreetmap.org/?mlat=31.2911&amp;mlon=45.3045&amp;zoom=12#map=12/31.2911/45.3045","Maplink1")</f>
        <v>Maplink1</v>
      </c>
      <c r="AX1788" s="88" t="str">
        <f>HYPERLINK("https://www.google.iq/maps/search/+31.2911,45.3045/@31.2911,45.3045,14z?hl=en","Maplink2")</f>
        <v>Maplink2</v>
      </c>
      <c r="AY1788" s="88" t="str">
        <f>HYPERLINK("http://www.bing.com/maps/?lvl=14&amp;sty=h&amp;cp=31.2911~45.3045&amp;sp=point.31.2911_45.3045","Maplink3")</f>
        <v>Maplink3</v>
      </c>
      <c r="AZ1788" s="76"/>
    </row>
    <row r="1789" spans="1:52" x14ac:dyDescent="0.25">
      <c r="A1789" s="86">
        <v>2033</v>
      </c>
      <c r="B1789" s="87" t="s">
        <v>22</v>
      </c>
      <c r="C1789" s="87" t="s">
        <v>3443</v>
      </c>
      <c r="D1789" s="87" t="s">
        <v>3456</v>
      </c>
      <c r="E1789" s="87" t="s">
        <v>3457</v>
      </c>
      <c r="F1789" s="87">
        <v>31.2756489404</v>
      </c>
      <c r="G1789" s="87">
        <v>45.2687121401</v>
      </c>
      <c r="H1789" s="86">
        <v>5</v>
      </c>
      <c r="I1789" s="86">
        <v>30</v>
      </c>
      <c r="J1789" s="87">
        <v>1</v>
      </c>
      <c r="K1789" s="87"/>
      <c r="L1789" s="87">
        <v>1</v>
      </c>
      <c r="M1789" s="87"/>
      <c r="N1789" s="87"/>
      <c r="O1789" s="87"/>
      <c r="P1789" s="87"/>
      <c r="Q1789" s="87"/>
      <c r="R1789" s="87"/>
      <c r="S1789" s="87"/>
      <c r="T1789" s="87"/>
      <c r="U1789" s="87"/>
      <c r="V1789" s="87">
        <v>2</v>
      </c>
      <c r="W1789" s="87"/>
      <c r="X1789" s="87">
        <v>1</v>
      </c>
      <c r="Y1789" s="87"/>
      <c r="Z1789" s="87"/>
      <c r="AA1789" s="87"/>
      <c r="AB1789" s="87"/>
      <c r="AC1789" s="87">
        <v>1</v>
      </c>
      <c r="AD1789" s="87"/>
      <c r="AE1789" s="87"/>
      <c r="AF1789" s="87"/>
      <c r="AG1789" s="87"/>
      <c r="AH1789" s="87">
        <v>4</v>
      </c>
      <c r="AI1789" s="87"/>
      <c r="AJ1789" s="87"/>
      <c r="AK1789" s="87"/>
      <c r="AL1789" s="87"/>
      <c r="AM1789" s="87"/>
      <c r="AN1789" s="87"/>
      <c r="AO1789" s="87">
        <v>4</v>
      </c>
      <c r="AP1789" s="87"/>
      <c r="AQ1789" s="87"/>
      <c r="AR1789" s="87">
        <v>1</v>
      </c>
      <c r="AS1789" s="87"/>
      <c r="AT1789" s="87"/>
      <c r="AU1789" s="87"/>
      <c r="AV1789" s="87"/>
      <c r="AW1789" s="88" t="str">
        <f>HYPERLINK("http://www.openstreetmap.org/?mlat=31.2756&amp;mlon=45.2687&amp;zoom=12#map=12/31.2756/45.2687","Maplink1")</f>
        <v>Maplink1</v>
      </c>
      <c r="AX1789" s="88" t="str">
        <f>HYPERLINK("https://www.google.iq/maps/search/+31.2756,45.2687/@31.2756,45.2687,14z?hl=en","Maplink2")</f>
        <v>Maplink2</v>
      </c>
      <c r="AY1789" s="88" t="str">
        <f>HYPERLINK("http://www.bing.com/maps/?lvl=14&amp;sty=h&amp;cp=31.2756~45.2687&amp;sp=point.31.2756_45.2687","Maplink3")</f>
        <v>Maplink3</v>
      </c>
      <c r="AZ1789" s="76"/>
    </row>
    <row r="1790" spans="1:52" x14ac:dyDescent="0.25">
      <c r="A1790" s="86">
        <v>1480</v>
      </c>
      <c r="B1790" s="87" t="s">
        <v>22</v>
      </c>
      <c r="C1790" s="87" t="s">
        <v>3443</v>
      </c>
      <c r="D1790" s="87" t="s">
        <v>3458</v>
      </c>
      <c r="E1790" s="87" t="s">
        <v>55</v>
      </c>
      <c r="F1790" s="87">
        <v>31.297492263799999</v>
      </c>
      <c r="G1790" s="87">
        <v>45.258802030699997</v>
      </c>
      <c r="H1790" s="86">
        <v>5</v>
      </c>
      <c r="I1790" s="86">
        <v>30</v>
      </c>
      <c r="J1790" s="87">
        <v>3</v>
      </c>
      <c r="K1790" s="87"/>
      <c r="L1790" s="87"/>
      <c r="M1790" s="87"/>
      <c r="N1790" s="87"/>
      <c r="O1790" s="87"/>
      <c r="P1790" s="87"/>
      <c r="Q1790" s="87"/>
      <c r="R1790" s="87"/>
      <c r="S1790" s="87"/>
      <c r="T1790" s="87"/>
      <c r="U1790" s="87"/>
      <c r="V1790" s="87">
        <v>1</v>
      </c>
      <c r="W1790" s="87"/>
      <c r="X1790" s="87">
        <v>1</v>
      </c>
      <c r="Y1790" s="87"/>
      <c r="Z1790" s="87"/>
      <c r="AA1790" s="87"/>
      <c r="AB1790" s="87"/>
      <c r="AC1790" s="87">
        <v>2</v>
      </c>
      <c r="AD1790" s="87"/>
      <c r="AE1790" s="87"/>
      <c r="AF1790" s="87"/>
      <c r="AG1790" s="87"/>
      <c r="AH1790" s="87">
        <v>3</v>
      </c>
      <c r="AI1790" s="87"/>
      <c r="AJ1790" s="87"/>
      <c r="AK1790" s="87"/>
      <c r="AL1790" s="87"/>
      <c r="AM1790" s="87"/>
      <c r="AN1790" s="87"/>
      <c r="AO1790" s="87"/>
      <c r="AP1790" s="87"/>
      <c r="AQ1790" s="87">
        <v>4</v>
      </c>
      <c r="AR1790" s="87">
        <v>1</v>
      </c>
      <c r="AS1790" s="87"/>
      <c r="AT1790" s="87"/>
      <c r="AU1790" s="87"/>
      <c r="AV1790" s="87"/>
      <c r="AW1790" s="88" t="str">
        <f>HYPERLINK("http://www.openstreetmap.org/?mlat=31.2975&amp;mlon=45.2588&amp;zoom=12#map=12/31.2975/45.2588","Maplink1")</f>
        <v>Maplink1</v>
      </c>
      <c r="AX1790" s="88" t="str">
        <f>HYPERLINK("https://www.google.iq/maps/search/+31.2975,45.2588/@31.2975,45.2588,14z?hl=en","Maplink2")</f>
        <v>Maplink2</v>
      </c>
      <c r="AY1790" s="88" t="str">
        <f>HYPERLINK("http://www.bing.com/maps/?lvl=14&amp;sty=h&amp;cp=31.2975~45.2588&amp;sp=point.31.2975_45.2588","Maplink3")</f>
        <v>Maplink3</v>
      </c>
      <c r="AZ1790" s="76"/>
    </row>
    <row r="1791" spans="1:52" x14ac:dyDescent="0.25">
      <c r="A1791" s="86">
        <v>25784</v>
      </c>
      <c r="B1791" s="87" t="s">
        <v>22</v>
      </c>
      <c r="C1791" s="87" t="s">
        <v>3443</v>
      </c>
      <c r="D1791" s="87" t="s">
        <v>3459</v>
      </c>
      <c r="E1791" s="87" t="s">
        <v>3460</v>
      </c>
      <c r="F1791" s="87">
        <v>31.297467914399999</v>
      </c>
      <c r="G1791" s="87">
        <v>45.275513560900002</v>
      </c>
      <c r="H1791" s="86">
        <v>10</v>
      </c>
      <c r="I1791" s="86">
        <v>60</v>
      </c>
      <c r="J1791" s="87"/>
      <c r="K1791" s="87"/>
      <c r="L1791" s="87">
        <v>2</v>
      </c>
      <c r="M1791" s="87"/>
      <c r="N1791" s="87"/>
      <c r="O1791" s="87">
        <v>1</v>
      </c>
      <c r="P1791" s="87"/>
      <c r="Q1791" s="87"/>
      <c r="R1791" s="87"/>
      <c r="S1791" s="87"/>
      <c r="T1791" s="87"/>
      <c r="U1791" s="87"/>
      <c r="V1791" s="87">
        <v>6</v>
      </c>
      <c r="W1791" s="87"/>
      <c r="X1791" s="87">
        <v>1</v>
      </c>
      <c r="Y1791" s="87"/>
      <c r="Z1791" s="87"/>
      <c r="AA1791" s="87"/>
      <c r="AB1791" s="87"/>
      <c r="AC1791" s="87">
        <v>1</v>
      </c>
      <c r="AD1791" s="87"/>
      <c r="AE1791" s="87"/>
      <c r="AF1791" s="87"/>
      <c r="AG1791" s="87"/>
      <c r="AH1791" s="87">
        <v>9</v>
      </c>
      <c r="AI1791" s="87"/>
      <c r="AJ1791" s="87"/>
      <c r="AK1791" s="87"/>
      <c r="AL1791" s="87"/>
      <c r="AM1791" s="87"/>
      <c r="AN1791" s="87"/>
      <c r="AO1791" s="87">
        <v>5</v>
      </c>
      <c r="AP1791" s="87">
        <v>2</v>
      </c>
      <c r="AQ1791" s="87">
        <v>1</v>
      </c>
      <c r="AR1791" s="87"/>
      <c r="AS1791" s="87"/>
      <c r="AT1791" s="87">
        <v>2</v>
      </c>
      <c r="AU1791" s="87"/>
      <c r="AV1791" s="87"/>
      <c r="AW1791" s="88" t="str">
        <f>HYPERLINK("http://www.openstreetmap.org/?mlat=31.2975&amp;mlon=45.2755&amp;zoom=12#map=12/31.2975/45.2755","Maplink1")</f>
        <v>Maplink1</v>
      </c>
      <c r="AX1791" s="88" t="str">
        <f>HYPERLINK("https://www.google.iq/maps/search/+31.2975,45.2755/@31.2975,45.2755,14z?hl=en","Maplink2")</f>
        <v>Maplink2</v>
      </c>
      <c r="AY1791" s="88" t="str">
        <f>HYPERLINK("http://www.bing.com/maps/?lvl=14&amp;sty=h&amp;cp=31.2975~45.2755&amp;sp=point.31.2975_45.2755","Maplink3")</f>
        <v>Maplink3</v>
      </c>
      <c r="AZ1791" s="76"/>
    </row>
    <row r="1792" spans="1:52" x14ac:dyDescent="0.25">
      <c r="A1792" s="86">
        <v>21433</v>
      </c>
      <c r="B1792" s="87" t="s">
        <v>22</v>
      </c>
      <c r="C1792" s="87" t="s">
        <v>3443</v>
      </c>
      <c r="D1792" s="87" t="s">
        <v>3440</v>
      </c>
      <c r="E1792" s="87" t="s">
        <v>208</v>
      </c>
      <c r="F1792" s="87">
        <v>31.304847132399999</v>
      </c>
      <c r="G1792" s="87">
        <v>45.303466217599997</v>
      </c>
      <c r="H1792" s="86">
        <v>1</v>
      </c>
      <c r="I1792" s="86">
        <v>6</v>
      </c>
      <c r="J1792" s="87"/>
      <c r="K1792" s="87"/>
      <c r="L1792" s="87"/>
      <c r="M1792" s="87"/>
      <c r="N1792" s="87"/>
      <c r="O1792" s="87"/>
      <c r="P1792" s="87"/>
      <c r="Q1792" s="87"/>
      <c r="R1792" s="87"/>
      <c r="S1792" s="87"/>
      <c r="T1792" s="87"/>
      <c r="U1792" s="87"/>
      <c r="V1792" s="87">
        <v>1</v>
      </c>
      <c r="W1792" s="87"/>
      <c r="X1792" s="87"/>
      <c r="Y1792" s="87"/>
      <c r="Z1792" s="87"/>
      <c r="AA1792" s="87"/>
      <c r="AB1792" s="87"/>
      <c r="AC1792" s="87"/>
      <c r="AD1792" s="87"/>
      <c r="AE1792" s="87"/>
      <c r="AF1792" s="87"/>
      <c r="AG1792" s="87"/>
      <c r="AH1792" s="87">
        <v>1</v>
      </c>
      <c r="AI1792" s="87"/>
      <c r="AJ1792" s="87"/>
      <c r="AK1792" s="87"/>
      <c r="AL1792" s="87"/>
      <c r="AM1792" s="87"/>
      <c r="AN1792" s="87"/>
      <c r="AO1792" s="87"/>
      <c r="AP1792" s="87"/>
      <c r="AQ1792" s="87">
        <v>1</v>
      </c>
      <c r="AR1792" s="87"/>
      <c r="AS1792" s="87"/>
      <c r="AT1792" s="87"/>
      <c r="AU1792" s="87"/>
      <c r="AV1792" s="87"/>
      <c r="AW1792" s="88" t="str">
        <f>HYPERLINK("http://www.openstreetmap.org/?mlat=31.3048&amp;mlon=45.3035&amp;zoom=12#map=12/31.3048/45.3035","Maplink1")</f>
        <v>Maplink1</v>
      </c>
      <c r="AX1792" s="88" t="str">
        <f>HYPERLINK("https://www.google.iq/maps/search/+31.3048,45.3035/@31.3048,45.3035,14z?hl=en","Maplink2")</f>
        <v>Maplink2</v>
      </c>
      <c r="AY1792" s="88" t="str">
        <f>HYPERLINK("http://www.bing.com/maps/?lvl=14&amp;sty=h&amp;cp=31.3048~45.3035&amp;sp=point.31.3048_45.3035","Maplink3")</f>
        <v>Maplink3</v>
      </c>
      <c r="AZ1792" s="76"/>
    </row>
    <row r="1793" spans="1:52" x14ac:dyDescent="0.25">
      <c r="A1793" s="86">
        <v>33240</v>
      </c>
      <c r="B1793" s="87" t="s">
        <v>22</v>
      </c>
      <c r="C1793" s="87" t="s">
        <v>3443</v>
      </c>
      <c r="D1793" s="87" t="s">
        <v>3461</v>
      </c>
      <c r="E1793" s="87" t="s">
        <v>3462</v>
      </c>
      <c r="F1793" s="87">
        <v>31.221281611399998</v>
      </c>
      <c r="G1793" s="87">
        <v>45.439652949600003</v>
      </c>
      <c r="H1793" s="86">
        <v>1</v>
      </c>
      <c r="I1793" s="86">
        <v>6</v>
      </c>
      <c r="J1793" s="87"/>
      <c r="K1793" s="87"/>
      <c r="L1793" s="87"/>
      <c r="M1793" s="87"/>
      <c r="N1793" s="87"/>
      <c r="O1793" s="87"/>
      <c r="P1793" s="87"/>
      <c r="Q1793" s="87"/>
      <c r="R1793" s="87">
        <v>1</v>
      </c>
      <c r="S1793" s="87"/>
      <c r="T1793" s="87"/>
      <c r="U1793" s="87"/>
      <c r="V1793" s="87"/>
      <c r="W1793" s="87"/>
      <c r="X1793" s="87"/>
      <c r="Y1793" s="87"/>
      <c r="Z1793" s="87"/>
      <c r="AA1793" s="87"/>
      <c r="AB1793" s="87"/>
      <c r="AC1793" s="87">
        <v>1</v>
      </c>
      <c r="AD1793" s="87"/>
      <c r="AE1793" s="87"/>
      <c r="AF1793" s="87"/>
      <c r="AG1793" s="87"/>
      <c r="AH1793" s="87"/>
      <c r="AI1793" s="87"/>
      <c r="AJ1793" s="87"/>
      <c r="AK1793" s="87"/>
      <c r="AL1793" s="87"/>
      <c r="AM1793" s="87"/>
      <c r="AN1793" s="87"/>
      <c r="AO1793" s="87">
        <v>1</v>
      </c>
      <c r="AP1793" s="87"/>
      <c r="AQ1793" s="87"/>
      <c r="AR1793" s="87"/>
      <c r="AS1793" s="87"/>
      <c r="AT1793" s="87"/>
      <c r="AU1793" s="87"/>
      <c r="AV1793" s="87"/>
      <c r="AW1793" s="88" t="str">
        <f>HYPERLINK("http://www.openstreetmap.org/?mlat=31.2213&amp;mlon=45.4397&amp;zoom=12#map=12/31.2213/45.4397","Maplink1")</f>
        <v>Maplink1</v>
      </c>
      <c r="AX1793" s="88" t="str">
        <f>HYPERLINK("https://www.google.iq/maps/search/+31.2213,45.4397/@31.2213,45.4397,14z?hl=en","Maplink2")</f>
        <v>Maplink2</v>
      </c>
      <c r="AY1793" s="88" t="str">
        <f>HYPERLINK("http://www.bing.com/maps/?lvl=14&amp;sty=h&amp;cp=31.2213~45.4397&amp;sp=point.31.2213_45.4397","Maplink3")</f>
        <v>Maplink3</v>
      </c>
      <c r="AZ1793" s="76"/>
    </row>
    <row r="1794" spans="1:52" x14ac:dyDescent="0.25">
      <c r="A1794" s="86">
        <v>1562</v>
      </c>
      <c r="B1794" s="87" t="s">
        <v>22</v>
      </c>
      <c r="C1794" s="87" t="s">
        <v>3443</v>
      </c>
      <c r="D1794" s="87" t="s">
        <v>3463</v>
      </c>
      <c r="E1794" s="87" t="s">
        <v>3464</v>
      </c>
      <c r="F1794" s="87">
        <v>31.2974207243</v>
      </c>
      <c r="G1794" s="87">
        <v>45.263761812799999</v>
      </c>
      <c r="H1794" s="86">
        <v>1</v>
      </c>
      <c r="I1794" s="86">
        <v>6</v>
      </c>
      <c r="J1794" s="87"/>
      <c r="K1794" s="87"/>
      <c r="L1794" s="87"/>
      <c r="M1794" s="87"/>
      <c r="N1794" s="87"/>
      <c r="O1794" s="87"/>
      <c r="P1794" s="87"/>
      <c r="Q1794" s="87"/>
      <c r="R1794" s="87">
        <v>1</v>
      </c>
      <c r="S1794" s="87"/>
      <c r="T1794" s="87"/>
      <c r="U1794" s="87"/>
      <c r="V1794" s="87"/>
      <c r="W1794" s="87"/>
      <c r="X1794" s="87"/>
      <c r="Y1794" s="87"/>
      <c r="Z1794" s="87"/>
      <c r="AA1794" s="87"/>
      <c r="AB1794" s="87"/>
      <c r="AC1794" s="87">
        <v>1</v>
      </c>
      <c r="AD1794" s="87"/>
      <c r="AE1794" s="87"/>
      <c r="AF1794" s="87"/>
      <c r="AG1794" s="87"/>
      <c r="AH1794" s="87"/>
      <c r="AI1794" s="87"/>
      <c r="AJ1794" s="87"/>
      <c r="AK1794" s="87"/>
      <c r="AL1794" s="87"/>
      <c r="AM1794" s="87"/>
      <c r="AN1794" s="87"/>
      <c r="AO1794" s="87"/>
      <c r="AP1794" s="87"/>
      <c r="AQ1794" s="87">
        <v>1</v>
      </c>
      <c r="AR1794" s="87"/>
      <c r="AS1794" s="87"/>
      <c r="AT1794" s="87"/>
      <c r="AU1794" s="87"/>
      <c r="AV1794" s="87"/>
      <c r="AW1794" s="88" t="str">
        <f>HYPERLINK("http://www.openstreetmap.org/?mlat=31.2974&amp;mlon=45.2638&amp;zoom=12#map=12/31.2974/45.2638","Maplink1")</f>
        <v>Maplink1</v>
      </c>
      <c r="AX1794" s="88" t="str">
        <f>HYPERLINK("https://www.google.iq/maps/search/+31.2974,45.2638/@31.2974,45.2638,14z?hl=en","Maplink2")</f>
        <v>Maplink2</v>
      </c>
      <c r="AY1794" s="88" t="str">
        <f>HYPERLINK("http://www.bing.com/maps/?lvl=14&amp;sty=h&amp;cp=31.2974~45.2638&amp;sp=point.31.2974_45.2638","Maplink3")</f>
        <v>Maplink3</v>
      </c>
      <c r="AZ1794" s="76"/>
    </row>
    <row r="1795" spans="1:52" x14ac:dyDescent="0.25">
      <c r="A1795" s="86">
        <v>33241</v>
      </c>
      <c r="B1795" s="87" t="s">
        <v>22</v>
      </c>
      <c r="C1795" s="87" t="s">
        <v>3443</v>
      </c>
      <c r="D1795" s="87" t="s">
        <v>3465</v>
      </c>
      <c r="E1795" s="87" t="s">
        <v>3466</v>
      </c>
      <c r="F1795" s="87">
        <v>31.291878568000001</v>
      </c>
      <c r="G1795" s="87">
        <v>45.262666938400002</v>
      </c>
      <c r="H1795" s="86">
        <v>5</v>
      </c>
      <c r="I1795" s="86">
        <v>30</v>
      </c>
      <c r="J1795" s="87">
        <v>1</v>
      </c>
      <c r="K1795" s="87"/>
      <c r="L1795" s="87"/>
      <c r="M1795" s="87"/>
      <c r="N1795" s="87"/>
      <c r="O1795" s="87"/>
      <c r="P1795" s="87"/>
      <c r="Q1795" s="87"/>
      <c r="R1795" s="87">
        <v>4</v>
      </c>
      <c r="S1795" s="87"/>
      <c r="T1795" s="87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87"/>
      <c r="AE1795" s="87"/>
      <c r="AF1795" s="87"/>
      <c r="AG1795" s="87"/>
      <c r="AH1795" s="87">
        <v>5</v>
      </c>
      <c r="AI1795" s="87"/>
      <c r="AJ1795" s="87"/>
      <c r="AK1795" s="87"/>
      <c r="AL1795" s="87"/>
      <c r="AM1795" s="87"/>
      <c r="AN1795" s="87"/>
      <c r="AO1795" s="87">
        <v>2</v>
      </c>
      <c r="AP1795" s="87">
        <v>2</v>
      </c>
      <c r="AQ1795" s="87">
        <v>1</v>
      </c>
      <c r="AR1795" s="87"/>
      <c r="AS1795" s="87"/>
      <c r="AT1795" s="87"/>
      <c r="AU1795" s="87"/>
      <c r="AV1795" s="87"/>
      <c r="AW1795" s="88" t="str">
        <f>HYPERLINK("http://www.openstreetmap.org/?mlat=31.2919&amp;mlon=45.2627&amp;zoom=12#map=12/31.2919/45.2627","Maplink1")</f>
        <v>Maplink1</v>
      </c>
      <c r="AX1795" s="88" t="str">
        <f>HYPERLINK("https://www.google.iq/maps/search/+31.2919,45.2627/@31.2919,45.2627,14z?hl=en","Maplink2")</f>
        <v>Maplink2</v>
      </c>
      <c r="AY1795" s="88" t="str">
        <f>HYPERLINK("http://www.bing.com/maps/?lvl=14&amp;sty=h&amp;cp=31.2919~45.2627&amp;sp=point.31.2919_45.2627","Maplink3")</f>
        <v>Maplink3</v>
      </c>
      <c r="AZ1795" s="76"/>
    </row>
    <row r="1796" spans="1:52" x14ac:dyDescent="0.25">
      <c r="A1796" s="86">
        <v>2045</v>
      </c>
      <c r="B1796" s="87" t="s">
        <v>22</v>
      </c>
      <c r="C1796" s="87" t="s">
        <v>3443</v>
      </c>
      <c r="D1796" s="87" t="s">
        <v>3467</v>
      </c>
      <c r="E1796" s="87" t="s">
        <v>3468</v>
      </c>
      <c r="F1796" s="87">
        <v>31.308547281700001</v>
      </c>
      <c r="G1796" s="87">
        <v>45.3072568495</v>
      </c>
      <c r="H1796" s="86">
        <v>4</v>
      </c>
      <c r="I1796" s="86">
        <v>24</v>
      </c>
      <c r="J1796" s="87">
        <v>1</v>
      </c>
      <c r="K1796" s="87"/>
      <c r="L1796" s="87"/>
      <c r="M1796" s="87"/>
      <c r="N1796" s="87"/>
      <c r="O1796" s="87"/>
      <c r="P1796" s="87"/>
      <c r="Q1796" s="87"/>
      <c r="R1796" s="87"/>
      <c r="S1796" s="87"/>
      <c r="T1796" s="87"/>
      <c r="U1796" s="87"/>
      <c r="V1796" s="87">
        <v>3</v>
      </c>
      <c r="W1796" s="87"/>
      <c r="X1796" s="87"/>
      <c r="Y1796" s="87"/>
      <c r="Z1796" s="87"/>
      <c r="AA1796" s="87"/>
      <c r="AB1796" s="87"/>
      <c r="AC1796" s="87">
        <v>2</v>
      </c>
      <c r="AD1796" s="87"/>
      <c r="AE1796" s="87"/>
      <c r="AF1796" s="87"/>
      <c r="AG1796" s="87"/>
      <c r="AH1796" s="87">
        <v>2</v>
      </c>
      <c r="AI1796" s="87"/>
      <c r="AJ1796" s="87"/>
      <c r="AK1796" s="87"/>
      <c r="AL1796" s="87"/>
      <c r="AM1796" s="87"/>
      <c r="AN1796" s="87"/>
      <c r="AO1796" s="87">
        <v>1</v>
      </c>
      <c r="AP1796" s="87">
        <v>1</v>
      </c>
      <c r="AQ1796" s="87">
        <v>2</v>
      </c>
      <c r="AR1796" s="87"/>
      <c r="AS1796" s="87"/>
      <c r="AT1796" s="87"/>
      <c r="AU1796" s="87"/>
      <c r="AV1796" s="87"/>
      <c r="AW1796" s="88" t="str">
        <f>HYPERLINK("http://www.openstreetmap.org/?mlat=31.3085&amp;mlon=45.3073&amp;zoom=12#map=12/31.3085/45.3073","Maplink1")</f>
        <v>Maplink1</v>
      </c>
      <c r="AX1796" s="88" t="str">
        <f>HYPERLINK("https://www.google.iq/maps/search/+31.3085,45.3073/@31.3085,45.3073,14z?hl=en","Maplink2")</f>
        <v>Maplink2</v>
      </c>
      <c r="AY1796" s="88" t="str">
        <f>HYPERLINK("http://www.bing.com/maps/?lvl=14&amp;sty=h&amp;cp=31.3085~45.3073&amp;sp=point.31.3085_45.3073","Maplink3")</f>
        <v>Maplink3</v>
      </c>
      <c r="AZ1796" s="76"/>
    </row>
    <row r="1797" spans="1:52" x14ac:dyDescent="0.25">
      <c r="A1797" s="86">
        <v>1570</v>
      </c>
      <c r="B1797" s="87" t="s">
        <v>22</v>
      </c>
      <c r="C1797" s="87" t="s">
        <v>3443</v>
      </c>
      <c r="D1797" s="87" t="s">
        <v>3469</v>
      </c>
      <c r="E1797" s="87" t="s">
        <v>3470</v>
      </c>
      <c r="F1797" s="87">
        <v>31.309449886900001</v>
      </c>
      <c r="G1797" s="87">
        <v>45.275358678800004</v>
      </c>
      <c r="H1797" s="86">
        <v>4</v>
      </c>
      <c r="I1797" s="86">
        <v>24</v>
      </c>
      <c r="J1797" s="87"/>
      <c r="K1797" s="87"/>
      <c r="L1797" s="87"/>
      <c r="M1797" s="87"/>
      <c r="N1797" s="87"/>
      <c r="O1797" s="87">
        <v>1</v>
      </c>
      <c r="P1797" s="87"/>
      <c r="Q1797" s="87"/>
      <c r="R1797" s="87"/>
      <c r="S1797" s="87"/>
      <c r="T1797" s="87"/>
      <c r="U1797" s="87"/>
      <c r="V1797" s="87">
        <v>3</v>
      </c>
      <c r="W1797" s="87"/>
      <c r="X1797" s="87"/>
      <c r="Y1797" s="87"/>
      <c r="Z1797" s="87"/>
      <c r="AA1797" s="87"/>
      <c r="AB1797" s="87"/>
      <c r="AC1797" s="87">
        <v>1</v>
      </c>
      <c r="AD1797" s="87"/>
      <c r="AE1797" s="87"/>
      <c r="AF1797" s="87"/>
      <c r="AG1797" s="87"/>
      <c r="AH1797" s="87">
        <v>3</v>
      </c>
      <c r="AI1797" s="87"/>
      <c r="AJ1797" s="87"/>
      <c r="AK1797" s="87"/>
      <c r="AL1797" s="87"/>
      <c r="AM1797" s="87"/>
      <c r="AN1797" s="87"/>
      <c r="AO1797" s="87">
        <v>1</v>
      </c>
      <c r="AP1797" s="87">
        <v>1</v>
      </c>
      <c r="AQ1797" s="87">
        <v>1</v>
      </c>
      <c r="AR1797" s="87"/>
      <c r="AS1797" s="87"/>
      <c r="AT1797" s="87">
        <v>1</v>
      </c>
      <c r="AU1797" s="87"/>
      <c r="AV1797" s="87"/>
      <c r="AW1797" s="88" t="str">
        <f>HYPERLINK("http://www.openstreetmap.org/?mlat=31.3094&amp;mlon=45.2754&amp;zoom=12#map=12/31.3094/45.2754","Maplink1")</f>
        <v>Maplink1</v>
      </c>
      <c r="AX1797" s="88" t="str">
        <f>HYPERLINK("https://www.google.iq/maps/search/+31.3094,45.2754/@31.3094,45.2754,14z?hl=en","Maplink2")</f>
        <v>Maplink2</v>
      </c>
      <c r="AY1797" s="88" t="str">
        <f>HYPERLINK("http://www.bing.com/maps/?lvl=14&amp;sty=h&amp;cp=31.3094~45.2754&amp;sp=point.31.3094_45.2754","Maplink3")</f>
        <v>Maplink3</v>
      </c>
      <c r="AZ1797" s="76"/>
    </row>
    <row r="1798" spans="1:52" x14ac:dyDescent="0.25">
      <c r="A1798" s="86">
        <v>29574</v>
      </c>
      <c r="B1798" s="87" t="s">
        <v>22</v>
      </c>
      <c r="C1798" s="87" t="s">
        <v>3443</v>
      </c>
      <c r="D1798" s="87" t="s">
        <v>3471</v>
      </c>
      <c r="E1798" s="87" t="s">
        <v>61</v>
      </c>
      <c r="F1798" s="87">
        <v>31.336543341199999</v>
      </c>
      <c r="G1798" s="87">
        <v>45.278059160300003</v>
      </c>
      <c r="H1798" s="86">
        <v>1</v>
      </c>
      <c r="I1798" s="86">
        <v>6</v>
      </c>
      <c r="J1798" s="87"/>
      <c r="K1798" s="87"/>
      <c r="L1798" s="87"/>
      <c r="M1798" s="87"/>
      <c r="N1798" s="87"/>
      <c r="O1798" s="87"/>
      <c r="P1798" s="87"/>
      <c r="Q1798" s="87"/>
      <c r="R1798" s="87"/>
      <c r="S1798" s="87"/>
      <c r="T1798" s="87"/>
      <c r="U1798" s="87"/>
      <c r="V1798" s="87">
        <v>1</v>
      </c>
      <c r="W1798" s="87"/>
      <c r="X1798" s="87"/>
      <c r="Y1798" s="87"/>
      <c r="Z1798" s="87"/>
      <c r="AA1798" s="87"/>
      <c r="AB1798" s="87"/>
      <c r="AC1798" s="87"/>
      <c r="AD1798" s="87"/>
      <c r="AE1798" s="87"/>
      <c r="AF1798" s="87"/>
      <c r="AG1798" s="87"/>
      <c r="AH1798" s="87">
        <v>1</v>
      </c>
      <c r="AI1798" s="87"/>
      <c r="AJ1798" s="87"/>
      <c r="AK1798" s="87"/>
      <c r="AL1798" s="87"/>
      <c r="AM1798" s="87"/>
      <c r="AN1798" s="87"/>
      <c r="AO1798" s="87"/>
      <c r="AP1798" s="87"/>
      <c r="AQ1798" s="87">
        <v>1</v>
      </c>
      <c r="AR1798" s="87"/>
      <c r="AS1798" s="87"/>
      <c r="AT1798" s="87"/>
      <c r="AU1798" s="87"/>
      <c r="AV1798" s="87"/>
      <c r="AW1798" s="88" t="str">
        <f>HYPERLINK("http://www.openstreetmap.org/?mlat=31.3365&amp;mlon=45.2781&amp;zoom=12#map=12/31.3365/45.2781","Maplink1")</f>
        <v>Maplink1</v>
      </c>
      <c r="AX1798" s="88" t="str">
        <f>HYPERLINK("https://www.google.iq/maps/search/+31.3365,45.2781/@31.3365,45.2781,14z?hl=en","Maplink2")</f>
        <v>Maplink2</v>
      </c>
      <c r="AY1798" s="88" t="str">
        <f>HYPERLINK("http://www.bing.com/maps/?lvl=14&amp;sty=h&amp;cp=31.3365~45.2781&amp;sp=point.31.3365_45.2781","Maplink3")</f>
        <v>Maplink3</v>
      </c>
      <c r="AZ1798" s="76"/>
    </row>
    <row r="1799" spans="1:52" x14ac:dyDescent="0.25">
      <c r="A1799" s="86">
        <v>2060</v>
      </c>
      <c r="B1799" s="87" t="s">
        <v>22</v>
      </c>
      <c r="C1799" s="87" t="s">
        <v>3443</v>
      </c>
      <c r="D1799" s="87" t="s">
        <v>3472</v>
      </c>
      <c r="E1799" s="87" t="s">
        <v>3473</v>
      </c>
      <c r="F1799" s="87">
        <v>31.319483150700002</v>
      </c>
      <c r="G1799" s="87">
        <v>45.278095443700003</v>
      </c>
      <c r="H1799" s="86">
        <v>10</v>
      </c>
      <c r="I1799" s="86">
        <v>60</v>
      </c>
      <c r="J1799" s="87">
        <v>1</v>
      </c>
      <c r="K1799" s="87"/>
      <c r="L1799" s="87">
        <v>1</v>
      </c>
      <c r="M1799" s="87"/>
      <c r="N1799" s="87"/>
      <c r="O1799" s="87">
        <v>1</v>
      </c>
      <c r="P1799" s="87"/>
      <c r="Q1799" s="87"/>
      <c r="R1799" s="87"/>
      <c r="S1799" s="87"/>
      <c r="T1799" s="87"/>
      <c r="U1799" s="87"/>
      <c r="V1799" s="87">
        <v>6</v>
      </c>
      <c r="W1799" s="87"/>
      <c r="X1799" s="87">
        <v>1</v>
      </c>
      <c r="Y1799" s="87"/>
      <c r="Z1799" s="87"/>
      <c r="AA1799" s="87"/>
      <c r="AB1799" s="87"/>
      <c r="AC1799" s="87">
        <v>2</v>
      </c>
      <c r="AD1799" s="87"/>
      <c r="AE1799" s="87"/>
      <c r="AF1799" s="87"/>
      <c r="AG1799" s="87"/>
      <c r="AH1799" s="87">
        <v>8</v>
      </c>
      <c r="AI1799" s="87"/>
      <c r="AJ1799" s="87"/>
      <c r="AK1799" s="87"/>
      <c r="AL1799" s="87"/>
      <c r="AM1799" s="87"/>
      <c r="AN1799" s="87">
        <v>1</v>
      </c>
      <c r="AO1799" s="87">
        <v>1</v>
      </c>
      <c r="AP1799" s="87">
        <v>6</v>
      </c>
      <c r="AQ1799" s="87">
        <v>2</v>
      </c>
      <c r="AR1799" s="87"/>
      <c r="AS1799" s="87"/>
      <c r="AT1799" s="87"/>
      <c r="AU1799" s="87"/>
      <c r="AV1799" s="87"/>
      <c r="AW1799" s="88" t="str">
        <f>HYPERLINK("http://www.openstreetmap.org/?mlat=31.3195&amp;mlon=45.2781&amp;zoom=12#map=12/31.3195/45.2781","Maplink1")</f>
        <v>Maplink1</v>
      </c>
      <c r="AX1799" s="88" t="str">
        <f>HYPERLINK("https://www.google.iq/maps/search/+31.3195,45.2781/@31.3195,45.2781,14z?hl=en","Maplink2")</f>
        <v>Maplink2</v>
      </c>
      <c r="AY1799" s="88" t="str">
        <f>HYPERLINK("http://www.bing.com/maps/?lvl=14&amp;sty=h&amp;cp=31.3195~45.2781&amp;sp=point.31.3195_45.2781","Maplink3")</f>
        <v>Maplink3</v>
      </c>
      <c r="AZ1799" s="76"/>
    </row>
    <row r="1800" spans="1:52" x14ac:dyDescent="0.25">
      <c r="A1800" s="86">
        <v>2010</v>
      </c>
      <c r="B1800" s="87" t="s">
        <v>22</v>
      </c>
      <c r="C1800" s="87" t="s">
        <v>3443</v>
      </c>
      <c r="D1800" s="87" t="s">
        <v>3474</v>
      </c>
      <c r="E1800" s="87" t="s">
        <v>3475</v>
      </c>
      <c r="F1800" s="87">
        <v>31.357178413300002</v>
      </c>
      <c r="G1800" s="87">
        <v>45.266846966499998</v>
      </c>
      <c r="H1800" s="86">
        <v>5</v>
      </c>
      <c r="I1800" s="86">
        <v>30</v>
      </c>
      <c r="J1800" s="87"/>
      <c r="K1800" s="87"/>
      <c r="L1800" s="87">
        <v>1</v>
      </c>
      <c r="M1800" s="87"/>
      <c r="N1800" s="87"/>
      <c r="O1800" s="87"/>
      <c r="P1800" s="87"/>
      <c r="Q1800" s="87"/>
      <c r="R1800" s="87"/>
      <c r="S1800" s="87"/>
      <c r="T1800" s="87"/>
      <c r="U1800" s="87"/>
      <c r="V1800" s="87"/>
      <c r="W1800" s="87"/>
      <c r="X1800" s="87">
        <v>4</v>
      </c>
      <c r="Y1800" s="87"/>
      <c r="Z1800" s="87"/>
      <c r="AA1800" s="87"/>
      <c r="AB1800" s="87"/>
      <c r="AC1800" s="87">
        <v>2</v>
      </c>
      <c r="AD1800" s="87"/>
      <c r="AE1800" s="87"/>
      <c r="AF1800" s="87"/>
      <c r="AG1800" s="87"/>
      <c r="AH1800" s="87">
        <v>3</v>
      </c>
      <c r="AI1800" s="87"/>
      <c r="AJ1800" s="87"/>
      <c r="AK1800" s="87"/>
      <c r="AL1800" s="87"/>
      <c r="AM1800" s="87"/>
      <c r="AN1800" s="87"/>
      <c r="AO1800" s="87">
        <v>2</v>
      </c>
      <c r="AP1800" s="87">
        <v>1</v>
      </c>
      <c r="AQ1800" s="87">
        <v>2</v>
      </c>
      <c r="AR1800" s="87"/>
      <c r="AS1800" s="87"/>
      <c r="AT1800" s="87"/>
      <c r="AU1800" s="87"/>
      <c r="AV1800" s="87"/>
      <c r="AW1800" s="88" t="str">
        <f>HYPERLINK("http://www.openstreetmap.org/?mlat=31.3572&amp;mlon=45.2668&amp;zoom=12#map=12/31.3572/45.2668","Maplink1")</f>
        <v>Maplink1</v>
      </c>
      <c r="AX1800" s="88" t="str">
        <f>HYPERLINK("https://www.google.iq/maps/search/+31.3572,45.2668/@31.3572,45.2668,14z?hl=en","Maplink2")</f>
        <v>Maplink2</v>
      </c>
      <c r="AY1800" s="88" t="str">
        <f>HYPERLINK("http://www.bing.com/maps/?lvl=14&amp;sty=h&amp;cp=31.3572~45.2668&amp;sp=point.31.3572_45.2668","Maplink3")</f>
        <v>Maplink3</v>
      </c>
      <c r="AZ1800" s="76"/>
    </row>
    <row r="1801" spans="1:52" x14ac:dyDescent="0.25">
      <c r="A1801" s="86">
        <v>29572</v>
      </c>
      <c r="B1801" s="87" t="s">
        <v>22</v>
      </c>
      <c r="C1801" s="87" t="s">
        <v>3443</v>
      </c>
      <c r="D1801" s="87" t="s">
        <v>3476</v>
      </c>
      <c r="E1801" s="87" t="s">
        <v>217</v>
      </c>
      <c r="F1801" s="87">
        <v>31.301964973099999</v>
      </c>
      <c r="G1801" s="87">
        <v>45.272427611099999</v>
      </c>
      <c r="H1801" s="86">
        <v>3</v>
      </c>
      <c r="I1801" s="86">
        <v>18</v>
      </c>
      <c r="J1801" s="87">
        <v>2</v>
      </c>
      <c r="K1801" s="87"/>
      <c r="L1801" s="87"/>
      <c r="M1801" s="87"/>
      <c r="N1801" s="87"/>
      <c r="O1801" s="87"/>
      <c r="P1801" s="87"/>
      <c r="Q1801" s="87"/>
      <c r="R1801" s="87"/>
      <c r="S1801" s="87"/>
      <c r="T1801" s="87"/>
      <c r="U1801" s="87"/>
      <c r="V1801" s="87"/>
      <c r="W1801" s="87"/>
      <c r="X1801" s="87">
        <v>1</v>
      </c>
      <c r="Y1801" s="87"/>
      <c r="Z1801" s="87"/>
      <c r="AA1801" s="87"/>
      <c r="AB1801" s="87"/>
      <c r="AC1801" s="87">
        <v>1</v>
      </c>
      <c r="AD1801" s="87"/>
      <c r="AE1801" s="87"/>
      <c r="AF1801" s="87"/>
      <c r="AG1801" s="87"/>
      <c r="AH1801" s="87">
        <v>2</v>
      </c>
      <c r="AI1801" s="87"/>
      <c r="AJ1801" s="87"/>
      <c r="AK1801" s="87"/>
      <c r="AL1801" s="87"/>
      <c r="AM1801" s="87"/>
      <c r="AN1801" s="87"/>
      <c r="AO1801" s="87">
        <v>1</v>
      </c>
      <c r="AP1801" s="87"/>
      <c r="AQ1801" s="87">
        <v>1</v>
      </c>
      <c r="AR1801" s="87">
        <v>1</v>
      </c>
      <c r="AS1801" s="87"/>
      <c r="AT1801" s="87"/>
      <c r="AU1801" s="87"/>
      <c r="AV1801" s="87"/>
      <c r="AW1801" s="88" t="str">
        <f>HYPERLINK("http://www.openstreetmap.org/?mlat=31.302&amp;mlon=45.2724&amp;zoom=12#map=12/31.302/45.2724","Maplink1")</f>
        <v>Maplink1</v>
      </c>
      <c r="AX1801" s="88" t="str">
        <f>HYPERLINK("https://www.google.iq/maps/search/+31.302,45.2724/@31.302,45.2724,14z?hl=en","Maplink2")</f>
        <v>Maplink2</v>
      </c>
      <c r="AY1801" s="88" t="str">
        <f>HYPERLINK("http://www.bing.com/maps/?lvl=14&amp;sty=h&amp;cp=31.302~45.2724&amp;sp=point.31.302_45.2724","Maplink3")</f>
        <v>Maplink3</v>
      </c>
      <c r="AZ1801" s="76"/>
    </row>
    <row r="1802" spans="1:52" x14ac:dyDescent="0.25">
      <c r="A1802" s="86">
        <v>1586</v>
      </c>
      <c r="B1802" s="87" t="s">
        <v>22</v>
      </c>
      <c r="C1802" s="87" t="s">
        <v>3443</v>
      </c>
      <c r="D1802" s="87" t="s">
        <v>3477</v>
      </c>
      <c r="E1802" s="87" t="s">
        <v>122</v>
      </c>
      <c r="F1802" s="87">
        <v>31.316492613400001</v>
      </c>
      <c r="G1802" s="87">
        <v>45.275122141499999</v>
      </c>
      <c r="H1802" s="86">
        <v>1</v>
      </c>
      <c r="I1802" s="86">
        <v>6</v>
      </c>
      <c r="J1802" s="87"/>
      <c r="K1802" s="87"/>
      <c r="L1802" s="87"/>
      <c r="M1802" s="87"/>
      <c r="N1802" s="87"/>
      <c r="O1802" s="87"/>
      <c r="P1802" s="87"/>
      <c r="Q1802" s="87"/>
      <c r="R1802" s="87"/>
      <c r="S1802" s="87"/>
      <c r="T1802" s="87"/>
      <c r="U1802" s="87"/>
      <c r="V1802" s="87">
        <v>1</v>
      </c>
      <c r="W1802" s="87"/>
      <c r="X1802" s="87"/>
      <c r="Y1802" s="87"/>
      <c r="Z1802" s="87"/>
      <c r="AA1802" s="87"/>
      <c r="AB1802" s="87"/>
      <c r="AC1802" s="87"/>
      <c r="AD1802" s="87"/>
      <c r="AE1802" s="87"/>
      <c r="AF1802" s="87"/>
      <c r="AG1802" s="87"/>
      <c r="AH1802" s="87">
        <v>1</v>
      </c>
      <c r="AI1802" s="87"/>
      <c r="AJ1802" s="87"/>
      <c r="AK1802" s="87"/>
      <c r="AL1802" s="87"/>
      <c r="AM1802" s="87"/>
      <c r="AN1802" s="87"/>
      <c r="AO1802" s="87"/>
      <c r="AP1802" s="87">
        <v>1</v>
      </c>
      <c r="AQ1802" s="87"/>
      <c r="AR1802" s="87"/>
      <c r="AS1802" s="87"/>
      <c r="AT1802" s="87"/>
      <c r="AU1802" s="87"/>
      <c r="AV1802" s="87"/>
      <c r="AW1802" s="88" t="str">
        <f>HYPERLINK("http://www.openstreetmap.org/?mlat=31.3165&amp;mlon=45.2751&amp;zoom=12#map=12/31.3165/45.2751","Maplink1")</f>
        <v>Maplink1</v>
      </c>
      <c r="AX1802" s="88" t="str">
        <f>HYPERLINK("https://www.google.iq/maps/search/+31.3165,45.2751/@31.3165,45.2751,14z?hl=en","Maplink2")</f>
        <v>Maplink2</v>
      </c>
      <c r="AY1802" s="88" t="str">
        <f>HYPERLINK("http://www.bing.com/maps/?lvl=14&amp;sty=h&amp;cp=31.3165~45.2751&amp;sp=point.31.3165_45.2751","Maplink3")</f>
        <v>Maplink3</v>
      </c>
      <c r="AZ1802" s="76"/>
    </row>
    <row r="1803" spans="1:52" x14ac:dyDescent="0.25">
      <c r="A1803" s="86">
        <v>1611</v>
      </c>
      <c r="B1803" s="87" t="s">
        <v>22</v>
      </c>
      <c r="C1803" s="87" t="s">
        <v>3443</v>
      </c>
      <c r="D1803" s="87" t="s">
        <v>3478</v>
      </c>
      <c r="E1803" s="87" t="s">
        <v>3479</v>
      </c>
      <c r="F1803" s="87">
        <v>31.3302066643</v>
      </c>
      <c r="G1803" s="87">
        <v>45.292828995699999</v>
      </c>
      <c r="H1803" s="86">
        <v>2</v>
      </c>
      <c r="I1803" s="86">
        <v>12</v>
      </c>
      <c r="J1803" s="87"/>
      <c r="K1803" s="87"/>
      <c r="L1803" s="87"/>
      <c r="M1803" s="87"/>
      <c r="N1803" s="87"/>
      <c r="O1803" s="87"/>
      <c r="P1803" s="87"/>
      <c r="Q1803" s="87"/>
      <c r="R1803" s="87"/>
      <c r="S1803" s="87"/>
      <c r="T1803" s="87"/>
      <c r="U1803" s="87"/>
      <c r="V1803" s="87">
        <v>2</v>
      </c>
      <c r="W1803" s="87"/>
      <c r="X1803" s="87"/>
      <c r="Y1803" s="87"/>
      <c r="Z1803" s="87"/>
      <c r="AA1803" s="87"/>
      <c r="AB1803" s="87"/>
      <c r="AC1803" s="87"/>
      <c r="AD1803" s="87"/>
      <c r="AE1803" s="87"/>
      <c r="AF1803" s="87"/>
      <c r="AG1803" s="87"/>
      <c r="AH1803" s="87">
        <v>2</v>
      </c>
      <c r="AI1803" s="87"/>
      <c r="AJ1803" s="87"/>
      <c r="AK1803" s="87"/>
      <c r="AL1803" s="87"/>
      <c r="AM1803" s="87"/>
      <c r="AN1803" s="87"/>
      <c r="AO1803" s="87"/>
      <c r="AP1803" s="87">
        <v>2</v>
      </c>
      <c r="AQ1803" s="87"/>
      <c r="AR1803" s="87"/>
      <c r="AS1803" s="87"/>
      <c r="AT1803" s="87"/>
      <c r="AU1803" s="87"/>
      <c r="AV1803" s="87"/>
      <c r="AW1803" s="88" t="str">
        <f>HYPERLINK("http://www.openstreetmap.org/?mlat=31.3302&amp;mlon=45.2928&amp;zoom=12#map=12/31.3302/45.2928","Maplink1")</f>
        <v>Maplink1</v>
      </c>
      <c r="AX1803" s="88" t="str">
        <f>HYPERLINK("https://www.google.iq/maps/search/+31.3302,45.2928/@31.3302,45.2928,14z?hl=en","Maplink2")</f>
        <v>Maplink2</v>
      </c>
      <c r="AY1803" s="88" t="str">
        <f>HYPERLINK("http://www.bing.com/maps/?lvl=14&amp;sty=h&amp;cp=31.3302~45.2928&amp;sp=point.31.3302_45.2928","Maplink3")</f>
        <v>Maplink3</v>
      </c>
      <c r="AZ1803" s="76"/>
    </row>
    <row r="1804" spans="1:52" x14ac:dyDescent="0.25">
      <c r="A1804" s="86">
        <v>1485</v>
      </c>
      <c r="B1804" s="87" t="s">
        <v>22</v>
      </c>
      <c r="C1804" s="87" t="s">
        <v>3443</v>
      </c>
      <c r="D1804" s="87" t="s">
        <v>3391</v>
      </c>
      <c r="E1804" s="87" t="s">
        <v>3392</v>
      </c>
      <c r="F1804" s="87">
        <v>31.306766881600002</v>
      </c>
      <c r="G1804" s="87">
        <v>45.261899270100002</v>
      </c>
      <c r="H1804" s="86">
        <v>3</v>
      </c>
      <c r="I1804" s="86">
        <v>18</v>
      </c>
      <c r="J1804" s="87">
        <v>1</v>
      </c>
      <c r="K1804" s="87"/>
      <c r="L1804" s="87"/>
      <c r="M1804" s="87"/>
      <c r="N1804" s="87"/>
      <c r="O1804" s="87"/>
      <c r="P1804" s="87"/>
      <c r="Q1804" s="87"/>
      <c r="R1804" s="87"/>
      <c r="S1804" s="87"/>
      <c r="T1804" s="87"/>
      <c r="U1804" s="87"/>
      <c r="V1804" s="87">
        <v>2</v>
      </c>
      <c r="W1804" s="87"/>
      <c r="X1804" s="87"/>
      <c r="Y1804" s="87"/>
      <c r="Z1804" s="87"/>
      <c r="AA1804" s="87"/>
      <c r="AB1804" s="87"/>
      <c r="AC1804" s="87"/>
      <c r="AD1804" s="87"/>
      <c r="AE1804" s="87"/>
      <c r="AF1804" s="87"/>
      <c r="AG1804" s="87"/>
      <c r="AH1804" s="87">
        <v>3</v>
      </c>
      <c r="AI1804" s="87"/>
      <c r="AJ1804" s="87"/>
      <c r="AK1804" s="87"/>
      <c r="AL1804" s="87"/>
      <c r="AM1804" s="87"/>
      <c r="AN1804" s="87"/>
      <c r="AO1804" s="87">
        <v>1</v>
      </c>
      <c r="AP1804" s="87">
        <v>1</v>
      </c>
      <c r="AQ1804" s="87">
        <v>1</v>
      </c>
      <c r="AR1804" s="87"/>
      <c r="AS1804" s="87"/>
      <c r="AT1804" s="87"/>
      <c r="AU1804" s="87"/>
      <c r="AV1804" s="87"/>
      <c r="AW1804" s="88" t="str">
        <f>HYPERLINK("http://www.openstreetmap.org/?mlat=31.3068&amp;mlon=45.2619&amp;zoom=12#map=12/31.3068/45.2619","Maplink1")</f>
        <v>Maplink1</v>
      </c>
      <c r="AX1804" s="88" t="str">
        <f>HYPERLINK("https://www.google.iq/maps/search/+31.3068,45.2619/@31.3068,45.2619,14z?hl=en","Maplink2")</f>
        <v>Maplink2</v>
      </c>
      <c r="AY1804" s="88" t="str">
        <f>HYPERLINK("http://www.bing.com/maps/?lvl=14&amp;sty=h&amp;cp=31.3068~45.2619&amp;sp=point.31.3068_45.2619","Maplink3")</f>
        <v>Maplink3</v>
      </c>
      <c r="AZ1804" s="76"/>
    </row>
    <row r="1805" spans="1:52" x14ac:dyDescent="0.25">
      <c r="A1805" s="86">
        <v>29573</v>
      </c>
      <c r="B1805" s="87" t="s">
        <v>22</v>
      </c>
      <c r="C1805" s="87" t="s">
        <v>3443</v>
      </c>
      <c r="D1805" s="87" t="s">
        <v>3480</v>
      </c>
      <c r="E1805" s="87" t="s">
        <v>3481</v>
      </c>
      <c r="F1805" s="87">
        <v>31.318171173300001</v>
      </c>
      <c r="G1805" s="87">
        <v>45.294418958900003</v>
      </c>
      <c r="H1805" s="86">
        <v>1</v>
      </c>
      <c r="I1805" s="86">
        <v>6</v>
      </c>
      <c r="J1805" s="87"/>
      <c r="K1805" s="87"/>
      <c r="L1805" s="87"/>
      <c r="M1805" s="87"/>
      <c r="N1805" s="87"/>
      <c r="O1805" s="87"/>
      <c r="P1805" s="87"/>
      <c r="Q1805" s="87"/>
      <c r="R1805" s="87"/>
      <c r="S1805" s="87"/>
      <c r="T1805" s="87"/>
      <c r="U1805" s="87"/>
      <c r="V1805" s="87">
        <v>1</v>
      </c>
      <c r="W1805" s="87"/>
      <c r="X1805" s="87"/>
      <c r="Y1805" s="87"/>
      <c r="Z1805" s="87"/>
      <c r="AA1805" s="87"/>
      <c r="AB1805" s="87"/>
      <c r="AC1805" s="87">
        <v>1</v>
      </c>
      <c r="AD1805" s="87"/>
      <c r="AE1805" s="87"/>
      <c r="AF1805" s="87"/>
      <c r="AG1805" s="87"/>
      <c r="AH1805" s="87"/>
      <c r="AI1805" s="87"/>
      <c r="AJ1805" s="87"/>
      <c r="AK1805" s="87"/>
      <c r="AL1805" s="87"/>
      <c r="AM1805" s="87"/>
      <c r="AN1805" s="87"/>
      <c r="AO1805" s="87"/>
      <c r="AP1805" s="87">
        <v>1</v>
      </c>
      <c r="AQ1805" s="87"/>
      <c r="AR1805" s="87"/>
      <c r="AS1805" s="87"/>
      <c r="AT1805" s="87"/>
      <c r="AU1805" s="87"/>
      <c r="AV1805" s="87"/>
      <c r="AW1805" s="88" t="str">
        <f>HYPERLINK("http://www.openstreetmap.org/?mlat=31.3182&amp;mlon=45.2944&amp;zoom=12#map=12/31.3182/45.2944","Maplink1")</f>
        <v>Maplink1</v>
      </c>
      <c r="AX1805" s="88" t="str">
        <f>HYPERLINK("https://www.google.iq/maps/search/+31.3182,45.2944/@31.3182,45.2944,14z?hl=en","Maplink2")</f>
        <v>Maplink2</v>
      </c>
      <c r="AY1805" s="88" t="str">
        <f>HYPERLINK("http://www.bing.com/maps/?lvl=14&amp;sty=h&amp;cp=31.3182~45.2944&amp;sp=point.31.3182_45.2944","Maplink3")</f>
        <v>Maplink3</v>
      </c>
      <c r="AZ1805" s="76"/>
    </row>
    <row r="1806" spans="1:52" x14ac:dyDescent="0.25">
      <c r="A1806" s="86">
        <v>21317</v>
      </c>
      <c r="B1806" s="87" t="s">
        <v>22</v>
      </c>
      <c r="C1806" s="87" t="s">
        <v>3443</v>
      </c>
      <c r="D1806" s="87" t="s">
        <v>3482</v>
      </c>
      <c r="E1806" s="87" t="s">
        <v>307</v>
      </c>
      <c r="F1806" s="87">
        <v>31.316012078899998</v>
      </c>
      <c r="G1806" s="87">
        <v>45.262228740700003</v>
      </c>
      <c r="H1806" s="86">
        <v>3</v>
      </c>
      <c r="I1806" s="86">
        <v>18</v>
      </c>
      <c r="J1806" s="87">
        <v>2</v>
      </c>
      <c r="K1806" s="87"/>
      <c r="L1806" s="87"/>
      <c r="M1806" s="87"/>
      <c r="N1806" s="87"/>
      <c r="O1806" s="87"/>
      <c r="P1806" s="87"/>
      <c r="Q1806" s="87"/>
      <c r="R1806" s="87"/>
      <c r="S1806" s="87"/>
      <c r="T1806" s="87"/>
      <c r="U1806" s="87"/>
      <c r="V1806" s="87">
        <v>1</v>
      </c>
      <c r="W1806" s="87"/>
      <c r="X1806" s="87"/>
      <c r="Y1806" s="87"/>
      <c r="Z1806" s="87"/>
      <c r="AA1806" s="87"/>
      <c r="AB1806" s="87"/>
      <c r="AC1806" s="87">
        <v>2</v>
      </c>
      <c r="AD1806" s="87"/>
      <c r="AE1806" s="87"/>
      <c r="AF1806" s="87"/>
      <c r="AG1806" s="87"/>
      <c r="AH1806" s="87">
        <v>1</v>
      </c>
      <c r="AI1806" s="87"/>
      <c r="AJ1806" s="87"/>
      <c r="AK1806" s="87"/>
      <c r="AL1806" s="87"/>
      <c r="AM1806" s="87"/>
      <c r="AN1806" s="87"/>
      <c r="AO1806" s="87">
        <v>1</v>
      </c>
      <c r="AP1806" s="87">
        <v>1</v>
      </c>
      <c r="AQ1806" s="87"/>
      <c r="AR1806" s="87">
        <v>1</v>
      </c>
      <c r="AS1806" s="87"/>
      <c r="AT1806" s="87"/>
      <c r="AU1806" s="87"/>
      <c r="AV1806" s="87"/>
      <c r="AW1806" s="88" t="str">
        <f>HYPERLINK("http://www.openstreetmap.org/?mlat=31.316&amp;mlon=45.2622&amp;zoom=12#map=12/31.316/45.2622","Maplink1")</f>
        <v>Maplink1</v>
      </c>
      <c r="AX1806" s="88" t="str">
        <f>HYPERLINK("https://www.google.iq/maps/search/+31.316,45.2622/@31.316,45.2622,14z?hl=en","Maplink2")</f>
        <v>Maplink2</v>
      </c>
      <c r="AY1806" s="88" t="str">
        <f>HYPERLINK("http://www.bing.com/maps/?lvl=14&amp;sty=h&amp;cp=31.316~45.2622&amp;sp=point.31.316_45.2622","Maplink3")</f>
        <v>Maplink3</v>
      </c>
      <c r="AZ1806" s="76"/>
    </row>
    <row r="1807" spans="1:52" x14ac:dyDescent="0.25">
      <c r="A1807" s="86">
        <v>2071</v>
      </c>
      <c r="B1807" s="87" t="s">
        <v>22</v>
      </c>
      <c r="C1807" s="87" t="s">
        <v>3443</v>
      </c>
      <c r="D1807" s="87" t="s">
        <v>3483</v>
      </c>
      <c r="E1807" s="87" t="s">
        <v>3484</v>
      </c>
      <c r="F1807" s="87">
        <v>31.323369461999999</v>
      </c>
      <c r="G1807" s="87">
        <v>45.294618448199998</v>
      </c>
      <c r="H1807" s="86">
        <v>3</v>
      </c>
      <c r="I1807" s="86">
        <v>18</v>
      </c>
      <c r="J1807" s="87"/>
      <c r="K1807" s="87"/>
      <c r="L1807" s="87"/>
      <c r="M1807" s="87"/>
      <c r="N1807" s="87"/>
      <c r="O1807" s="87">
        <v>1</v>
      </c>
      <c r="P1807" s="87"/>
      <c r="Q1807" s="87"/>
      <c r="R1807" s="87">
        <v>1</v>
      </c>
      <c r="S1807" s="87"/>
      <c r="T1807" s="87"/>
      <c r="U1807" s="87"/>
      <c r="V1807" s="87">
        <v>1</v>
      </c>
      <c r="W1807" s="87"/>
      <c r="X1807" s="87"/>
      <c r="Y1807" s="87"/>
      <c r="Z1807" s="87"/>
      <c r="AA1807" s="87"/>
      <c r="AB1807" s="87"/>
      <c r="AC1807" s="87">
        <v>1</v>
      </c>
      <c r="AD1807" s="87"/>
      <c r="AE1807" s="87"/>
      <c r="AF1807" s="87"/>
      <c r="AG1807" s="87"/>
      <c r="AH1807" s="87">
        <v>2</v>
      </c>
      <c r="AI1807" s="87"/>
      <c r="AJ1807" s="87"/>
      <c r="AK1807" s="87"/>
      <c r="AL1807" s="87"/>
      <c r="AM1807" s="87"/>
      <c r="AN1807" s="87"/>
      <c r="AO1807" s="87">
        <v>1</v>
      </c>
      <c r="AP1807" s="87">
        <v>1</v>
      </c>
      <c r="AQ1807" s="87">
        <v>1</v>
      </c>
      <c r="AR1807" s="87"/>
      <c r="AS1807" s="87"/>
      <c r="AT1807" s="87"/>
      <c r="AU1807" s="87"/>
      <c r="AV1807" s="87"/>
      <c r="AW1807" s="88" t="str">
        <f>HYPERLINK("http://www.openstreetmap.org/?mlat=31.3234&amp;mlon=45.2946&amp;zoom=12#map=12/31.3234/45.2946","Maplink1")</f>
        <v>Maplink1</v>
      </c>
      <c r="AX1807" s="88" t="str">
        <f>HYPERLINK("https://www.google.iq/maps/search/+31.3234,45.2946/@31.3234,45.2946,14z?hl=en","Maplink2")</f>
        <v>Maplink2</v>
      </c>
      <c r="AY1807" s="88" t="str">
        <f>HYPERLINK("http://www.bing.com/maps/?lvl=14&amp;sty=h&amp;cp=31.3234~45.2946&amp;sp=point.31.3234_45.2946","Maplink3")</f>
        <v>Maplink3</v>
      </c>
      <c r="AZ1807" s="76"/>
    </row>
    <row r="1808" spans="1:52" x14ac:dyDescent="0.25">
      <c r="A1808" s="86">
        <v>29575</v>
      </c>
      <c r="B1808" s="87" t="s">
        <v>22</v>
      </c>
      <c r="C1808" s="87" t="s">
        <v>3443</v>
      </c>
      <c r="D1808" s="87" t="s">
        <v>3485</v>
      </c>
      <c r="E1808" s="87" t="s">
        <v>3486</v>
      </c>
      <c r="F1808" s="87">
        <v>31.3037680881</v>
      </c>
      <c r="G1808" s="87">
        <v>45.300789708300002</v>
      </c>
      <c r="H1808" s="86">
        <v>1</v>
      </c>
      <c r="I1808" s="86">
        <v>6</v>
      </c>
      <c r="J1808" s="87"/>
      <c r="K1808" s="87"/>
      <c r="L1808" s="87"/>
      <c r="M1808" s="87"/>
      <c r="N1808" s="87"/>
      <c r="O1808" s="87"/>
      <c r="P1808" s="87"/>
      <c r="Q1808" s="87"/>
      <c r="R1808" s="87"/>
      <c r="S1808" s="87"/>
      <c r="T1808" s="87"/>
      <c r="U1808" s="87"/>
      <c r="V1808" s="87">
        <v>1</v>
      </c>
      <c r="W1808" s="87"/>
      <c r="X1808" s="87"/>
      <c r="Y1808" s="87"/>
      <c r="Z1808" s="87"/>
      <c r="AA1808" s="87"/>
      <c r="AB1808" s="87"/>
      <c r="AC1808" s="87">
        <v>1</v>
      </c>
      <c r="AD1808" s="87"/>
      <c r="AE1808" s="87"/>
      <c r="AF1808" s="87"/>
      <c r="AG1808" s="87"/>
      <c r="AH1808" s="87"/>
      <c r="AI1808" s="87"/>
      <c r="AJ1808" s="87"/>
      <c r="AK1808" s="87"/>
      <c r="AL1808" s="87"/>
      <c r="AM1808" s="87"/>
      <c r="AN1808" s="87"/>
      <c r="AO1808" s="87">
        <v>1</v>
      </c>
      <c r="AP1808" s="87"/>
      <c r="AQ1808" s="87"/>
      <c r="AR1808" s="87"/>
      <c r="AS1808" s="87"/>
      <c r="AT1808" s="87"/>
      <c r="AU1808" s="87"/>
      <c r="AV1808" s="87"/>
      <c r="AW1808" s="88" t="str">
        <f>HYPERLINK("http://www.openstreetmap.org/?mlat=31.3038&amp;mlon=45.3008&amp;zoom=12#map=12/31.3038/45.3008","Maplink1")</f>
        <v>Maplink1</v>
      </c>
      <c r="AX1808" s="88" t="str">
        <f>HYPERLINK("https://www.google.iq/maps/search/+31.3038,45.3008/@31.3038,45.3008,14z?hl=en","Maplink2")</f>
        <v>Maplink2</v>
      </c>
      <c r="AY1808" s="88" t="str">
        <f>HYPERLINK("http://www.bing.com/maps/?lvl=14&amp;sty=h&amp;cp=31.3038~45.3008&amp;sp=point.31.3038_45.3008","Maplink3")</f>
        <v>Maplink3</v>
      </c>
      <c r="AZ1808" s="76"/>
    </row>
    <row r="1809" spans="1:52" x14ac:dyDescent="0.25">
      <c r="A1809" s="86">
        <v>1526</v>
      </c>
      <c r="B1809" s="87" t="s">
        <v>22</v>
      </c>
      <c r="C1809" s="87" t="s">
        <v>3443</v>
      </c>
      <c r="D1809" s="87" t="s">
        <v>3487</v>
      </c>
      <c r="E1809" s="87" t="s">
        <v>3488</v>
      </c>
      <c r="F1809" s="87">
        <v>31.272749598099999</v>
      </c>
      <c r="G1809" s="87">
        <v>45.291878152599999</v>
      </c>
      <c r="H1809" s="86">
        <v>1</v>
      </c>
      <c r="I1809" s="86">
        <v>6</v>
      </c>
      <c r="J1809" s="87"/>
      <c r="K1809" s="87"/>
      <c r="L1809" s="87"/>
      <c r="M1809" s="87"/>
      <c r="N1809" s="87"/>
      <c r="O1809" s="87"/>
      <c r="P1809" s="87"/>
      <c r="Q1809" s="87"/>
      <c r="R1809" s="87"/>
      <c r="S1809" s="87"/>
      <c r="T1809" s="87"/>
      <c r="U1809" s="87"/>
      <c r="V1809" s="87">
        <v>1</v>
      </c>
      <c r="W1809" s="87"/>
      <c r="X1809" s="87"/>
      <c r="Y1809" s="87"/>
      <c r="Z1809" s="87"/>
      <c r="AA1809" s="87"/>
      <c r="AB1809" s="87"/>
      <c r="AC1809" s="87">
        <v>1</v>
      </c>
      <c r="AD1809" s="87"/>
      <c r="AE1809" s="87"/>
      <c r="AF1809" s="87"/>
      <c r="AG1809" s="87"/>
      <c r="AH1809" s="87"/>
      <c r="AI1809" s="87"/>
      <c r="AJ1809" s="87"/>
      <c r="AK1809" s="87"/>
      <c r="AL1809" s="87"/>
      <c r="AM1809" s="87"/>
      <c r="AN1809" s="87"/>
      <c r="AO1809" s="87"/>
      <c r="AP1809" s="87">
        <v>1</v>
      </c>
      <c r="AQ1809" s="87"/>
      <c r="AR1809" s="87"/>
      <c r="AS1809" s="87"/>
      <c r="AT1809" s="87"/>
      <c r="AU1809" s="87"/>
      <c r="AV1809" s="87"/>
      <c r="AW1809" s="88" t="str">
        <f>HYPERLINK("http://www.openstreetmap.org/?mlat=31.2727&amp;mlon=45.2919&amp;zoom=12#map=12/31.2727/45.2919","Maplink1")</f>
        <v>Maplink1</v>
      </c>
      <c r="AX1809" s="88" t="str">
        <f>HYPERLINK("https://www.google.iq/maps/search/+31.2727,45.2919/@31.2727,45.2919,14z?hl=en","Maplink2")</f>
        <v>Maplink2</v>
      </c>
      <c r="AY1809" s="88" t="str">
        <f>HYPERLINK("http://www.bing.com/maps/?lvl=14&amp;sty=h&amp;cp=31.2727~45.2919&amp;sp=point.31.2727_45.2919","Maplink3")</f>
        <v>Maplink3</v>
      </c>
      <c r="AZ1809" s="76"/>
    </row>
    <row r="1810" spans="1:52" x14ac:dyDescent="0.25">
      <c r="A1810" s="86">
        <v>33297</v>
      </c>
      <c r="B1810" s="87" t="s">
        <v>22</v>
      </c>
      <c r="C1810" s="87" t="s">
        <v>3443</v>
      </c>
      <c r="D1810" s="87" t="s">
        <v>3489</v>
      </c>
      <c r="E1810" s="87" t="s">
        <v>360</v>
      </c>
      <c r="F1810" s="87">
        <v>31.3368058205</v>
      </c>
      <c r="G1810" s="87">
        <v>45.2969813335</v>
      </c>
      <c r="H1810" s="86">
        <v>8</v>
      </c>
      <c r="I1810" s="86">
        <v>48</v>
      </c>
      <c r="J1810" s="87">
        <v>1</v>
      </c>
      <c r="K1810" s="87"/>
      <c r="L1810" s="87"/>
      <c r="M1810" s="87"/>
      <c r="N1810" s="87"/>
      <c r="O1810" s="87"/>
      <c r="P1810" s="87"/>
      <c r="Q1810" s="87"/>
      <c r="R1810" s="87"/>
      <c r="S1810" s="87"/>
      <c r="T1810" s="87"/>
      <c r="U1810" s="87"/>
      <c r="V1810" s="87">
        <v>7</v>
      </c>
      <c r="W1810" s="87"/>
      <c r="X1810" s="87"/>
      <c r="Y1810" s="87"/>
      <c r="Z1810" s="87"/>
      <c r="AA1810" s="87"/>
      <c r="AB1810" s="87"/>
      <c r="AC1810" s="87"/>
      <c r="AD1810" s="87"/>
      <c r="AE1810" s="87"/>
      <c r="AF1810" s="87"/>
      <c r="AG1810" s="87"/>
      <c r="AH1810" s="87">
        <v>8</v>
      </c>
      <c r="AI1810" s="87"/>
      <c r="AJ1810" s="87"/>
      <c r="AK1810" s="87"/>
      <c r="AL1810" s="87"/>
      <c r="AM1810" s="87"/>
      <c r="AN1810" s="87"/>
      <c r="AO1810" s="87"/>
      <c r="AP1810" s="87">
        <v>5</v>
      </c>
      <c r="AQ1810" s="87">
        <v>3</v>
      </c>
      <c r="AR1810" s="87"/>
      <c r="AS1810" s="87"/>
      <c r="AT1810" s="87"/>
      <c r="AU1810" s="87"/>
      <c r="AV1810" s="87"/>
      <c r="AW1810" s="88" t="str">
        <f>HYPERLINK("http://www.openstreetmap.org/?mlat=31.3368&amp;mlon=45.297&amp;zoom=12#map=12/31.3368/45.297","Maplink1")</f>
        <v>Maplink1</v>
      </c>
      <c r="AX1810" s="88" t="str">
        <f>HYPERLINK("https://www.google.iq/maps/search/+31.3368,45.297/@31.3368,45.297,14z?hl=en","Maplink2")</f>
        <v>Maplink2</v>
      </c>
      <c r="AY1810" s="88" t="str">
        <f>HYPERLINK("http://www.bing.com/maps/?lvl=14&amp;sty=h&amp;cp=31.3368~45.297&amp;sp=point.31.3368_45.297","Maplink3")</f>
        <v>Maplink3</v>
      </c>
      <c r="AZ1810" s="76"/>
    </row>
    <row r="1811" spans="1:52" x14ac:dyDescent="0.25">
      <c r="A1811" s="86">
        <v>1573</v>
      </c>
      <c r="B1811" s="87" t="s">
        <v>22</v>
      </c>
      <c r="C1811" s="87" t="s">
        <v>3443</v>
      </c>
      <c r="D1811" s="87" t="s">
        <v>3490</v>
      </c>
      <c r="E1811" s="87" t="s">
        <v>3491</v>
      </c>
      <c r="F1811" s="87">
        <v>31.3062663563</v>
      </c>
      <c r="G1811" s="87">
        <v>45.310907755000002</v>
      </c>
      <c r="H1811" s="86">
        <v>3</v>
      </c>
      <c r="I1811" s="86">
        <v>18</v>
      </c>
      <c r="J1811" s="87"/>
      <c r="K1811" s="87"/>
      <c r="L1811" s="87"/>
      <c r="M1811" s="87"/>
      <c r="N1811" s="87"/>
      <c r="O1811" s="87"/>
      <c r="P1811" s="87"/>
      <c r="Q1811" s="87"/>
      <c r="R1811" s="87"/>
      <c r="S1811" s="87"/>
      <c r="T1811" s="87"/>
      <c r="U1811" s="87"/>
      <c r="V1811" s="87">
        <v>2</v>
      </c>
      <c r="W1811" s="87"/>
      <c r="X1811" s="87">
        <v>1</v>
      </c>
      <c r="Y1811" s="87"/>
      <c r="Z1811" s="87"/>
      <c r="AA1811" s="87"/>
      <c r="AB1811" s="87"/>
      <c r="AC1811" s="87"/>
      <c r="AD1811" s="87"/>
      <c r="AE1811" s="87"/>
      <c r="AF1811" s="87"/>
      <c r="AG1811" s="87"/>
      <c r="AH1811" s="87">
        <v>3</v>
      </c>
      <c r="AI1811" s="87"/>
      <c r="AJ1811" s="87"/>
      <c r="AK1811" s="87"/>
      <c r="AL1811" s="87"/>
      <c r="AM1811" s="87"/>
      <c r="AN1811" s="87"/>
      <c r="AO1811" s="87"/>
      <c r="AP1811" s="87">
        <v>3</v>
      </c>
      <c r="AQ1811" s="87"/>
      <c r="AR1811" s="87"/>
      <c r="AS1811" s="87"/>
      <c r="AT1811" s="87"/>
      <c r="AU1811" s="87"/>
      <c r="AV1811" s="87"/>
      <c r="AW1811" s="88" t="str">
        <f>HYPERLINK("http://www.openstreetmap.org/?mlat=31.3063&amp;mlon=45.3109&amp;zoom=12#map=12/31.3063/45.3109","Maplink1")</f>
        <v>Maplink1</v>
      </c>
      <c r="AX1811" s="88" t="str">
        <f>HYPERLINK("https://www.google.iq/maps/search/+31.3063,45.3109/@31.3063,45.3109,14z?hl=en","Maplink2")</f>
        <v>Maplink2</v>
      </c>
      <c r="AY1811" s="88" t="str">
        <f>HYPERLINK("http://www.bing.com/maps/?lvl=14&amp;sty=h&amp;cp=31.3063~45.3109&amp;sp=point.31.3063_45.3109","Maplink3")</f>
        <v>Maplink3</v>
      </c>
      <c r="AZ1811" s="76"/>
    </row>
    <row r="1812" spans="1:52" x14ac:dyDescent="0.25">
      <c r="A1812" s="86">
        <v>2077</v>
      </c>
      <c r="B1812" s="87" t="s">
        <v>22</v>
      </c>
      <c r="C1812" s="87" t="s">
        <v>3443</v>
      </c>
      <c r="D1812" s="87" t="s">
        <v>3492</v>
      </c>
      <c r="E1812" s="87" t="s">
        <v>3493</v>
      </c>
      <c r="F1812" s="87">
        <v>31.337966714099998</v>
      </c>
      <c r="G1812" s="87">
        <v>45.2803790197</v>
      </c>
      <c r="H1812" s="86">
        <v>4</v>
      </c>
      <c r="I1812" s="86">
        <v>24</v>
      </c>
      <c r="J1812" s="87">
        <v>1</v>
      </c>
      <c r="K1812" s="87"/>
      <c r="L1812" s="87">
        <v>2</v>
      </c>
      <c r="M1812" s="87"/>
      <c r="N1812" s="87"/>
      <c r="O1812" s="87"/>
      <c r="P1812" s="87"/>
      <c r="Q1812" s="87"/>
      <c r="R1812" s="87"/>
      <c r="S1812" s="87"/>
      <c r="T1812" s="87"/>
      <c r="U1812" s="87"/>
      <c r="V1812" s="87">
        <v>1</v>
      </c>
      <c r="W1812" s="87"/>
      <c r="X1812" s="87"/>
      <c r="Y1812" s="87"/>
      <c r="Z1812" s="87"/>
      <c r="AA1812" s="87"/>
      <c r="AB1812" s="87"/>
      <c r="AC1812" s="87"/>
      <c r="AD1812" s="87"/>
      <c r="AE1812" s="87"/>
      <c r="AF1812" s="87"/>
      <c r="AG1812" s="87"/>
      <c r="AH1812" s="87">
        <v>4</v>
      </c>
      <c r="AI1812" s="87"/>
      <c r="AJ1812" s="87"/>
      <c r="AK1812" s="87"/>
      <c r="AL1812" s="87"/>
      <c r="AM1812" s="87"/>
      <c r="AN1812" s="87"/>
      <c r="AO1812" s="87">
        <v>2</v>
      </c>
      <c r="AP1812" s="87">
        <v>1</v>
      </c>
      <c r="AQ1812" s="87">
        <v>1</v>
      </c>
      <c r="AR1812" s="87"/>
      <c r="AS1812" s="87"/>
      <c r="AT1812" s="87"/>
      <c r="AU1812" s="87"/>
      <c r="AV1812" s="87"/>
      <c r="AW1812" s="88" t="str">
        <f>HYPERLINK("http://www.openstreetmap.org/?mlat=31.338&amp;mlon=45.2804&amp;zoom=12#map=12/31.338/45.2804","Maplink1")</f>
        <v>Maplink1</v>
      </c>
      <c r="AX1812" s="88" t="str">
        <f>HYPERLINK("https://www.google.iq/maps/search/+31.338,45.2804/@31.338,45.2804,14z?hl=en","Maplink2")</f>
        <v>Maplink2</v>
      </c>
      <c r="AY1812" s="88" t="str">
        <f>HYPERLINK("http://www.bing.com/maps/?lvl=14&amp;sty=h&amp;cp=31.338~45.2804&amp;sp=point.31.338_45.2804","Maplink3")</f>
        <v>Maplink3</v>
      </c>
      <c r="AZ1812" s="76"/>
    </row>
    <row r="1813" spans="1:52" x14ac:dyDescent="0.25">
      <c r="A1813" s="86">
        <v>19588</v>
      </c>
      <c r="B1813" s="87" t="s">
        <v>23</v>
      </c>
      <c r="C1813" s="87" t="s">
        <v>3494</v>
      </c>
      <c r="D1813" s="87" t="s">
        <v>3495</v>
      </c>
      <c r="E1813" s="87" t="s">
        <v>3496</v>
      </c>
      <c r="F1813" s="87">
        <v>31.805438948500001</v>
      </c>
      <c r="G1813" s="87">
        <v>44.490823878</v>
      </c>
      <c r="H1813" s="86">
        <v>17</v>
      </c>
      <c r="I1813" s="86">
        <v>102</v>
      </c>
      <c r="J1813" s="87">
        <v>2</v>
      </c>
      <c r="K1813" s="87"/>
      <c r="L1813" s="87"/>
      <c r="M1813" s="87"/>
      <c r="N1813" s="87"/>
      <c r="O1813" s="87"/>
      <c r="P1813" s="87"/>
      <c r="Q1813" s="87"/>
      <c r="R1813" s="87"/>
      <c r="S1813" s="87"/>
      <c r="T1813" s="87"/>
      <c r="U1813" s="87"/>
      <c r="V1813" s="87">
        <v>15</v>
      </c>
      <c r="W1813" s="87"/>
      <c r="X1813" s="87"/>
      <c r="Y1813" s="87"/>
      <c r="Z1813" s="87"/>
      <c r="AA1813" s="87"/>
      <c r="AB1813" s="87"/>
      <c r="AC1813" s="87"/>
      <c r="AD1813" s="87"/>
      <c r="AE1813" s="87"/>
      <c r="AF1813" s="87"/>
      <c r="AG1813" s="87"/>
      <c r="AH1813" s="87">
        <v>17</v>
      </c>
      <c r="AI1813" s="87"/>
      <c r="AJ1813" s="87"/>
      <c r="AK1813" s="87"/>
      <c r="AL1813" s="87"/>
      <c r="AM1813" s="87"/>
      <c r="AN1813" s="87"/>
      <c r="AO1813" s="87"/>
      <c r="AP1813" s="87"/>
      <c r="AQ1813" s="87">
        <v>15</v>
      </c>
      <c r="AR1813" s="87">
        <v>2</v>
      </c>
      <c r="AS1813" s="87"/>
      <c r="AT1813" s="87"/>
      <c r="AU1813" s="87"/>
      <c r="AV1813" s="87"/>
      <c r="AW1813" s="88" t="str">
        <f>HYPERLINK("http://www.openstreetmap.org/?mlat=31.8054&amp;mlon=44.4908&amp;zoom=12#map=12/31.8054/44.4908","Maplink1")</f>
        <v>Maplink1</v>
      </c>
      <c r="AX1813" s="88" t="str">
        <f>HYPERLINK("https://www.google.iq/maps/search/+31.8054,44.4908/@31.8054,44.4908,14z?hl=en","Maplink2")</f>
        <v>Maplink2</v>
      </c>
      <c r="AY1813" s="88" t="str">
        <f>HYPERLINK("http://www.bing.com/maps/?lvl=14&amp;sty=h&amp;cp=31.8054~44.4908&amp;sp=point.31.8054_44.4908","Maplink3")</f>
        <v>Maplink3</v>
      </c>
      <c r="AZ1813" s="76"/>
    </row>
    <row r="1814" spans="1:52" x14ac:dyDescent="0.25">
      <c r="A1814" s="86">
        <v>25907</v>
      </c>
      <c r="B1814" s="87" t="s">
        <v>23</v>
      </c>
      <c r="C1814" s="87" t="s">
        <v>3494</v>
      </c>
      <c r="D1814" s="87" t="s">
        <v>3497</v>
      </c>
      <c r="E1814" s="87" t="s">
        <v>3498</v>
      </c>
      <c r="F1814" s="87">
        <v>31.905174688399999</v>
      </c>
      <c r="G1814" s="87">
        <v>44.501103473199997</v>
      </c>
      <c r="H1814" s="86">
        <v>3</v>
      </c>
      <c r="I1814" s="86">
        <v>18</v>
      </c>
      <c r="J1814" s="87"/>
      <c r="K1814" s="87"/>
      <c r="L1814" s="87"/>
      <c r="M1814" s="87"/>
      <c r="N1814" s="87"/>
      <c r="O1814" s="87"/>
      <c r="P1814" s="87"/>
      <c r="Q1814" s="87"/>
      <c r="R1814" s="87"/>
      <c r="S1814" s="87"/>
      <c r="T1814" s="87"/>
      <c r="U1814" s="87"/>
      <c r="V1814" s="87">
        <v>3</v>
      </c>
      <c r="W1814" s="87"/>
      <c r="X1814" s="87"/>
      <c r="Y1814" s="87"/>
      <c r="Z1814" s="87"/>
      <c r="AA1814" s="87"/>
      <c r="AB1814" s="87"/>
      <c r="AC1814" s="87"/>
      <c r="AD1814" s="87"/>
      <c r="AE1814" s="87"/>
      <c r="AF1814" s="87"/>
      <c r="AG1814" s="87"/>
      <c r="AH1814" s="87">
        <v>3</v>
      </c>
      <c r="AI1814" s="87"/>
      <c r="AJ1814" s="87"/>
      <c r="AK1814" s="87"/>
      <c r="AL1814" s="87"/>
      <c r="AM1814" s="87"/>
      <c r="AN1814" s="87"/>
      <c r="AO1814" s="87"/>
      <c r="AP1814" s="87">
        <v>3</v>
      </c>
      <c r="AQ1814" s="87"/>
      <c r="AR1814" s="87"/>
      <c r="AS1814" s="87"/>
      <c r="AT1814" s="87"/>
      <c r="AU1814" s="87"/>
      <c r="AV1814" s="87"/>
      <c r="AW1814" s="88" t="str">
        <f>HYPERLINK("http://www.openstreetmap.org/?mlat=31.9052&amp;mlon=44.5011&amp;zoom=12#map=12/31.9052/44.5011","Maplink1")</f>
        <v>Maplink1</v>
      </c>
      <c r="AX1814" s="88" t="str">
        <f>HYPERLINK("https://www.google.iq/maps/search/+31.9052,44.5011/@31.9052,44.5011,14z?hl=en","Maplink2")</f>
        <v>Maplink2</v>
      </c>
      <c r="AY1814" s="88" t="str">
        <f>HYPERLINK("http://www.bing.com/maps/?lvl=14&amp;sty=h&amp;cp=31.9052~44.5011&amp;sp=point.31.9052_44.5011","Maplink3")</f>
        <v>Maplink3</v>
      </c>
      <c r="AZ1814" s="76"/>
    </row>
    <row r="1815" spans="1:52" x14ac:dyDescent="0.25">
      <c r="A1815" s="86">
        <v>22228</v>
      </c>
      <c r="B1815" s="87" t="s">
        <v>23</v>
      </c>
      <c r="C1815" s="87" t="s">
        <v>3494</v>
      </c>
      <c r="D1815" s="87" t="s">
        <v>3499</v>
      </c>
      <c r="E1815" s="87" t="s">
        <v>3500</v>
      </c>
      <c r="F1815" s="87">
        <v>31.9147926861</v>
      </c>
      <c r="G1815" s="87">
        <v>44.477524258199999</v>
      </c>
      <c r="H1815" s="86">
        <v>43</v>
      </c>
      <c r="I1815" s="86">
        <v>258</v>
      </c>
      <c r="J1815" s="87"/>
      <c r="K1815" s="87"/>
      <c r="L1815" s="87"/>
      <c r="M1815" s="87"/>
      <c r="N1815" s="87"/>
      <c r="O1815" s="87"/>
      <c r="P1815" s="87"/>
      <c r="Q1815" s="87"/>
      <c r="R1815" s="87"/>
      <c r="S1815" s="87"/>
      <c r="T1815" s="87"/>
      <c r="U1815" s="87"/>
      <c r="V1815" s="87">
        <v>43</v>
      </c>
      <c r="W1815" s="87"/>
      <c r="X1815" s="87"/>
      <c r="Y1815" s="87"/>
      <c r="Z1815" s="87"/>
      <c r="AA1815" s="87"/>
      <c r="AB1815" s="87"/>
      <c r="AC1815" s="87"/>
      <c r="AD1815" s="87"/>
      <c r="AE1815" s="87"/>
      <c r="AF1815" s="87"/>
      <c r="AG1815" s="87">
        <v>9</v>
      </c>
      <c r="AH1815" s="87">
        <v>34</v>
      </c>
      <c r="AI1815" s="87"/>
      <c r="AJ1815" s="87"/>
      <c r="AK1815" s="87"/>
      <c r="AL1815" s="87"/>
      <c r="AM1815" s="87"/>
      <c r="AN1815" s="87"/>
      <c r="AO1815" s="87"/>
      <c r="AP1815" s="87">
        <v>43</v>
      </c>
      <c r="AQ1815" s="87"/>
      <c r="AR1815" s="87"/>
      <c r="AS1815" s="87"/>
      <c r="AT1815" s="87"/>
      <c r="AU1815" s="87"/>
      <c r="AV1815" s="87"/>
      <c r="AW1815" s="88" t="str">
        <f>HYPERLINK("http://www.openstreetmap.org/?mlat=31.9148&amp;mlon=44.4775&amp;zoom=12#map=12/31.9148/44.4775","Maplink1")</f>
        <v>Maplink1</v>
      </c>
      <c r="AX1815" s="88" t="str">
        <f>HYPERLINK("https://www.google.iq/maps/search/+31.9148,44.4775/@31.9148,44.4775,14z?hl=en","Maplink2")</f>
        <v>Maplink2</v>
      </c>
      <c r="AY1815" s="88" t="str">
        <f>HYPERLINK("http://www.bing.com/maps/?lvl=14&amp;sty=h&amp;cp=31.9148~44.4775&amp;sp=point.31.9148_44.4775","Maplink3")</f>
        <v>Maplink3</v>
      </c>
      <c r="AZ1815" s="76"/>
    </row>
    <row r="1816" spans="1:52" x14ac:dyDescent="0.25">
      <c r="A1816" s="86">
        <v>19911</v>
      </c>
      <c r="B1816" s="87" t="s">
        <v>23</v>
      </c>
      <c r="C1816" s="87" t="s">
        <v>3494</v>
      </c>
      <c r="D1816" s="87" t="s">
        <v>3501</v>
      </c>
      <c r="E1816" s="87" t="s">
        <v>3502</v>
      </c>
      <c r="F1816" s="87">
        <v>31.9143829846</v>
      </c>
      <c r="G1816" s="87">
        <v>44.480614614099999</v>
      </c>
      <c r="H1816" s="86">
        <v>3</v>
      </c>
      <c r="I1816" s="86">
        <v>18</v>
      </c>
      <c r="J1816" s="87"/>
      <c r="K1816" s="87"/>
      <c r="L1816" s="87"/>
      <c r="M1816" s="87"/>
      <c r="N1816" s="87"/>
      <c r="O1816" s="87"/>
      <c r="P1816" s="87"/>
      <c r="Q1816" s="87"/>
      <c r="R1816" s="87"/>
      <c r="S1816" s="87"/>
      <c r="T1816" s="87"/>
      <c r="U1816" s="87"/>
      <c r="V1816" s="87">
        <v>3</v>
      </c>
      <c r="W1816" s="87"/>
      <c r="X1816" s="87"/>
      <c r="Y1816" s="87"/>
      <c r="Z1816" s="87"/>
      <c r="AA1816" s="87"/>
      <c r="AB1816" s="87"/>
      <c r="AC1816" s="87"/>
      <c r="AD1816" s="87"/>
      <c r="AE1816" s="87"/>
      <c r="AF1816" s="87"/>
      <c r="AG1816" s="87">
        <v>3</v>
      </c>
      <c r="AH1816" s="87"/>
      <c r="AI1816" s="87"/>
      <c r="AJ1816" s="87"/>
      <c r="AK1816" s="87"/>
      <c r="AL1816" s="87"/>
      <c r="AM1816" s="87"/>
      <c r="AN1816" s="87"/>
      <c r="AO1816" s="87">
        <v>3</v>
      </c>
      <c r="AP1816" s="87"/>
      <c r="AQ1816" s="87"/>
      <c r="AR1816" s="87"/>
      <c r="AS1816" s="87"/>
      <c r="AT1816" s="87"/>
      <c r="AU1816" s="87"/>
      <c r="AV1816" s="87"/>
      <c r="AW1816" s="88" t="str">
        <f>HYPERLINK("http://www.openstreetmap.org/?mlat=31.9144&amp;mlon=44.4806&amp;zoom=12#map=12/31.9144/44.4806","Maplink1")</f>
        <v>Maplink1</v>
      </c>
      <c r="AX1816" s="88" t="str">
        <f>HYPERLINK("https://www.google.iq/maps/search/+31.9144,44.4806/@31.9144,44.4806,14z?hl=en","Maplink2")</f>
        <v>Maplink2</v>
      </c>
      <c r="AY1816" s="88" t="str">
        <f>HYPERLINK("http://www.bing.com/maps/?lvl=14&amp;sty=h&amp;cp=31.9144~44.4806&amp;sp=point.31.9144_44.4806","Maplink3")</f>
        <v>Maplink3</v>
      </c>
      <c r="AZ1816" s="76"/>
    </row>
    <row r="1817" spans="1:52" x14ac:dyDescent="0.25">
      <c r="A1817" s="86">
        <v>24614</v>
      </c>
      <c r="B1817" s="87" t="s">
        <v>23</v>
      </c>
      <c r="C1817" s="87" t="s">
        <v>3503</v>
      </c>
      <c r="D1817" s="87" t="s">
        <v>3504</v>
      </c>
      <c r="E1817" s="87" t="s">
        <v>3505</v>
      </c>
      <c r="F1817" s="87">
        <v>32.076774658200002</v>
      </c>
      <c r="G1817" s="87">
        <v>44.432862025200002</v>
      </c>
      <c r="H1817" s="86">
        <v>2</v>
      </c>
      <c r="I1817" s="86">
        <v>12</v>
      </c>
      <c r="J1817" s="87"/>
      <c r="K1817" s="87"/>
      <c r="L1817" s="87"/>
      <c r="M1817" s="87"/>
      <c r="N1817" s="87"/>
      <c r="O1817" s="87"/>
      <c r="P1817" s="87"/>
      <c r="Q1817" s="87"/>
      <c r="R1817" s="87"/>
      <c r="S1817" s="87"/>
      <c r="T1817" s="87"/>
      <c r="U1817" s="87"/>
      <c r="V1817" s="87">
        <v>2</v>
      </c>
      <c r="W1817" s="87"/>
      <c r="X1817" s="87"/>
      <c r="Y1817" s="87"/>
      <c r="Z1817" s="87"/>
      <c r="AA1817" s="87"/>
      <c r="AB1817" s="87"/>
      <c r="AC1817" s="87"/>
      <c r="AD1817" s="87"/>
      <c r="AE1817" s="87"/>
      <c r="AF1817" s="87"/>
      <c r="AG1817" s="87"/>
      <c r="AH1817" s="87">
        <v>2</v>
      </c>
      <c r="AI1817" s="87"/>
      <c r="AJ1817" s="87"/>
      <c r="AK1817" s="87"/>
      <c r="AL1817" s="87"/>
      <c r="AM1817" s="87"/>
      <c r="AN1817" s="87"/>
      <c r="AO1817" s="87"/>
      <c r="AP1817" s="87">
        <v>2</v>
      </c>
      <c r="AQ1817" s="87"/>
      <c r="AR1817" s="87"/>
      <c r="AS1817" s="87"/>
      <c r="AT1817" s="87"/>
      <c r="AU1817" s="87"/>
      <c r="AV1817" s="87"/>
      <c r="AW1817" s="88" t="str">
        <f>HYPERLINK("http://www.openstreetmap.org/?mlat=32.0768&amp;mlon=44.4329&amp;zoom=12#map=12/32.0768/44.4329","Maplink1")</f>
        <v>Maplink1</v>
      </c>
      <c r="AX1817" s="88" t="str">
        <f>HYPERLINK("https://www.google.iq/maps/search/+32.0768,44.4329/@32.0768,44.4329,14z?hl=en","Maplink2")</f>
        <v>Maplink2</v>
      </c>
      <c r="AY1817" s="88" t="str">
        <f>HYPERLINK("http://www.bing.com/maps/?lvl=14&amp;sty=h&amp;cp=32.0768~44.4329&amp;sp=point.32.0768_44.4329","Maplink3")</f>
        <v>Maplink3</v>
      </c>
      <c r="AZ1817" s="76"/>
    </row>
    <row r="1818" spans="1:52" x14ac:dyDescent="0.25">
      <c r="A1818" s="86">
        <v>20173</v>
      </c>
      <c r="B1818" s="87" t="s">
        <v>23</v>
      </c>
      <c r="C1818" s="87" t="s">
        <v>3503</v>
      </c>
      <c r="D1818" s="87" t="s">
        <v>3506</v>
      </c>
      <c r="E1818" s="87" t="s">
        <v>3507</v>
      </c>
      <c r="F1818" s="87">
        <v>32.071236318300002</v>
      </c>
      <c r="G1818" s="87">
        <v>44.435206112499998</v>
      </c>
      <c r="H1818" s="86">
        <v>3</v>
      </c>
      <c r="I1818" s="86">
        <v>18</v>
      </c>
      <c r="J1818" s="87"/>
      <c r="K1818" s="87"/>
      <c r="L1818" s="87"/>
      <c r="M1818" s="87"/>
      <c r="N1818" s="87"/>
      <c r="O1818" s="87"/>
      <c r="P1818" s="87"/>
      <c r="Q1818" s="87"/>
      <c r="R1818" s="87"/>
      <c r="S1818" s="87"/>
      <c r="T1818" s="87"/>
      <c r="U1818" s="87"/>
      <c r="V1818" s="87">
        <v>3</v>
      </c>
      <c r="W1818" s="87"/>
      <c r="X1818" s="87"/>
      <c r="Y1818" s="87"/>
      <c r="Z1818" s="87"/>
      <c r="AA1818" s="87"/>
      <c r="AB1818" s="87"/>
      <c r="AC1818" s="87"/>
      <c r="AD1818" s="87"/>
      <c r="AE1818" s="87"/>
      <c r="AF1818" s="87"/>
      <c r="AG1818" s="87"/>
      <c r="AH1818" s="87">
        <v>3</v>
      </c>
      <c r="AI1818" s="87"/>
      <c r="AJ1818" s="87"/>
      <c r="AK1818" s="87"/>
      <c r="AL1818" s="87"/>
      <c r="AM1818" s="87"/>
      <c r="AN1818" s="87"/>
      <c r="AO1818" s="87">
        <v>3</v>
      </c>
      <c r="AP1818" s="87"/>
      <c r="AQ1818" s="87"/>
      <c r="AR1818" s="87"/>
      <c r="AS1818" s="87"/>
      <c r="AT1818" s="87"/>
      <c r="AU1818" s="87"/>
      <c r="AV1818" s="87"/>
      <c r="AW1818" s="88" t="str">
        <f>HYPERLINK("http://www.openstreetmap.org/?mlat=32.0712&amp;mlon=44.4352&amp;zoom=12#map=12/32.0712/44.4352","Maplink1")</f>
        <v>Maplink1</v>
      </c>
      <c r="AX1818" s="88" t="str">
        <f>HYPERLINK("https://www.google.iq/maps/search/+32.0712,44.4352/@32.0712,44.4352,14z?hl=en","Maplink2")</f>
        <v>Maplink2</v>
      </c>
      <c r="AY1818" s="88" t="str">
        <f>HYPERLINK("http://www.bing.com/maps/?lvl=14&amp;sty=h&amp;cp=32.0712~44.4352&amp;sp=point.32.0712_44.4352","Maplink3")</f>
        <v>Maplink3</v>
      </c>
      <c r="AZ1818" s="76"/>
    </row>
    <row r="1819" spans="1:52" x14ac:dyDescent="0.25">
      <c r="A1819" s="86">
        <v>24613</v>
      </c>
      <c r="B1819" s="87" t="s">
        <v>23</v>
      </c>
      <c r="C1819" s="87" t="s">
        <v>3503</v>
      </c>
      <c r="D1819" s="87" t="s">
        <v>3508</v>
      </c>
      <c r="E1819" s="87" t="s">
        <v>3509</v>
      </c>
      <c r="F1819" s="87">
        <v>32.075345606100001</v>
      </c>
      <c r="G1819" s="87">
        <v>44.436974355700002</v>
      </c>
      <c r="H1819" s="86">
        <v>2</v>
      </c>
      <c r="I1819" s="86">
        <v>12</v>
      </c>
      <c r="J1819" s="87"/>
      <c r="K1819" s="87"/>
      <c r="L1819" s="87"/>
      <c r="M1819" s="87"/>
      <c r="N1819" s="87"/>
      <c r="O1819" s="87"/>
      <c r="P1819" s="87"/>
      <c r="Q1819" s="87"/>
      <c r="R1819" s="87"/>
      <c r="S1819" s="87"/>
      <c r="T1819" s="87"/>
      <c r="U1819" s="87"/>
      <c r="V1819" s="87">
        <v>2</v>
      </c>
      <c r="W1819" s="87"/>
      <c r="X1819" s="87"/>
      <c r="Y1819" s="87"/>
      <c r="Z1819" s="87"/>
      <c r="AA1819" s="87"/>
      <c r="AB1819" s="87"/>
      <c r="AC1819" s="87"/>
      <c r="AD1819" s="87"/>
      <c r="AE1819" s="87"/>
      <c r="AF1819" s="87"/>
      <c r="AG1819" s="87"/>
      <c r="AH1819" s="87">
        <v>2</v>
      </c>
      <c r="AI1819" s="87"/>
      <c r="AJ1819" s="87"/>
      <c r="AK1819" s="87"/>
      <c r="AL1819" s="87"/>
      <c r="AM1819" s="87"/>
      <c r="AN1819" s="87"/>
      <c r="AO1819" s="87">
        <v>2</v>
      </c>
      <c r="AP1819" s="87"/>
      <c r="AQ1819" s="87"/>
      <c r="AR1819" s="87"/>
      <c r="AS1819" s="87"/>
      <c r="AT1819" s="87"/>
      <c r="AU1819" s="87"/>
      <c r="AV1819" s="87"/>
      <c r="AW1819" s="88" t="str">
        <f>HYPERLINK("http://www.openstreetmap.org/?mlat=32.0753&amp;mlon=44.437&amp;zoom=12#map=12/32.0753/44.437","Maplink1")</f>
        <v>Maplink1</v>
      </c>
      <c r="AX1819" s="88" t="str">
        <f>HYPERLINK("https://www.google.iq/maps/search/+32.0753,44.437/@32.0753,44.437,14z?hl=en","Maplink2")</f>
        <v>Maplink2</v>
      </c>
      <c r="AY1819" s="88" t="str">
        <f>HYPERLINK("http://www.bing.com/maps/?lvl=14&amp;sty=h&amp;cp=32.0753~44.437&amp;sp=point.32.0753_44.437","Maplink3")</f>
        <v>Maplink3</v>
      </c>
      <c r="AZ1819" s="76"/>
    </row>
    <row r="1820" spans="1:52" x14ac:dyDescent="0.25">
      <c r="A1820" s="86">
        <v>20298</v>
      </c>
      <c r="B1820" s="87" t="s">
        <v>23</v>
      </c>
      <c r="C1820" s="87" t="s">
        <v>3503</v>
      </c>
      <c r="D1820" s="87" t="s">
        <v>3510</v>
      </c>
      <c r="E1820" s="87" t="s">
        <v>3511</v>
      </c>
      <c r="F1820" s="87">
        <v>32.009313044000002</v>
      </c>
      <c r="G1820" s="87">
        <v>44.400373178499997</v>
      </c>
      <c r="H1820" s="86">
        <v>68</v>
      </c>
      <c r="I1820" s="86">
        <v>408</v>
      </c>
      <c r="J1820" s="87"/>
      <c r="K1820" s="87"/>
      <c r="L1820" s="87"/>
      <c r="M1820" s="87"/>
      <c r="N1820" s="87"/>
      <c r="O1820" s="87"/>
      <c r="P1820" s="87"/>
      <c r="Q1820" s="87"/>
      <c r="R1820" s="87"/>
      <c r="S1820" s="87"/>
      <c r="T1820" s="87"/>
      <c r="U1820" s="87"/>
      <c r="V1820" s="87">
        <v>68</v>
      </c>
      <c r="W1820" s="87"/>
      <c r="X1820" s="87"/>
      <c r="Y1820" s="87"/>
      <c r="Z1820" s="87"/>
      <c r="AA1820" s="87"/>
      <c r="AB1820" s="87"/>
      <c r="AC1820" s="87"/>
      <c r="AD1820" s="87"/>
      <c r="AE1820" s="87"/>
      <c r="AF1820" s="87"/>
      <c r="AG1820" s="87"/>
      <c r="AH1820" s="87">
        <v>68</v>
      </c>
      <c r="AI1820" s="87"/>
      <c r="AJ1820" s="87"/>
      <c r="AK1820" s="87"/>
      <c r="AL1820" s="87"/>
      <c r="AM1820" s="87"/>
      <c r="AN1820" s="87"/>
      <c r="AO1820" s="87">
        <v>68</v>
      </c>
      <c r="AP1820" s="87"/>
      <c r="AQ1820" s="87"/>
      <c r="AR1820" s="87"/>
      <c r="AS1820" s="87"/>
      <c r="AT1820" s="87"/>
      <c r="AU1820" s="87"/>
      <c r="AV1820" s="87"/>
      <c r="AW1820" s="88" t="str">
        <f>HYPERLINK("http://www.openstreetmap.org/?mlat=32.0093&amp;mlon=44.4004&amp;zoom=12#map=12/32.0093/44.4004","Maplink1")</f>
        <v>Maplink1</v>
      </c>
      <c r="AX1820" s="88" t="str">
        <f>HYPERLINK("https://www.google.iq/maps/search/+32.0093,44.4004/@32.0093,44.4004,14z?hl=en","Maplink2")</f>
        <v>Maplink2</v>
      </c>
      <c r="AY1820" s="88" t="str">
        <f>HYPERLINK("http://www.bing.com/maps/?lvl=14&amp;sty=h&amp;cp=32.0093~44.4004&amp;sp=point.32.0093_44.4004","Maplink3")</f>
        <v>Maplink3</v>
      </c>
      <c r="AZ1820" s="76"/>
    </row>
    <row r="1821" spans="1:52" x14ac:dyDescent="0.25">
      <c r="A1821" s="86">
        <v>20340</v>
      </c>
      <c r="B1821" s="87" t="s">
        <v>23</v>
      </c>
      <c r="C1821" s="87" t="s">
        <v>3503</v>
      </c>
      <c r="D1821" s="87" t="s">
        <v>3512</v>
      </c>
      <c r="E1821" s="87" t="s">
        <v>3513</v>
      </c>
      <c r="F1821" s="87">
        <v>32.101902439699998</v>
      </c>
      <c r="G1821" s="87">
        <v>44.543066325600002</v>
      </c>
      <c r="H1821" s="86">
        <v>6</v>
      </c>
      <c r="I1821" s="86">
        <v>36</v>
      </c>
      <c r="J1821" s="87"/>
      <c r="K1821" s="87"/>
      <c r="L1821" s="87"/>
      <c r="M1821" s="87"/>
      <c r="N1821" s="87"/>
      <c r="O1821" s="87"/>
      <c r="P1821" s="87"/>
      <c r="Q1821" s="87"/>
      <c r="R1821" s="87">
        <v>1</v>
      </c>
      <c r="S1821" s="87"/>
      <c r="T1821" s="87"/>
      <c r="U1821" s="87"/>
      <c r="V1821" s="87">
        <v>5</v>
      </c>
      <c r="W1821" s="87"/>
      <c r="X1821" s="87"/>
      <c r="Y1821" s="87"/>
      <c r="Z1821" s="87"/>
      <c r="AA1821" s="87"/>
      <c r="AB1821" s="87"/>
      <c r="AC1821" s="87"/>
      <c r="AD1821" s="87"/>
      <c r="AE1821" s="87"/>
      <c r="AF1821" s="87"/>
      <c r="AG1821" s="87"/>
      <c r="AH1821" s="87">
        <v>6</v>
      </c>
      <c r="AI1821" s="87"/>
      <c r="AJ1821" s="87"/>
      <c r="AK1821" s="87"/>
      <c r="AL1821" s="87"/>
      <c r="AM1821" s="87"/>
      <c r="AN1821" s="87">
        <v>1</v>
      </c>
      <c r="AO1821" s="87"/>
      <c r="AP1821" s="87">
        <v>5</v>
      </c>
      <c r="AQ1821" s="87"/>
      <c r="AR1821" s="87"/>
      <c r="AS1821" s="87"/>
      <c r="AT1821" s="87"/>
      <c r="AU1821" s="87"/>
      <c r="AV1821" s="87"/>
      <c r="AW1821" s="88" t="str">
        <f>HYPERLINK("http://www.openstreetmap.org/?mlat=32.1019&amp;mlon=44.5431&amp;zoom=12#map=12/32.1019/44.5431","Maplink1")</f>
        <v>Maplink1</v>
      </c>
      <c r="AX1821" s="88" t="str">
        <f>HYPERLINK("https://www.google.iq/maps/search/+32.1019,44.5431/@32.1019,44.5431,14z?hl=en","Maplink2")</f>
        <v>Maplink2</v>
      </c>
      <c r="AY1821" s="88" t="str">
        <f>HYPERLINK("http://www.bing.com/maps/?lvl=14&amp;sty=h&amp;cp=32.1019~44.5431&amp;sp=point.32.1019_44.5431","Maplink3")</f>
        <v>Maplink3</v>
      </c>
      <c r="AZ1821" s="76"/>
    </row>
    <row r="1822" spans="1:52" x14ac:dyDescent="0.25">
      <c r="A1822" s="86">
        <v>20046</v>
      </c>
      <c r="B1822" s="87" t="s">
        <v>23</v>
      </c>
      <c r="C1822" s="87" t="s">
        <v>3503</v>
      </c>
      <c r="D1822" s="87" t="s">
        <v>3514</v>
      </c>
      <c r="E1822" s="87" t="s">
        <v>3515</v>
      </c>
      <c r="F1822" s="87">
        <v>32.031024752999997</v>
      </c>
      <c r="G1822" s="87">
        <v>44.4064995114</v>
      </c>
      <c r="H1822" s="86">
        <v>2</v>
      </c>
      <c r="I1822" s="86">
        <v>12</v>
      </c>
      <c r="J1822" s="87"/>
      <c r="K1822" s="87"/>
      <c r="L1822" s="87"/>
      <c r="M1822" s="87"/>
      <c r="N1822" s="87"/>
      <c r="O1822" s="87"/>
      <c r="P1822" s="87"/>
      <c r="Q1822" s="87"/>
      <c r="R1822" s="87"/>
      <c r="S1822" s="87"/>
      <c r="T1822" s="87"/>
      <c r="U1822" s="87"/>
      <c r="V1822" s="87">
        <v>2</v>
      </c>
      <c r="W1822" s="87"/>
      <c r="X1822" s="87"/>
      <c r="Y1822" s="87"/>
      <c r="Z1822" s="87"/>
      <c r="AA1822" s="87"/>
      <c r="AB1822" s="87"/>
      <c r="AC1822" s="87"/>
      <c r="AD1822" s="87"/>
      <c r="AE1822" s="87"/>
      <c r="AF1822" s="87"/>
      <c r="AG1822" s="87"/>
      <c r="AH1822" s="87">
        <v>2</v>
      </c>
      <c r="AI1822" s="87"/>
      <c r="AJ1822" s="87"/>
      <c r="AK1822" s="87"/>
      <c r="AL1822" s="87"/>
      <c r="AM1822" s="87"/>
      <c r="AN1822" s="87"/>
      <c r="AO1822" s="87">
        <v>2</v>
      </c>
      <c r="AP1822" s="87"/>
      <c r="AQ1822" s="87"/>
      <c r="AR1822" s="87"/>
      <c r="AS1822" s="87"/>
      <c r="AT1822" s="87"/>
      <c r="AU1822" s="87"/>
      <c r="AV1822" s="87"/>
      <c r="AW1822" s="88" t="str">
        <f>HYPERLINK("http://www.openstreetmap.org/?mlat=32.031&amp;mlon=44.4065&amp;zoom=12#map=12/32.031/44.4065","Maplink1")</f>
        <v>Maplink1</v>
      </c>
      <c r="AX1822" s="88" t="str">
        <f>HYPERLINK("https://www.google.iq/maps/search/+32.031,44.4065/@32.031,44.4065,14z?hl=en","Maplink2")</f>
        <v>Maplink2</v>
      </c>
      <c r="AY1822" s="88" t="str">
        <f>HYPERLINK("http://www.bing.com/maps/?lvl=14&amp;sty=h&amp;cp=32.031~44.4065&amp;sp=point.32.031_44.4065","Maplink3")</f>
        <v>Maplink3</v>
      </c>
      <c r="AZ1822" s="76"/>
    </row>
    <row r="1823" spans="1:52" x14ac:dyDescent="0.25">
      <c r="A1823" s="86">
        <v>19634</v>
      </c>
      <c r="B1823" s="87" t="s">
        <v>23</v>
      </c>
      <c r="C1823" s="87" t="s">
        <v>3503</v>
      </c>
      <c r="D1823" s="87" t="s">
        <v>3516</v>
      </c>
      <c r="E1823" s="87" t="s">
        <v>3517</v>
      </c>
      <c r="F1823" s="87">
        <v>32.037128397099998</v>
      </c>
      <c r="G1823" s="87">
        <v>44.382743875700001</v>
      </c>
      <c r="H1823" s="86">
        <v>6</v>
      </c>
      <c r="I1823" s="86">
        <v>36</v>
      </c>
      <c r="J1823" s="87"/>
      <c r="K1823" s="87"/>
      <c r="L1823" s="87"/>
      <c r="M1823" s="87"/>
      <c r="N1823" s="87"/>
      <c r="O1823" s="87"/>
      <c r="P1823" s="87"/>
      <c r="Q1823" s="87"/>
      <c r="R1823" s="87"/>
      <c r="S1823" s="87"/>
      <c r="T1823" s="87"/>
      <c r="U1823" s="87"/>
      <c r="V1823" s="87">
        <v>6</v>
      </c>
      <c r="W1823" s="87"/>
      <c r="X1823" s="87"/>
      <c r="Y1823" s="87"/>
      <c r="Z1823" s="87"/>
      <c r="AA1823" s="87"/>
      <c r="AB1823" s="87"/>
      <c r="AC1823" s="87"/>
      <c r="AD1823" s="87"/>
      <c r="AE1823" s="87"/>
      <c r="AF1823" s="87"/>
      <c r="AG1823" s="87"/>
      <c r="AH1823" s="87">
        <v>6</v>
      </c>
      <c r="AI1823" s="87"/>
      <c r="AJ1823" s="87"/>
      <c r="AK1823" s="87"/>
      <c r="AL1823" s="87"/>
      <c r="AM1823" s="87"/>
      <c r="AN1823" s="87"/>
      <c r="AO1823" s="87">
        <v>6</v>
      </c>
      <c r="AP1823" s="87"/>
      <c r="AQ1823" s="87"/>
      <c r="AR1823" s="87"/>
      <c r="AS1823" s="87"/>
      <c r="AT1823" s="87"/>
      <c r="AU1823" s="87"/>
      <c r="AV1823" s="87"/>
      <c r="AW1823" s="88" t="str">
        <f>HYPERLINK("http://www.openstreetmap.org/?mlat=32.0371&amp;mlon=44.3827&amp;zoom=12#map=12/32.0371/44.3827","Maplink1")</f>
        <v>Maplink1</v>
      </c>
      <c r="AX1823" s="88" t="str">
        <f>HYPERLINK("https://www.google.iq/maps/search/+32.0371,44.3827/@32.0371,44.3827,14z?hl=en","Maplink2")</f>
        <v>Maplink2</v>
      </c>
      <c r="AY1823" s="88" t="str">
        <f>HYPERLINK("http://www.bing.com/maps/?lvl=14&amp;sty=h&amp;cp=32.0371~44.3827&amp;sp=point.32.0371_44.3827","Maplink3")</f>
        <v>Maplink3</v>
      </c>
      <c r="AZ1823" s="76"/>
    </row>
    <row r="1824" spans="1:52" x14ac:dyDescent="0.25">
      <c r="A1824" s="86">
        <v>20089</v>
      </c>
      <c r="B1824" s="87" t="s">
        <v>23</v>
      </c>
      <c r="C1824" s="87" t="s">
        <v>3503</v>
      </c>
      <c r="D1824" s="87" t="s">
        <v>3518</v>
      </c>
      <c r="E1824" s="87" t="s">
        <v>3519</v>
      </c>
      <c r="F1824" s="87">
        <v>32.035842469999999</v>
      </c>
      <c r="G1824" s="87">
        <v>44.387169054600001</v>
      </c>
      <c r="H1824" s="86">
        <v>4</v>
      </c>
      <c r="I1824" s="86">
        <v>24</v>
      </c>
      <c r="J1824" s="87"/>
      <c r="K1824" s="87"/>
      <c r="L1824" s="87"/>
      <c r="M1824" s="87"/>
      <c r="N1824" s="87"/>
      <c r="O1824" s="87"/>
      <c r="P1824" s="87"/>
      <c r="Q1824" s="87"/>
      <c r="R1824" s="87"/>
      <c r="S1824" s="87"/>
      <c r="T1824" s="87"/>
      <c r="U1824" s="87"/>
      <c r="V1824" s="87">
        <v>4</v>
      </c>
      <c r="W1824" s="87"/>
      <c r="X1824" s="87"/>
      <c r="Y1824" s="87"/>
      <c r="Z1824" s="87"/>
      <c r="AA1824" s="87"/>
      <c r="AB1824" s="87"/>
      <c r="AC1824" s="87"/>
      <c r="AD1824" s="87"/>
      <c r="AE1824" s="87"/>
      <c r="AF1824" s="87"/>
      <c r="AG1824" s="87"/>
      <c r="AH1824" s="87">
        <v>4</v>
      </c>
      <c r="AI1824" s="87"/>
      <c r="AJ1824" s="87"/>
      <c r="AK1824" s="87"/>
      <c r="AL1824" s="87"/>
      <c r="AM1824" s="87"/>
      <c r="AN1824" s="87"/>
      <c r="AO1824" s="87"/>
      <c r="AP1824" s="87"/>
      <c r="AQ1824" s="87">
        <v>4</v>
      </c>
      <c r="AR1824" s="87"/>
      <c r="AS1824" s="87"/>
      <c r="AT1824" s="87"/>
      <c r="AU1824" s="87"/>
      <c r="AV1824" s="87"/>
      <c r="AW1824" s="88" t="str">
        <f>HYPERLINK("http://www.openstreetmap.org/?mlat=32.0358&amp;mlon=44.3872&amp;zoom=12#map=12/32.0358/44.3872","Maplink1")</f>
        <v>Maplink1</v>
      </c>
      <c r="AX1824" s="88" t="str">
        <f>HYPERLINK("https://www.google.iq/maps/search/+32.0358,44.3872/@32.0358,44.3872,14z?hl=en","Maplink2")</f>
        <v>Maplink2</v>
      </c>
      <c r="AY1824" s="88" t="str">
        <f>HYPERLINK("http://www.bing.com/maps/?lvl=14&amp;sty=h&amp;cp=32.0358~44.3872&amp;sp=point.32.0358_44.3872","Maplink3")</f>
        <v>Maplink3</v>
      </c>
      <c r="AZ1824" s="76"/>
    </row>
    <row r="1825" spans="1:52" x14ac:dyDescent="0.25">
      <c r="A1825" s="86">
        <v>25644</v>
      </c>
      <c r="B1825" s="87" t="s">
        <v>23</v>
      </c>
      <c r="C1825" s="87" t="s">
        <v>3503</v>
      </c>
      <c r="D1825" s="87" t="s">
        <v>3520</v>
      </c>
      <c r="E1825" s="87" t="s">
        <v>3521</v>
      </c>
      <c r="F1825" s="87">
        <v>32.034577263000003</v>
      </c>
      <c r="G1825" s="87">
        <v>44.390760790500003</v>
      </c>
      <c r="H1825" s="86">
        <v>4</v>
      </c>
      <c r="I1825" s="86">
        <v>24</v>
      </c>
      <c r="J1825" s="87"/>
      <c r="K1825" s="87"/>
      <c r="L1825" s="87"/>
      <c r="M1825" s="87"/>
      <c r="N1825" s="87"/>
      <c r="O1825" s="87"/>
      <c r="P1825" s="87"/>
      <c r="Q1825" s="87"/>
      <c r="R1825" s="87"/>
      <c r="S1825" s="87"/>
      <c r="T1825" s="87"/>
      <c r="U1825" s="87"/>
      <c r="V1825" s="87">
        <v>4</v>
      </c>
      <c r="W1825" s="87"/>
      <c r="X1825" s="87"/>
      <c r="Y1825" s="87"/>
      <c r="Z1825" s="87"/>
      <c r="AA1825" s="87"/>
      <c r="AB1825" s="87"/>
      <c r="AC1825" s="87"/>
      <c r="AD1825" s="87"/>
      <c r="AE1825" s="87"/>
      <c r="AF1825" s="87"/>
      <c r="AG1825" s="87"/>
      <c r="AH1825" s="87">
        <v>4</v>
      </c>
      <c r="AI1825" s="87"/>
      <c r="AJ1825" s="87"/>
      <c r="AK1825" s="87"/>
      <c r="AL1825" s="87"/>
      <c r="AM1825" s="87"/>
      <c r="AN1825" s="87">
        <v>4</v>
      </c>
      <c r="AO1825" s="87"/>
      <c r="AP1825" s="87"/>
      <c r="AQ1825" s="87"/>
      <c r="AR1825" s="87"/>
      <c r="AS1825" s="87"/>
      <c r="AT1825" s="87"/>
      <c r="AU1825" s="87"/>
      <c r="AV1825" s="87"/>
      <c r="AW1825" s="88" t="str">
        <f>HYPERLINK("http://www.openstreetmap.org/?mlat=32.0346&amp;mlon=44.3908&amp;zoom=12#map=12/32.0346/44.3908","Maplink1")</f>
        <v>Maplink1</v>
      </c>
      <c r="AX1825" s="88" t="str">
        <f>HYPERLINK("https://www.google.iq/maps/search/+32.0346,44.3908/@32.0346,44.3908,14z?hl=en","Maplink2")</f>
        <v>Maplink2</v>
      </c>
      <c r="AY1825" s="88" t="str">
        <f>HYPERLINK("http://www.bing.com/maps/?lvl=14&amp;sty=h&amp;cp=32.0346~44.3908&amp;sp=point.32.0346_44.3908","Maplink3")</f>
        <v>Maplink3</v>
      </c>
      <c r="AZ1825" s="76"/>
    </row>
    <row r="1826" spans="1:52" x14ac:dyDescent="0.25">
      <c r="A1826" s="86">
        <v>24374</v>
      </c>
      <c r="B1826" s="87" t="s">
        <v>23</v>
      </c>
      <c r="C1826" s="87" t="s">
        <v>3503</v>
      </c>
      <c r="D1826" s="87" t="s">
        <v>3522</v>
      </c>
      <c r="E1826" s="87" t="s">
        <v>3523</v>
      </c>
      <c r="F1826" s="87">
        <v>32.072039558699998</v>
      </c>
      <c r="G1826" s="87">
        <v>44.394359809999997</v>
      </c>
      <c r="H1826" s="86">
        <v>6</v>
      </c>
      <c r="I1826" s="86">
        <v>36</v>
      </c>
      <c r="J1826" s="87"/>
      <c r="K1826" s="87"/>
      <c r="L1826" s="87"/>
      <c r="M1826" s="87"/>
      <c r="N1826" s="87"/>
      <c r="O1826" s="87"/>
      <c r="P1826" s="87"/>
      <c r="Q1826" s="87"/>
      <c r="R1826" s="87"/>
      <c r="S1826" s="87"/>
      <c r="T1826" s="87"/>
      <c r="U1826" s="87"/>
      <c r="V1826" s="87">
        <v>6</v>
      </c>
      <c r="W1826" s="87"/>
      <c r="X1826" s="87"/>
      <c r="Y1826" s="87"/>
      <c r="Z1826" s="87"/>
      <c r="AA1826" s="87"/>
      <c r="AB1826" s="87"/>
      <c r="AC1826" s="87"/>
      <c r="AD1826" s="87"/>
      <c r="AE1826" s="87"/>
      <c r="AF1826" s="87"/>
      <c r="AG1826" s="87"/>
      <c r="AH1826" s="87">
        <v>6</v>
      </c>
      <c r="AI1826" s="87"/>
      <c r="AJ1826" s="87"/>
      <c r="AK1826" s="87"/>
      <c r="AL1826" s="87"/>
      <c r="AM1826" s="87"/>
      <c r="AN1826" s="87"/>
      <c r="AO1826" s="87">
        <v>6</v>
      </c>
      <c r="AP1826" s="87"/>
      <c r="AQ1826" s="87"/>
      <c r="AR1826" s="87"/>
      <c r="AS1826" s="87"/>
      <c r="AT1826" s="87"/>
      <c r="AU1826" s="87"/>
      <c r="AV1826" s="87"/>
      <c r="AW1826" s="88" t="str">
        <f>HYPERLINK("http://www.openstreetmap.org/?mlat=32.072&amp;mlon=44.3944&amp;zoom=12#map=12/32.072/44.3944","Maplink1")</f>
        <v>Maplink1</v>
      </c>
      <c r="AX1826" s="88" t="str">
        <f>HYPERLINK("https://www.google.iq/maps/search/+32.072,44.3944/@32.072,44.3944,14z?hl=en","Maplink2")</f>
        <v>Maplink2</v>
      </c>
      <c r="AY1826" s="88" t="str">
        <f>HYPERLINK("http://www.bing.com/maps/?lvl=14&amp;sty=h&amp;cp=32.072~44.3944&amp;sp=point.32.072_44.3944","Maplink3")</f>
        <v>Maplink3</v>
      </c>
      <c r="AZ1826" s="76"/>
    </row>
    <row r="1827" spans="1:52" x14ac:dyDescent="0.25">
      <c r="A1827" s="86">
        <v>23485</v>
      </c>
      <c r="B1827" s="87" t="s">
        <v>23</v>
      </c>
      <c r="C1827" s="87" t="s">
        <v>3503</v>
      </c>
      <c r="D1827" s="87" t="s">
        <v>3524</v>
      </c>
      <c r="E1827" s="87" t="s">
        <v>3525</v>
      </c>
      <c r="F1827" s="87">
        <v>32.029177031400003</v>
      </c>
      <c r="G1827" s="87">
        <v>44.418239424799999</v>
      </c>
      <c r="H1827" s="86">
        <v>6</v>
      </c>
      <c r="I1827" s="86">
        <v>36</v>
      </c>
      <c r="J1827" s="87"/>
      <c r="K1827" s="87"/>
      <c r="L1827" s="87"/>
      <c r="M1827" s="87"/>
      <c r="N1827" s="87"/>
      <c r="O1827" s="87"/>
      <c r="P1827" s="87"/>
      <c r="Q1827" s="87"/>
      <c r="R1827" s="87"/>
      <c r="S1827" s="87"/>
      <c r="T1827" s="87"/>
      <c r="U1827" s="87"/>
      <c r="V1827" s="87">
        <v>6</v>
      </c>
      <c r="W1827" s="87"/>
      <c r="X1827" s="87"/>
      <c r="Y1827" s="87"/>
      <c r="Z1827" s="87"/>
      <c r="AA1827" s="87"/>
      <c r="AB1827" s="87"/>
      <c r="AC1827" s="87"/>
      <c r="AD1827" s="87"/>
      <c r="AE1827" s="87"/>
      <c r="AF1827" s="87"/>
      <c r="AG1827" s="87"/>
      <c r="AH1827" s="87">
        <v>6</v>
      </c>
      <c r="AI1827" s="87"/>
      <c r="AJ1827" s="87"/>
      <c r="AK1827" s="87"/>
      <c r="AL1827" s="87"/>
      <c r="AM1827" s="87"/>
      <c r="AN1827" s="87"/>
      <c r="AO1827" s="87">
        <v>6</v>
      </c>
      <c r="AP1827" s="87"/>
      <c r="AQ1827" s="87"/>
      <c r="AR1827" s="87"/>
      <c r="AS1827" s="87"/>
      <c r="AT1827" s="87"/>
      <c r="AU1827" s="87"/>
      <c r="AV1827" s="87"/>
      <c r="AW1827" s="88" t="str">
        <f>HYPERLINK("http://www.openstreetmap.org/?mlat=32.0292&amp;mlon=44.4182&amp;zoom=12#map=12/32.0292/44.4182","Maplink1")</f>
        <v>Maplink1</v>
      </c>
      <c r="AX1827" s="88" t="str">
        <f>HYPERLINK("https://www.google.iq/maps/search/+32.0292,44.4182/@32.0292,44.4182,14z?hl=en","Maplink2")</f>
        <v>Maplink2</v>
      </c>
      <c r="AY1827" s="88" t="str">
        <f>HYPERLINK("http://www.bing.com/maps/?lvl=14&amp;sty=h&amp;cp=32.0292~44.4182&amp;sp=point.32.0292_44.4182","Maplink3")</f>
        <v>Maplink3</v>
      </c>
      <c r="AZ1827" s="76"/>
    </row>
    <row r="1828" spans="1:52" x14ac:dyDescent="0.25">
      <c r="A1828" s="86">
        <v>24311</v>
      </c>
      <c r="B1828" s="87" t="s">
        <v>23</v>
      </c>
      <c r="C1828" s="87" t="s">
        <v>3503</v>
      </c>
      <c r="D1828" s="87" t="s">
        <v>3526</v>
      </c>
      <c r="E1828" s="87" t="s">
        <v>3527</v>
      </c>
      <c r="F1828" s="87">
        <v>32.0781163674</v>
      </c>
      <c r="G1828" s="87">
        <v>44.3717020271</v>
      </c>
      <c r="H1828" s="86">
        <v>99</v>
      </c>
      <c r="I1828" s="86">
        <v>594</v>
      </c>
      <c r="J1828" s="87"/>
      <c r="K1828" s="87"/>
      <c r="L1828" s="87"/>
      <c r="M1828" s="87"/>
      <c r="N1828" s="87"/>
      <c r="O1828" s="87"/>
      <c r="P1828" s="87"/>
      <c r="Q1828" s="87"/>
      <c r="R1828" s="87"/>
      <c r="S1828" s="87"/>
      <c r="T1828" s="87"/>
      <c r="U1828" s="87"/>
      <c r="V1828" s="87">
        <v>99</v>
      </c>
      <c r="W1828" s="87"/>
      <c r="X1828" s="87"/>
      <c r="Y1828" s="87"/>
      <c r="Z1828" s="87"/>
      <c r="AA1828" s="87"/>
      <c r="AB1828" s="87"/>
      <c r="AC1828" s="87"/>
      <c r="AD1828" s="87"/>
      <c r="AE1828" s="87"/>
      <c r="AF1828" s="87"/>
      <c r="AG1828" s="87"/>
      <c r="AH1828" s="87">
        <v>99</v>
      </c>
      <c r="AI1828" s="87"/>
      <c r="AJ1828" s="87"/>
      <c r="AK1828" s="87"/>
      <c r="AL1828" s="87"/>
      <c r="AM1828" s="87"/>
      <c r="AN1828" s="87"/>
      <c r="AO1828" s="87"/>
      <c r="AP1828" s="87"/>
      <c r="AQ1828" s="87">
        <v>99</v>
      </c>
      <c r="AR1828" s="87"/>
      <c r="AS1828" s="87"/>
      <c r="AT1828" s="87"/>
      <c r="AU1828" s="87"/>
      <c r="AV1828" s="87"/>
      <c r="AW1828" s="88" t="str">
        <f>HYPERLINK("http://www.openstreetmap.org/?mlat=32.0781&amp;mlon=44.3717&amp;zoom=12#map=12/32.0781/44.3717","Maplink1")</f>
        <v>Maplink1</v>
      </c>
      <c r="AX1828" s="88" t="str">
        <f>HYPERLINK("https://www.google.iq/maps/search/+32.0781,44.3717/@32.0781,44.3717,14z?hl=en","Maplink2")</f>
        <v>Maplink2</v>
      </c>
      <c r="AY1828" s="88" t="str">
        <f>HYPERLINK("http://www.bing.com/maps/?lvl=14&amp;sty=h&amp;cp=32.0781~44.3717&amp;sp=point.32.0781_44.3717","Maplink3")</f>
        <v>Maplink3</v>
      </c>
      <c r="AZ1828" s="76"/>
    </row>
    <row r="1829" spans="1:52" x14ac:dyDescent="0.25">
      <c r="A1829" s="86">
        <v>20041</v>
      </c>
      <c r="B1829" s="87" t="s">
        <v>23</v>
      </c>
      <c r="C1829" s="87" t="s">
        <v>3503</v>
      </c>
      <c r="D1829" s="87" t="s">
        <v>3528</v>
      </c>
      <c r="E1829" s="87" t="s">
        <v>3529</v>
      </c>
      <c r="F1829" s="87">
        <v>32.030053772499997</v>
      </c>
      <c r="G1829" s="87">
        <v>44.407286767400002</v>
      </c>
      <c r="H1829" s="86">
        <v>3</v>
      </c>
      <c r="I1829" s="86">
        <v>18</v>
      </c>
      <c r="J1829" s="87"/>
      <c r="K1829" s="87"/>
      <c r="L1829" s="87"/>
      <c r="M1829" s="87"/>
      <c r="N1829" s="87"/>
      <c r="O1829" s="87"/>
      <c r="P1829" s="87"/>
      <c r="Q1829" s="87"/>
      <c r="R1829" s="87"/>
      <c r="S1829" s="87"/>
      <c r="T1829" s="87"/>
      <c r="U1829" s="87"/>
      <c r="V1829" s="87">
        <v>3</v>
      </c>
      <c r="W1829" s="87"/>
      <c r="X1829" s="87"/>
      <c r="Y1829" s="87"/>
      <c r="Z1829" s="87"/>
      <c r="AA1829" s="87"/>
      <c r="AB1829" s="87"/>
      <c r="AC1829" s="87"/>
      <c r="AD1829" s="87"/>
      <c r="AE1829" s="87"/>
      <c r="AF1829" s="87"/>
      <c r="AG1829" s="87"/>
      <c r="AH1829" s="87">
        <v>3</v>
      </c>
      <c r="AI1829" s="87"/>
      <c r="AJ1829" s="87"/>
      <c r="AK1829" s="87"/>
      <c r="AL1829" s="87"/>
      <c r="AM1829" s="87"/>
      <c r="AN1829" s="87"/>
      <c r="AO1829" s="87"/>
      <c r="AP1829" s="87">
        <v>3</v>
      </c>
      <c r="AQ1829" s="87"/>
      <c r="AR1829" s="87"/>
      <c r="AS1829" s="87"/>
      <c r="AT1829" s="87"/>
      <c r="AU1829" s="87"/>
      <c r="AV1829" s="87"/>
      <c r="AW1829" s="88" t="str">
        <f>HYPERLINK("http://www.openstreetmap.org/?mlat=32.0301&amp;mlon=44.4073&amp;zoom=12#map=12/32.0301/44.4073","Maplink1")</f>
        <v>Maplink1</v>
      </c>
      <c r="AX1829" s="88" t="str">
        <f>HYPERLINK("https://www.google.iq/maps/search/+32.0301,44.4073/@32.0301,44.4073,14z?hl=en","Maplink2")</f>
        <v>Maplink2</v>
      </c>
      <c r="AY1829" s="88" t="str">
        <f>HYPERLINK("http://www.bing.com/maps/?lvl=14&amp;sty=h&amp;cp=32.0301~44.4073&amp;sp=point.32.0301_44.4073","Maplink3")</f>
        <v>Maplink3</v>
      </c>
      <c r="AZ1829" s="76"/>
    </row>
    <row r="1830" spans="1:52" x14ac:dyDescent="0.25">
      <c r="A1830" s="86">
        <v>33157</v>
      </c>
      <c r="B1830" s="87" t="s">
        <v>23</v>
      </c>
      <c r="C1830" s="87" t="s">
        <v>3503</v>
      </c>
      <c r="D1830" s="87" t="s">
        <v>3530</v>
      </c>
      <c r="E1830" s="87" t="s">
        <v>3531</v>
      </c>
      <c r="F1830" s="87">
        <v>32.049741551899999</v>
      </c>
      <c r="G1830" s="87">
        <v>44.366712577100003</v>
      </c>
      <c r="H1830" s="86">
        <v>5</v>
      </c>
      <c r="I1830" s="86">
        <v>30</v>
      </c>
      <c r="J1830" s="87"/>
      <c r="K1830" s="87"/>
      <c r="L1830" s="87"/>
      <c r="M1830" s="87"/>
      <c r="N1830" s="87"/>
      <c r="O1830" s="87"/>
      <c r="P1830" s="87"/>
      <c r="Q1830" s="87"/>
      <c r="R1830" s="87"/>
      <c r="S1830" s="87"/>
      <c r="T1830" s="87"/>
      <c r="U1830" s="87"/>
      <c r="V1830" s="87">
        <v>5</v>
      </c>
      <c r="W1830" s="87"/>
      <c r="X1830" s="87"/>
      <c r="Y1830" s="87"/>
      <c r="Z1830" s="87"/>
      <c r="AA1830" s="87"/>
      <c r="AB1830" s="87"/>
      <c r="AC1830" s="87"/>
      <c r="AD1830" s="87"/>
      <c r="AE1830" s="87"/>
      <c r="AF1830" s="87"/>
      <c r="AG1830" s="87"/>
      <c r="AH1830" s="87">
        <v>5</v>
      </c>
      <c r="AI1830" s="87"/>
      <c r="AJ1830" s="87"/>
      <c r="AK1830" s="87"/>
      <c r="AL1830" s="87"/>
      <c r="AM1830" s="87"/>
      <c r="AN1830" s="87"/>
      <c r="AO1830" s="87"/>
      <c r="AP1830" s="87"/>
      <c r="AQ1830" s="87">
        <v>5</v>
      </c>
      <c r="AR1830" s="87"/>
      <c r="AS1830" s="87"/>
      <c r="AT1830" s="87"/>
      <c r="AU1830" s="87"/>
      <c r="AV1830" s="87"/>
      <c r="AW1830" s="88" t="str">
        <f>HYPERLINK("http://www.openstreetmap.org/?mlat=32.0497&amp;mlon=44.3667&amp;zoom=12#map=12/32.0497/44.3667","Maplink1")</f>
        <v>Maplink1</v>
      </c>
      <c r="AX1830" s="88" t="str">
        <f>HYPERLINK("https://www.google.iq/maps/search/+32.0497,44.3667/@32.0497,44.3667,14z?hl=en","Maplink2")</f>
        <v>Maplink2</v>
      </c>
      <c r="AY1830" s="88" t="str">
        <f>HYPERLINK("http://www.bing.com/maps/?lvl=14&amp;sty=h&amp;cp=32.0497~44.3667&amp;sp=point.32.0497_44.3667","Maplink3")</f>
        <v>Maplink3</v>
      </c>
      <c r="AZ1830" s="76"/>
    </row>
    <row r="1831" spans="1:52" x14ac:dyDescent="0.25">
      <c r="A1831" s="86">
        <v>33155</v>
      </c>
      <c r="B1831" s="87" t="s">
        <v>23</v>
      </c>
      <c r="C1831" s="87" t="s">
        <v>3503</v>
      </c>
      <c r="D1831" s="87" t="s">
        <v>3532</v>
      </c>
      <c r="E1831" s="87" t="s">
        <v>3533</v>
      </c>
      <c r="F1831" s="87">
        <v>32.048532386600002</v>
      </c>
      <c r="G1831" s="87">
        <v>44.362894673900001</v>
      </c>
      <c r="H1831" s="86">
        <v>3</v>
      </c>
      <c r="I1831" s="86">
        <v>18</v>
      </c>
      <c r="J1831" s="87"/>
      <c r="K1831" s="87"/>
      <c r="L1831" s="87"/>
      <c r="M1831" s="87"/>
      <c r="N1831" s="87"/>
      <c r="O1831" s="87"/>
      <c r="P1831" s="87"/>
      <c r="Q1831" s="87"/>
      <c r="R1831" s="87"/>
      <c r="S1831" s="87"/>
      <c r="T1831" s="87"/>
      <c r="U1831" s="87"/>
      <c r="V1831" s="87">
        <v>3</v>
      </c>
      <c r="W1831" s="87"/>
      <c r="X1831" s="87"/>
      <c r="Y1831" s="87"/>
      <c r="Z1831" s="87"/>
      <c r="AA1831" s="87"/>
      <c r="AB1831" s="87"/>
      <c r="AC1831" s="87"/>
      <c r="AD1831" s="87"/>
      <c r="AE1831" s="87"/>
      <c r="AF1831" s="87"/>
      <c r="AG1831" s="87"/>
      <c r="AH1831" s="87">
        <v>3</v>
      </c>
      <c r="AI1831" s="87"/>
      <c r="AJ1831" s="87"/>
      <c r="AK1831" s="87"/>
      <c r="AL1831" s="87"/>
      <c r="AM1831" s="87"/>
      <c r="AN1831" s="87"/>
      <c r="AO1831" s="87">
        <v>3</v>
      </c>
      <c r="AP1831" s="87"/>
      <c r="AQ1831" s="87"/>
      <c r="AR1831" s="87"/>
      <c r="AS1831" s="87"/>
      <c r="AT1831" s="87"/>
      <c r="AU1831" s="87"/>
      <c r="AV1831" s="87"/>
      <c r="AW1831" s="88" t="str">
        <f>HYPERLINK("http://www.openstreetmap.org/?mlat=32.0485&amp;mlon=44.3629&amp;zoom=12#map=12/32.0485/44.3629","Maplink1")</f>
        <v>Maplink1</v>
      </c>
      <c r="AX1831" s="88" t="str">
        <f>HYPERLINK("https://www.google.iq/maps/search/+32.0485,44.3629/@32.0485,44.3629,14z?hl=en","Maplink2")</f>
        <v>Maplink2</v>
      </c>
      <c r="AY1831" s="88" t="str">
        <f>HYPERLINK("http://www.bing.com/maps/?lvl=14&amp;sty=h&amp;cp=32.0485~44.3629&amp;sp=point.32.0485_44.3629","Maplink3")</f>
        <v>Maplink3</v>
      </c>
      <c r="AZ1831" s="76"/>
    </row>
    <row r="1832" spans="1:52" x14ac:dyDescent="0.25">
      <c r="A1832" s="86">
        <v>33158</v>
      </c>
      <c r="B1832" s="87" t="s">
        <v>23</v>
      </c>
      <c r="C1832" s="87" t="s">
        <v>3503</v>
      </c>
      <c r="D1832" s="87" t="s">
        <v>3534</v>
      </c>
      <c r="E1832" s="87" t="s">
        <v>3535</v>
      </c>
      <c r="F1832" s="87">
        <v>32.051394577400004</v>
      </c>
      <c r="G1832" s="87">
        <v>44.360241855799998</v>
      </c>
      <c r="H1832" s="86">
        <v>3</v>
      </c>
      <c r="I1832" s="86">
        <v>18</v>
      </c>
      <c r="J1832" s="87"/>
      <c r="K1832" s="87"/>
      <c r="L1832" s="87"/>
      <c r="M1832" s="87"/>
      <c r="N1832" s="87"/>
      <c r="O1832" s="87"/>
      <c r="P1832" s="87"/>
      <c r="Q1832" s="87"/>
      <c r="R1832" s="87"/>
      <c r="S1832" s="87"/>
      <c r="T1832" s="87"/>
      <c r="U1832" s="87"/>
      <c r="V1832" s="87">
        <v>3</v>
      </c>
      <c r="W1832" s="87"/>
      <c r="X1832" s="87"/>
      <c r="Y1832" s="87"/>
      <c r="Z1832" s="87"/>
      <c r="AA1832" s="87"/>
      <c r="AB1832" s="87"/>
      <c r="AC1832" s="87"/>
      <c r="AD1832" s="87"/>
      <c r="AE1832" s="87"/>
      <c r="AF1832" s="87"/>
      <c r="AG1832" s="87"/>
      <c r="AH1832" s="87">
        <v>3</v>
      </c>
      <c r="AI1832" s="87"/>
      <c r="AJ1832" s="87"/>
      <c r="AK1832" s="87"/>
      <c r="AL1832" s="87"/>
      <c r="AM1832" s="87"/>
      <c r="AN1832" s="87"/>
      <c r="AO1832" s="87">
        <v>3</v>
      </c>
      <c r="AP1832" s="87"/>
      <c r="AQ1832" s="87"/>
      <c r="AR1832" s="87"/>
      <c r="AS1832" s="87"/>
      <c r="AT1832" s="87"/>
      <c r="AU1832" s="87"/>
      <c r="AV1832" s="87"/>
      <c r="AW1832" s="88" t="str">
        <f>HYPERLINK("http://www.openstreetmap.org/?mlat=32.0514&amp;mlon=44.3602&amp;zoom=12#map=12/32.0514/44.3602","Maplink1")</f>
        <v>Maplink1</v>
      </c>
      <c r="AX1832" s="88" t="str">
        <f>HYPERLINK("https://www.google.iq/maps/search/+32.0514,44.3602/@32.0514,44.3602,14z?hl=en","Maplink2")</f>
        <v>Maplink2</v>
      </c>
      <c r="AY1832" s="88" t="str">
        <f>HYPERLINK("http://www.bing.com/maps/?lvl=14&amp;sty=h&amp;cp=32.0514~44.3602&amp;sp=point.32.0514_44.3602","Maplink3")</f>
        <v>Maplink3</v>
      </c>
      <c r="AZ1832" s="76"/>
    </row>
    <row r="1833" spans="1:52" x14ac:dyDescent="0.25">
      <c r="A1833" s="86">
        <v>20122</v>
      </c>
      <c r="B1833" s="87" t="s">
        <v>23</v>
      </c>
      <c r="C1833" s="87" t="s">
        <v>3503</v>
      </c>
      <c r="D1833" s="87" t="s">
        <v>3536</v>
      </c>
      <c r="E1833" s="87" t="s">
        <v>3537</v>
      </c>
      <c r="F1833" s="87">
        <v>32.064424130799999</v>
      </c>
      <c r="G1833" s="87">
        <v>44.3622919572</v>
      </c>
      <c r="H1833" s="86">
        <v>60</v>
      </c>
      <c r="I1833" s="86">
        <v>360</v>
      </c>
      <c r="J1833" s="87"/>
      <c r="K1833" s="87"/>
      <c r="L1833" s="87"/>
      <c r="M1833" s="87"/>
      <c r="N1833" s="87"/>
      <c r="O1833" s="87"/>
      <c r="P1833" s="87"/>
      <c r="Q1833" s="87"/>
      <c r="R1833" s="87"/>
      <c r="S1833" s="87"/>
      <c r="T1833" s="87"/>
      <c r="U1833" s="87"/>
      <c r="V1833" s="87">
        <v>60</v>
      </c>
      <c r="W1833" s="87"/>
      <c r="X1833" s="87"/>
      <c r="Y1833" s="87"/>
      <c r="Z1833" s="87"/>
      <c r="AA1833" s="87"/>
      <c r="AB1833" s="87"/>
      <c r="AC1833" s="87"/>
      <c r="AD1833" s="87"/>
      <c r="AE1833" s="87"/>
      <c r="AF1833" s="87"/>
      <c r="AG1833" s="87"/>
      <c r="AH1833" s="87">
        <v>60</v>
      </c>
      <c r="AI1833" s="87"/>
      <c r="AJ1833" s="87"/>
      <c r="AK1833" s="87"/>
      <c r="AL1833" s="87"/>
      <c r="AM1833" s="87"/>
      <c r="AN1833" s="87"/>
      <c r="AO1833" s="87"/>
      <c r="AP1833" s="87">
        <v>60</v>
      </c>
      <c r="AQ1833" s="87"/>
      <c r="AR1833" s="87"/>
      <c r="AS1833" s="87"/>
      <c r="AT1833" s="87"/>
      <c r="AU1833" s="87"/>
      <c r="AV1833" s="87"/>
      <c r="AW1833" s="88" t="str">
        <f>HYPERLINK("http://www.openstreetmap.org/?mlat=32.0644&amp;mlon=44.3623&amp;zoom=12#map=12/32.0644/44.3623","Maplink1")</f>
        <v>Maplink1</v>
      </c>
      <c r="AX1833" s="88" t="str">
        <f>HYPERLINK("https://www.google.iq/maps/search/+32.0644,44.3623/@32.0644,44.3623,14z?hl=en","Maplink2")</f>
        <v>Maplink2</v>
      </c>
      <c r="AY1833" s="88" t="str">
        <f>HYPERLINK("http://www.bing.com/maps/?lvl=14&amp;sty=h&amp;cp=32.0644~44.3623&amp;sp=point.32.0644_44.3623","Maplink3")</f>
        <v>Maplink3</v>
      </c>
      <c r="AZ1833" s="76"/>
    </row>
    <row r="1834" spans="1:52" x14ac:dyDescent="0.25">
      <c r="A1834" s="86">
        <v>20130</v>
      </c>
      <c r="B1834" s="87" t="s">
        <v>23</v>
      </c>
      <c r="C1834" s="87" t="s">
        <v>3503</v>
      </c>
      <c r="D1834" s="87" t="s">
        <v>3538</v>
      </c>
      <c r="E1834" s="87" t="s">
        <v>3539</v>
      </c>
      <c r="F1834" s="87">
        <v>32.049574135999997</v>
      </c>
      <c r="G1834" s="87">
        <v>44.365365388400001</v>
      </c>
      <c r="H1834" s="86">
        <v>3</v>
      </c>
      <c r="I1834" s="86">
        <v>18</v>
      </c>
      <c r="J1834" s="87"/>
      <c r="K1834" s="87"/>
      <c r="L1834" s="87"/>
      <c r="M1834" s="87"/>
      <c r="N1834" s="87"/>
      <c r="O1834" s="87"/>
      <c r="P1834" s="87"/>
      <c r="Q1834" s="87"/>
      <c r="R1834" s="87"/>
      <c r="S1834" s="87"/>
      <c r="T1834" s="87"/>
      <c r="U1834" s="87"/>
      <c r="V1834" s="87">
        <v>3</v>
      </c>
      <c r="W1834" s="87"/>
      <c r="X1834" s="87"/>
      <c r="Y1834" s="87"/>
      <c r="Z1834" s="87"/>
      <c r="AA1834" s="87"/>
      <c r="AB1834" s="87"/>
      <c r="AC1834" s="87"/>
      <c r="AD1834" s="87"/>
      <c r="AE1834" s="87"/>
      <c r="AF1834" s="87"/>
      <c r="AG1834" s="87"/>
      <c r="AH1834" s="87">
        <v>3</v>
      </c>
      <c r="AI1834" s="87"/>
      <c r="AJ1834" s="87"/>
      <c r="AK1834" s="87"/>
      <c r="AL1834" s="87"/>
      <c r="AM1834" s="87"/>
      <c r="AN1834" s="87"/>
      <c r="AO1834" s="87"/>
      <c r="AP1834" s="87">
        <v>3</v>
      </c>
      <c r="AQ1834" s="87"/>
      <c r="AR1834" s="87"/>
      <c r="AS1834" s="87"/>
      <c r="AT1834" s="87"/>
      <c r="AU1834" s="87"/>
      <c r="AV1834" s="87"/>
      <c r="AW1834" s="88" t="str">
        <f>HYPERLINK("http://www.openstreetmap.org/?mlat=32.0496&amp;mlon=44.3654&amp;zoom=12#map=12/32.0496/44.3654","Maplink1")</f>
        <v>Maplink1</v>
      </c>
      <c r="AX1834" s="88" t="str">
        <f>HYPERLINK("https://www.google.iq/maps/search/+32.0496,44.3654/@32.0496,44.3654,14z?hl=en","Maplink2")</f>
        <v>Maplink2</v>
      </c>
      <c r="AY1834" s="88" t="str">
        <f>HYPERLINK("http://www.bing.com/maps/?lvl=14&amp;sty=h&amp;cp=32.0496~44.3654&amp;sp=point.32.0496_44.3654","Maplink3")</f>
        <v>Maplink3</v>
      </c>
      <c r="AZ1834" s="76"/>
    </row>
    <row r="1835" spans="1:52" x14ac:dyDescent="0.25">
      <c r="A1835" s="86">
        <v>20132</v>
      </c>
      <c r="B1835" s="87" t="s">
        <v>23</v>
      </c>
      <c r="C1835" s="87" t="s">
        <v>3503</v>
      </c>
      <c r="D1835" s="87" t="s">
        <v>3540</v>
      </c>
      <c r="E1835" s="87" t="s">
        <v>3541</v>
      </c>
      <c r="F1835" s="87">
        <v>32.058342274700003</v>
      </c>
      <c r="G1835" s="87">
        <v>44.3551152434</v>
      </c>
      <c r="H1835" s="86">
        <v>3</v>
      </c>
      <c r="I1835" s="86">
        <v>18</v>
      </c>
      <c r="J1835" s="87"/>
      <c r="K1835" s="87"/>
      <c r="L1835" s="87"/>
      <c r="M1835" s="87"/>
      <c r="N1835" s="87"/>
      <c r="O1835" s="87"/>
      <c r="P1835" s="87"/>
      <c r="Q1835" s="87"/>
      <c r="R1835" s="87"/>
      <c r="S1835" s="87"/>
      <c r="T1835" s="87"/>
      <c r="U1835" s="87"/>
      <c r="V1835" s="87">
        <v>3</v>
      </c>
      <c r="W1835" s="87"/>
      <c r="X1835" s="87"/>
      <c r="Y1835" s="87"/>
      <c r="Z1835" s="87"/>
      <c r="AA1835" s="87"/>
      <c r="AB1835" s="87"/>
      <c r="AC1835" s="87"/>
      <c r="AD1835" s="87"/>
      <c r="AE1835" s="87"/>
      <c r="AF1835" s="87"/>
      <c r="AG1835" s="87"/>
      <c r="AH1835" s="87">
        <v>3</v>
      </c>
      <c r="AI1835" s="87"/>
      <c r="AJ1835" s="87"/>
      <c r="AK1835" s="87"/>
      <c r="AL1835" s="87"/>
      <c r="AM1835" s="87"/>
      <c r="AN1835" s="87"/>
      <c r="AO1835" s="87"/>
      <c r="AP1835" s="87">
        <v>3</v>
      </c>
      <c r="AQ1835" s="87"/>
      <c r="AR1835" s="87"/>
      <c r="AS1835" s="87"/>
      <c r="AT1835" s="87"/>
      <c r="AU1835" s="87"/>
      <c r="AV1835" s="87"/>
      <c r="AW1835" s="88" t="str">
        <f>HYPERLINK("http://www.openstreetmap.org/?mlat=32.0583&amp;mlon=44.3551&amp;zoom=12#map=12/32.0583/44.3551","Maplink1")</f>
        <v>Maplink1</v>
      </c>
      <c r="AX1835" s="88" t="str">
        <f>HYPERLINK("https://www.google.iq/maps/search/+32.0583,44.3551/@32.0583,44.3551,14z?hl=en","Maplink2")</f>
        <v>Maplink2</v>
      </c>
      <c r="AY1835" s="88" t="str">
        <f>HYPERLINK("http://www.bing.com/maps/?lvl=14&amp;sty=h&amp;cp=32.0583~44.3551&amp;sp=point.32.0583_44.3551","Maplink3")</f>
        <v>Maplink3</v>
      </c>
      <c r="AZ1835" s="76"/>
    </row>
    <row r="1836" spans="1:52" x14ac:dyDescent="0.25">
      <c r="A1836" s="86">
        <v>20161</v>
      </c>
      <c r="B1836" s="87" t="s">
        <v>23</v>
      </c>
      <c r="C1836" s="87" t="s">
        <v>3503</v>
      </c>
      <c r="D1836" s="87" t="s">
        <v>3542</v>
      </c>
      <c r="E1836" s="87" t="s">
        <v>3543</v>
      </c>
      <c r="F1836" s="87">
        <v>32.061731372200001</v>
      </c>
      <c r="G1836" s="87">
        <v>44.360808537499999</v>
      </c>
      <c r="H1836" s="86">
        <v>5</v>
      </c>
      <c r="I1836" s="86">
        <v>30</v>
      </c>
      <c r="J1836" s="87"/>
      <c r="K1836" s="87"/>
      <c r="L1836" s="87"/>
      <c r="M1836" s="87"/>
      <c r="N1836" s="87"/>
      <c r="O1836" s="87"/>
      <c r="P1836" s="87"/>
      <c r="Q1836" s="87"/>
      <c r="R1836" s="87"/>
      <c r="S1836" s="87"/>
      <c r="T1836" s="87"/>
      <c r="U1836" s="87"/>
      <c r="V1836" s="87">
        <v>5</v>
      </c>
      <c r="W1836" s="87"/>
      <c r="X1836" s="87"/>
      <c r="Y1836" s="87"/>
      <c r="Z1836" s="87"/>
      <c r="AA1836" s="87"/>
      <c r="AB1836" s="87"/>
      <c r="AC1836" s="87"/>
      <c r="AD1836" s="87"/>
      <c r="AE1836" s="87"/>
      <c r="AF1836" s="87"/>
      <c r="AG1836" s="87"/>
      <c r="AH1836" s="87">
        <v>5</v>
      </c>
      <c r="AI1836" s="87"/>
      <c r="AJ1836" s="87"/>
      <c r="AK1836" s="87"/>
      <c r="AL1836" s="87"/>
      <c r="AM1836" s="87"/>
      <c r="AN1836" s="87"/>
      <c r="AO1836" s="87">
        <v>5</v>
      </c>
      <c r="AP1836" s="87"/>
      <c r="AQ1836" s="87"/>
      <c r="AR1836" s="87"/>
      <c r="AS1836" s="87"/>
      <c r="AT1836" s="87"/>
      <c r="AU1836" s="87"/>
      <c r="AV1836" s="87"/>
      <c r="AW1836" s="88" t="str">
        <f>HYPERLINK("http://www.openstreetmap.org/?mlat=32.0617&amp;mlon=44.3608&amp;zoom=12#map=12/32.0617/44.3608","Maplink1")</f>
        <v>Maplink1</v>
      </c>
      <c r="AX1836" s="88" t="str">
        <f>HYPERLINK("https://www.google.iq/maps/search/+32.0617,44.3608/@32.0617,44.3608,14z?hl=en","Maplink2")</f>
        <v>Maplink2</v>
      </c>
      <c r="AY1836" s="88" t="str">
        <f>HYPERLINK("http://www.bing.com/maps/?lvl=14&amp;sty=h&amp;cp=32.0617~44.3608&amp;sp=point.32.0617_44.3608","Maplink3")</f>
        <v>Maplink3</v>
      </c>
      <c r="AZ1836" s="76"/>
    </row>
    <row r="1837" spans="1:52" x14ac:dyDescent="0.25">
      <c r="A1837" s="86">
        <v>20276</v>
      </c>
      <c r="B1837" s="87" t="s">
        <v>23</v>
      </c>
      <c r="C1837" s="87" t="s">
        <v>3503</v>
      </c>
      <c r="D1837" s="87" t="s">
        <v>3544</v>
      </c>
      <c r="E1837" s="87" t="s">
        <v>3545</v>
      </c>
      <c r="F1837" s="87">
        <v>32.055963615099998</v>
      </c>
      <c r="G1837" s="87">
        <v>44.363985467200003</v>
      </c>
      <c r="H1837" s="86">
        <v>6</v>
      </c>
      <c r="I1837" s="86">
        <v>36</v>
      </c>
      <c r="J1837" s="87"/>
      <c r="K1837" s="87"/>
      <c r="L1837" s="87"/>
      <c r="M1837" s="87"/>
      <c r="N1837" s="87"/>
      <c r="O1837" s="87"/>
      <c r="P1837" s="87"/>
      <c r="Q1837" s="87"/>
      <c r="R1837" s="87"/>
      <c r="S1837" s="87"/>
      <c r="T1837" s="87"/>
      <c r="U1837" s="87"/>
      <c r="V1837" s="87">
        <v>6</v>
      </c>
      <c r="W1837" s="87"/>
      <c r="X1837" s="87"/>
      <c r="Y1837" s="87"/>
      <c r="Z1837" s="87"/>
      <c r="AA1837" s="87"/>
      <c r="AB1837" s="87"/>
      <c r="AC1837" s="87"/>
      <c r="AD1837" s="87"/>
      <c r="AE1837" s="87"/>
      <c r="AF1837" s="87"/>
      <c r="AG1837" s="87"/>
      <c r="AH1837" s="87">
        <v>6</v>
      </c>
      <c r="AI1837" s="87"/>
      <c r="AJ1837" s="87"/>
      <c r="AK1837" s="87"/>
      <c r="AL1837" s="87"/>
      <c r="AM1837" s="87"/>
      <c r="AN1837" s="87"/>
      <c r="AO1837" s="87"/>
      <c r="AP1837" s="87">
        <v>6</v>
      </c>
      <c r="AQ1837" s="87"/>
      <c r="AR1837" s="87"/>
      <c r="AS1837" s="87"/>
      <c r="AT1837" s="87"/>
      <c r="AU1837" s="87"/>
      <c r="AV1837" s="87"/>
      <c r="AW1837" s="88" t="str">
        <f>HYPERLINK("http://www.openstreetmap.org/?mlat=32.056&amp;mlon=44.364&amp;zoom=12#map=12/32.056/44.364","Maplink1")</f>
        <v>Maplink1</v>
      </c>
      <c r="AX1837" s="88" t="str">
        <f>HYPERLINK("https://www.google.iq/maps/search/+32.056,44.364/@32.056,44.364,14z?hl=en","Maplink2")</f>
        <v>Maplink2</v>
      </c>
      <c r="AY1837" s="88" t="str">
        <f>HYPERLINK("http://www.bing.com/maps/?lvl=14&amp;sty=h&amp;cp=32.056~44.364&amp;sp=point.32.056_44.364","Maplink3")</f>
        <v>Maplink3</v>
      </c>
      <c r="AZ1837" s="76"/>
    </row>
    <row r="1838" spans="1:52" x14ac:dyDescent="0.25">
      <c r="A1838" s="86">
        <v>20148</v>
      </c>
      <c r="B1838" s="87" t="s">
        <v>23</v>
      </c>
      <c r="C1838" s="87" t="s">
        <v>3503</v>
      </c>
      <c r="D1838" s="87" t="s">
        <v>3546</v>
      </c>
      <c r="E1838" s="87" t="s">
        <v>3547</v>
      </c>
      <c r="F1838" s="87">
        <v>32.046302056999998</v>
      </c>
      <c r="G1838" s="87">
        <v>44.365965247399998</v>
      </c>
      <c r="H1838" s="86">
        <v>6</v>
      </c>
      <c r="I1838" s="86">
        <v>36</v>
      </c>
      <c r="J1838" s="87"/>
      <c r="K1838" s="87"/>
      <c r="L1838" s="87"/>
      <c r="M1838" s="87"/>
      <c r="N1838" s="87"/>
      <c r="O1838" s="87"/>
      <c r="P1838" s="87"/>
      <c r="Q1838" s="87"/>
      <c r="R1838" s="87"/>
      <c r="S1838" s="87"/>
      <c r="T1838" s="87"/>
      <c r="U1838" s="87"/>
      <c r="V1838" s="87">
        <v>6</v>
      </c>
      <c r="W1838" s="87"/>
      <c r="X1838" s="87"/>
      <c r="Y1838" s="87"/>
      <c r="Z1838" s="87"/>
      <c r="AA1838" s="87"/>
      <c r="AB1838" s="87"/>
      <c r="AC1838" s="87"/>
      <c r="AD1838" s="87"/>
      <c r="AE1838" s="87"/>
      <c r="AF1838" s="87"/>
      <c r="AG1838" s="87"/>
      <c r="AH1838" s="87">
        <v>6</v>
      </c>
      <c r="AI1838" s="87"/>
      <c r="AJ1838" s="87"/>
      <c r="AK1838" s="87"/>
      <c r="AL1838" s="87"/>
      <c r="AM1838" s="87"/>
      <c r="AN1838" s="87"/>
      <c r="AO1838" s="87"/>
      <c r="AP1838" s="87"/>
      <c r="AQ1838" s="87">
        <v>6</v>
      </c>
      <c r="AR1838" s="87"/>
      <c r="AS1838" s="87"/>
      <c r="AT1838" s="87"/>
      <c r="AU1838" s="87"/>
      <c r="AV1838" s="87"/>
      <c r="AW1838" s="88" t="str">
        <f>HYPERLINK("http://www.openstreetmap.org/?mlat=32.0463&amp;mlon=44.366&amp;zoom=12#map=12/32.0463/44.366","Maplink1")</f>
        <v>Maplink1</v>
      </c>
      <c r="AX1838" s="88" t="str">
        <f>HYPERLINK("https://www.google.iq/maps/search/+32.0463,44.366/@32.0463,44.366,14z?hl=en","Maplink2")</f>
        <v>Maplink2</v>
      </c>
      <c r="AY1838" s="88" t="str">
        <f>HYPERLINK("http://www.bing.com/maps/?lvl=14&amp;sty=h&amp;cp=32.0463~44.366&amp;sp=point.32.0463_44.366","Maplink3")</f>
        <v>Maplink3</v>
      </c>
      <c r="AZ1838" s="76"/>
    </row>
    <row r="1839" spans="1:52" x14ac:dyDescent="0.25">
      <c r="A1839" s="86">
        <v>20158</v>
      </c>
      <c r="B1839" s="87" t="s">
        <v>23</v>
      </c>
      <c r="C1839" s="87" t="s">
        <v>3503</v>
      </c>
      <c r="D1839" s="87" t="s">
        <v>3548</v>
      </c>
      <c r="E1839" s="87" t="s">
        <v>3549</v>
      </c>
      <c r="F1839" s="87">
        <v>32.0633934715</v>
      </c>
      <c r="G1839" s="87">
        <v>44.352832921400001</v>
      </c>
      <c r="H1839" s="86">
        <v>3</v>
      </c>
      <c r="I1839" s="86">
        <v>18</v>
      </c>
      <c r="J1839" s="87"/>
      <c r="K1839" s="87"/>
      <c r="L1839" s="87"/>
      <c r="M1839" s="87"/>
      <c r="N1839" s="87"/>
      <c r="O1839" s="87"/>
      <c r="P1839" s="87"/>
      <c r="Q1839" s="87"/>
      <c r="R1839" s="87"/>
      <c r="S1839" s="87"/>
      <c r="T1839" s="87"/>
      <c r="U1839" s="87"/>
      <c r="V1839" s="87">
        <v>3</v>
      </c>
      <c r="W1839" s="87"/>
      <c r="X1839" s="87"/>
      <c r="Y1839" s="87"/>
      <c r="Z1839" s="87"/>
      <c r="AA1839" s="87"/>
      <c r="AB1839" s="87"/>
      <c r="AC1839" s="87"/>
      <c r="AD1839" s="87"/>
      <c r="AE1839" s="87"/>
      <c r="AF1839" s="87"/>
      <c r="AG1839" s="87"/>
      <c r="AH1839" s="87">
        <v>3</v>
      </c>
      <c r="AI1839" s="87"/>
      <c r="AJ1839" s="87"/>
      <c r="AK1839" s="87"/>
      <c r="AL1839" s="87"/>
      <c r="AM1839" s="87"/>
      <c r="AN1839" s="87"/>
      <c r="AO1839" s="87"/>
      <c r="AP1839" s="87">
        <v>3</v>
      </c>
      <c r="AQ1839" s="87"/>
      <c r="AR1839" s="87"/>
      <c r="AS1839" s="87"/>
      <c r="AT1839" s="87"/>
      <c r="AU1839" s="87"/>
      <c r="AV1839" s="87"/>
      <c r="AW1839" s="88" t="str">
        <f>HYPERLINK("http://www.openstreetmap.org/?mlat=32.0634&amp;mlon=44.3528&amp;zoom=12#map=12/32.0634/44.3528","Maplink1")</f>
        <v>Maplink1</v>
      </c>
      <c r="AX1839" s="88" t="str">
        <f>HYPERLINK("https://www.google.iq/maps/search/+32.0634,44.3528/@32.0634,44.3528,14z?hl=en","Maplink2")</f>
        <v>Maplink2</v>
      </c>
      <c r="AY1839" s="88" t="str">
        <f>HYPERLINK("http://www.bing.com/maps/?lvl=14&amp;sty=h&amp;cp=32.0634~44.3528&amp;sp=point.32.0634_44.3528","Maplink3")</f>
        <v>Maplink3</v>
      </c>
      <c r="AZ1839" s="76"/>
    </row>
    <row r="1840" spans="1:52" x14ac:dyDescent="0.25">
      <c r="A1840" s="86">
        <v>33156</v>
      </c>
      <c r="B1840" s="87" t="s">
        <v>23</v>
      </c>
      <c r="C1840" s="87" t="s">
        <v>3503</v>
      </c>
      <c r="D1840" s="87" t="s">
        <v>3550</v>
      </c>
      <c r="E1840" s="87" t="s">
        <v>3551</v>
      </c>
      <c r="F1840" s="87">
        <v>32.057136239400002</v>
      </c>
      <c r="G1840" s="87">
        <v>44.352061597400002</v>
      </c>
      <c r="H1840" s="86">
        <v>5</v>
      </c>
      <c r="I1840" s="86">
        <v>30</v>
      </c>
      <c r="J1840" s="87"/>
      <c r="K1840" s="87"/>
      <c r="L1840" s="87"/>
      <c r="M1840" s="87"/>
      <c r="N1840" s="87"/>
      <c r="O1840" s="87"/>
      <c r="P1840" s="87"/>
      <c r="Q1840" s="87"/>
      <c r="R1840" s="87"/>
      <c r="S1840" s="87"/>
      <c r="T1840" s="87"/>
      <c r="U1840" s="87"/>
      <c r="V1840" s="87">
        <v>5</v>
      </c>
      <c r="W1840" s="87"/>
      <c r="X1840" s="87"/>
      <c r="Y1840" s="87"/>
      <c r="Z1840" s="87"/>
      <c r="AA1840" s="87"/>
      <c r="AB1840" s="87"/>
      <c r="AC1840" s="87"/>
      <c r="AD1840" s="87"/>
      <c r="AE1840" s="87"/>
      <c r="AF1840" s="87"/>
      <c r="AG1840" s="87"/>
      <c r="AH1840" s="87">
        <v>5</v>
      </c>
      <c r="AI1840" s="87"/>
      <c r="AJ1840" s="87"/>
      <c r="AK1840" s="87"/>
      <c r="AL1840" s="87"/>
      <c r="AM1840" s="87"/>
      <c r="AN1840" s="87"/>
      <c r="AO1840" s="87"/>
      <c r="AP1840" s="87">
        <v>5</v>
      </c>
      <c r="AQ1840" s="87"/>
      <c r="AR1840" s="87"/>
      <c r="AS1840" s="87"/>
      <c r="AT1840" s="87"/>
      <c r="AU1840" s="87"/>
      <c r="AV1840" s="87"/>
      <c r="AW1840" s="88" t="str">
        <f>HYPERLINK("http://www.openstreetmap.org/?mlat=32.0571&amp;mlon=44.3521&amp;zoom=12#map=12/32.0571/44.3521","Maplink1")</f>
        <v>Maplink1</v>
      </c>
      <c r="AX1840" s="88" t="str">
        <f>HYPERLINK("https://www.google.iq/maps/search/+32.0571,44.3521/@32.0571,44.3521,14z?hl=en","Maplink2")</f>
        <v>Maplink2</v>
      </c>
      <c r="AY1840" s="88" t="str">
        <f>HYPERLINK("http://www.bing.com/maps/?lvl=14&amp;sty=h&amp;cp=32.0571~44.3521&amp;sp=point.32.0571_44.3521","Maplink3")</f>
        <v>Maplink3</v>
      </c>
      <c r="AZ1840" s="76"/>
    </row>
    <row r="1841" spans="1:52" x14ac:dyDescent="0.25">
      <c r="A1841" s="86">
        <v>20347</v>
      </c>
      <c r="B1841" s="87" t="s">
        <v>23</v>
      </c>
      <c r="C1841" s="87" t="s">
        <v>3503</v>
      </c>
      <c r="D1841" s="87" t="s">
        <v>3552</v>
      </c>
      <c r="E1841" s="87" t="s">
        <v>3553</v>
      </c>
      <c r="F1841" s="87">
        <v>32.0193019381</v>
      </c>
      <c r="G1841" s="87">
        <v>44.398172520199999</v>
      </c>
      <c r="H1841" s="86">
        <v>6</v>
      </c>
      <c r="I1841" s="86">
        <v>36</v>
      </c>
      <c r="J1841" s="87"/>
      <c r="K1841" s="87"/>
      <c r="L1841" s="87"/>
      <c r="M1841" s="87"/>
      <c r="N1841" s="87"/>
      <c r="O1841" s="87"/>
      <c r="P1841" s="87"/>
      <c r="Q1841" s="87"/>
      <c r="R1841" s="87"/>
      <c r="S1841" s="87"/>
      <c r="T1841" s="87"/>
      <c r="U1841" s="87"/>
      <c r="V1841" s="87">
        <v>6</v>
      </c>
      <c r="W1841" s="87"/>
      <c r="X1841" s="87"/>
      <c r="Y1841" s="87"/>
      <c r="Z1841" s="87"/>
      <c r="AA1841" s="87"/>
      <c r="AB1841" s="87"/>
      <c r="AC1841" s="87"/>
      <c r="AD1841" s="87"/>
      <c r="AE1841" s="87"/>
      <c r="AF1841" s="87"/>
      <c r="AG1841" s="87"/>
      <c r="AH1841" s="87">
        <v>6</v>
      </c>
      <c r="AI1841" s="87"/>
      <c r="AJ1841" s="87"/>
      <c r="AK1841" s="87"/>
      <c r="AL1841" s="87"/>
      <c r="AM1841" s="87"/>
      <c r="AN1841" s="87"/>
      <c r="AO1841" s="87"/>
      <c r="AP1841" s="87">
        <v>6</v>
      </c>
      <c r="AQ1841" s="87"/>
      <c r="AR1841" s="87"/>
      <c r="AS1841" s="87"/>
      <c r="AT1841" s="87"/>
      <c r="AU1841" s="87"/>
      <c r="AV1841" s="87"/>
      <c r="AW1841" s="88" t="str">
        <f>HYPERLINK("http://www.openstreetmap.org/?mlat=32.0193&amp;mlon=44.3982&amp;zoom=12#map=12/32.0193/44.3982","Maplink1")</f>
        <v>Maplink1</v>
      </c>
      <c r="AX1841" s="88" t="str">
        <f>HYPERLINK("https://www.google.iq/maps/search/+32.0193,44.3982/@32.0193,44.3982,14z?hl=en","Maplink2")</f>
        <v>Maplink2</v>
      </c>
      <c r="AY1841" s="88" t="str">
        <f>HYPERLINK("http://www.bing.com/maps/?lvl=14&amp;sty=h&amp;cp=32.0193~44.3982&amp;sp=point.32.0193_44.3982","Maplink3")</f>
        <v>Maplink3</v>
      </c>
      <c r="AZ1841" s="76"/>
    </row>
    <row r="1842" spans="1:52" x14ac:dyDescent="0.25">
      <c r="A1842" s="86">
        <v>25890</v>
      </c>
      <c r="B1842" s="87" t="s">
        <v>23</v>
      </c>
      <c r="C1842" s="87" t="s">
        <v>3503</v>
      </c>
      <c r="D1842" s="87" t="s">
        <v>3554</v>
      </c>
      <c r="E1842" s="87" t="s">
        <v>3555</v>
      </c>
      <c r="F1842" s="87">
        <v>32.012410032799998</v>
      </c>
      <c r="G1842" s="87">
        <v>44.403230512199997</v>
      </c>
      <c r="H1842" s="86">
        <v>15</v>
      </c>
      <c r="I1842" s="86">
        <v>90</v>
      </c>
      <c r="J1842" s="87"/>
      <c r="K1842" s="87"/>
      <c r="L1842" s="87"/>
      <c r="M1842" s="87"/>
      <c r="N1842" s="87"/>
      <c r="O1842" s="87"/>
      <c r="P1842" s="87"/>
      <c r="Q1842" s="87"/>
      <c r="R1842" s="87"/>
      <c r="S1842" s="87"/>
      <c r="T1842" s="87"/>
      <c r="U1842" s="87"/>
      <c r="V1842" s="87">
        <v>15</v>
      </c>
      <c r="W1842" s="87"/>
      <c r="X1842" s="87"/>
      <c r="Y1842" s="87"/>
      <c r="Z1842" s="87"/>
      <c r="AA1842" s="87"/>
      <c r="AB1842" s="87"/>
      <c r="AC1842" s="87"/>
      <c r="AD1842" s="87"/>
      <c r="AE1842" s="87"/>
      <c r="AF1842" s="87"/>
      <c r="AG1842" s="87"/>
      <c r="AH1842" s="87">
        <v>15</v>
      </c>
      <c r="AI1842" s="87"/>
      <c r="AJ1842" s="87"/>
      <c r="AK1842" s="87"/>
      <c r="AL1842" s="87"/>
      <c r="AM1842" s="87"/>
      <c r="AN1842" s="87"/>
      <c r="AO1842" s="87"/>
      <c r="AP1842" s="87">
        <v>15</v>
      </c>
      <c r="AQ1842" s="87"/>
      <c r="AR1842" s="87"/>
      <c r="AS1842" s="87"/>
      <c r="AT1842" s="87"/>
      <c r="AU1842" s="87"/>
      <c r="AV1842" s="87"/>
      <c r="AW1842" s="88" t="str">
        <f>HYPERLINK("http://www.openstreetmap.org/?mlat=32.0124&amp;mlon=44.4032&amp;zoom=12#map=12/32.0124/44.4032","Maplink1")</f>
        <v>Maplink1</v>
      </c>
      <c r="AX1842" s="88" t="str">
        <f>HYPERLINK("https://www.google.iq/maps/search/+32.0124,44.4032/@32.0124,44.4032,14z?hl=en","Maplink2")</f>
        <v>Maplink2</v>
      </c>
      <c r="AY1842" s="88" t="str">
        <f>HYPERLINK("http://www.bing.com/maps/?lvl=14&amp;sty=h&amp;cp=32.0124~44.4032&amp;sp=point.32.0124_44.4032","Maplink3")</f>
        <v>Maplink3</v>
      </c>
      <c r="AZ1842" s="76"/>
    </row>
    <row r="1843" spans="1:52" x14ac:dyDescent="0.25">
      <c r="A1843" s="86">
        <v>20260</v>
      </c>
      <c r="B1843" s="87" t="s">
        <v>23</v>
      </c>
      <c r="C1843" s="87" t="s">
        <v>23</v>
      </c>
      <c r="D1843" s="87" t="s">
        <v>3556</v>
      </c>
      <c r="E1843" s="87" t="s">
        <v>3557</v>
      </c>
      <c r="F1843" s="87">
        <v>32.279609888300001</v>
      </c>
      <c r="G1843" s="87">
        <v>44.289245725400001</v>
      </c>
      <c r="H1843" s="86">
        <v>25</v>
      </c>
      <c r="I1843" s="86">
        <v>150</v>
      </c>
      <c r="J1843" s="87"/>
      <c r="K1843" s="87"/>
      <c r="L1843" s="87"/>
      <c r="M1843" s="87"/>
      <c r="N1843" s="87"/>
      <c r="O1843" s="87"/>
      <c r="P1843" s="87"/>
      <c r="Q1843" s="87"/>
      <c r="R1843" s="87"/>
      <c r="S1843" s="87"/>
      <c r="T1843" s="87"/>
      <c r="U1843" s="87"/>
      <c r="V1843" s="87">
        <v>25</v>
      </c>
      <c r="W1843" s="87"/>
      <c r="X1843" s="87"/>
      <c r="Y1843" s="87"/>
      <c r="Z1843" s="87"/>
      <c r="AA1843" s="87"/>
      <c r="AB1843" s="87"/>
      <c r="AC1843" s="87"/>
      <c r="AD1843" s="87"/>
      <c r="AE1843" s="87"/>
      <c r="AF1843" s="87"/>
      <c r="AG1843" s="87">
        <v>10</v>
      </c>
      <c r="AH1843" s="87">
        <v>15</v>
      </c>
      <c r="AI1843" s="87"/>
      <c r="AJ1843" s="87"/>
      <c r="AK1843" s="87"/>
      <c r="AL1843" s="87"/>
      <c r="AM1843" s="87"/>
      <c r="AN1843" s="87"/>
      <c r="AO1843" s="87"/>
      <c r="AP1843" s="87">
        <v>25</v>
      </c>
      <c r="AQ1843" s="87"/>
      <c r="AR1843" s="87"/>
      <c r="AS1843" s="87"/>
      <c r="AT1843" s="87"/>
      <c r="AU1843" s="87"/>
      <c r="AV1843" s="87"/>
      <c r="AW1843" s="88" t="str">
        <f>HYPERLINK("http://www.openstreetmap.org/?mlat=32.2796&amp;mlon=44.2892&amp;zoom=12#map=12/32.2796/44.2892","Maplink1")</f>
        <v>Maplink1</v>
      </c>
      <c r="AX1843" s="88" t="str">
        <f>HYPERLINK("https://www.google.iq/maps/search/+32.2796,44.2892/@32.2796,44.2892,14z?hl=en","Maplink2")</f>
        <v>Maplink2</v>
      </c>
      <c r="AY1843" s="88" t="str">
        <f>HYPERLINK("http://www.bing.com/maps/?lvl=14&amp;sty=h&amp;cp=32.2796~44.2892&amp;sp=point.32.2796_44.2892","Maplink3")</f>
        <v>Maplink3</v>
      </c>
      <c r="AZ1843" s="76"/>
    </row>
    <row r="1844" spans="1:52" x14ac:dyDescent="0.25">
      <c r="A1844" s="86">
        <v>22114</v>
      </c>
      <c r="B1844" s="87" t="s">
        <v>23</v>
      </c>
      <c r="C1844" s="87" t="s">
        <v>23</v>
      </c>
      <c r="D1844" s="87" t="s">
        <v>5836</v>
      </c>
      <c r="E1844" s="87" t="s">
        <v>5837</v>
      </c>
      <c r="F1844" s="87">
        <v>32.026704162599998</v>
      </c>
      <c r="G1844" s="87">
        <v>44.352212248000001</v>
      </c>
      <c r="H1844" s="86">
        <v>3</v>
      </c>
      <c r="I1844" s="86">
        <v>18</v>
      </c>
      <c r="J1844" s="87"/>
      <c r="K1844" s="87"/>
      <c r="L1844" s="87"/>
      <c r="M1844" s="87"/>
      <c r="N1844" s="87"/>
      <c r="O1844" s="87"/>
      <c r="P1844" s="87"/>
      <c r="Q1844" s="87"/>
      <c r="R1844" s="87"/>
      <c r="S1844" s="87"/>
      <c r="T1844" s="87"/>
      <c r="U1844" s="87"/>
      <c r="V1844" s="87">
        <v>3</v>
      </c>
      <c r="W1844" s="87"/>
      <c r="X1844" s="87"/>
      <c r="Y1844" s="87"/>
      <c r="Z1844" s="87"/>
      <c r="AA1844" s="87"/>
      <c r="AB1844" s="87"/>
      <c r="AC1844" s="87"/>
      <c r="AD1844" s="87"/>
      <c r="AE1844" s="87"/>
      <c r="AF1844" s="87"/>
      <c r="AG1844" s="87"/>
      <c r="AH1844" s="87">
        <v>3</v>
      </c>
      <c r="AI1844" s="87"/>
      <c r="AJ1844" s="87"/>
      <c r="AK1844" s="87"/>
      <c r="AL1844" s="87"/>
      <c r="AM1844" s="87"/>
      <c r="AN1844" s="87"/>
      <c r="AO1844" s="87"/>
      <c r="AP1844" s="87">
        <v>3</v>
      </c>
      <c r="AQ1844" s="87"/>
      <c r="AR1844" s="87"/>
      <c r="AS1844" s="87"/>
      <c r="AT1844" s="87"/>
      <c r="AU1844" s="87"/>
      <c r="AV1844" s="87"/>
      <c r="AW1844" s="88" t="str">
        <f>HYPERLINK("http://www.openstreetmap.org/?mlat=32.0267&amp;mlon=44.3522&amp;zoom=12#map=12/32.0267/44.3522","Maplink1")</f>
        <v>Maplink1</v>
      </c>
      <c r="AX1844" s="88" t="str">
        <f>HYPERLINK("https://www.google.iq/maps/search/+32.0267,44.3522/@32.0267,44.3522,14z?hl=en","Maplink2")</f>
        <v>Maplink2</v>
      </c>
      <c r="AY1844" s="88" t="str">
        <f>HYPERLINK("http://www.bing.com/maps/?lvl=14&amp;sty=h&amp;cp=32.0267~44.3522&amp;sp=point.32.0267_44.3522","Maplink3")</f>
        <v>Maplink3</v>
      </c>
      <c r="AZ1844" s="76"/>
    </row>
    <row r="1845" spans="1:52" x14ac:dyDescent="0.25">
      <c r="A1845" s="86">
        <v>22565</v>
      </c>
      <c r="B1845" s="87" t="s">
        <v>23</v>
      </c>
      <c r="C1845" s="87" t="s">
        <v>23</v>
      </c>
      <c r="D1845" s="87" t="s">
        <v>3558</v>
      </c>
      <c r="E1845" s="87" t="s">
        <v>3559</v>
      </c>
      <c r="F1845" s="87">
        <v>32.037824502200003</v>
      </c>
      <c r="G1845" s="87">
        <v>44.357380437000003</v>
      </c>
      <c r="H1845" s="86">
        <v>3</v>
      </c>
      <c r="I1845" s="86">
        <v>18</v>
      </c>
      <c r="J1845" s="87"/>
      <c r="K1845" s="87"/>
      <c r="L1845" s="87"/>
      <c r="M1845" s="87"/>
      <c r="N1845" s="87"/>
      <c r="O1845" s="87"/>
      <c r="P1845" s="87"/>
      <c r="Q1845" s="87"/>
      <c r="R1845" s="87"/>
      <c r="S1845" s="87"/>
      <c r="T1845" s="87"/>
      <c r="U1845" s="87"/>
      <c r="V1845" s="87">
        <v>3</v>
      </c>
      <c r="W1845" s="87"/>
      <c r="X1845" s="87"/>
      <c r="Y1845" s="87"/>
      <c r="Z1845" s="87"/>
      <c r="AA1845" s="87"/>
      <c r="AB1845" s="87"/>
      <c r="AC1845" s="87"/>
      <c r="AD1845" s="87"/>
      <c r="AE1845" s="87"/>
      <c r="AF1845" s="87"/>
      <c r="AG1845" s="87"/>
      <c r="AH1845" s="87">
        <v>3</v>
      </c>
      <c r="AI1845" s="87"/>
      <c r="AJ1845" s="87"/>
      <c r="AK1845" s="87"/>
      <c r="AL1845" s="87"/>
      <c r="AM1845" s="87"/>
      <c r="AN1845" s="87"/>
      <c r="AO1845" s="87">
        <v>3</v>
      </c>
      <c r="AP1845" s="87"/>
      <c r="AQ1845" s="87"/>
      <c r="AR1845" s="87"/>
      <c r="AS1845" s="87"/>
      <c r="AT1845" s="87"/>
      <c r="AU1845" s="87"/>
      <c r="AV1845" s="87"/>
      <c r="AW1845" s="88" t="str">
        <f>HYPERLINK("http://www.openstreetmap.org/?mlat=32.0378&amp;mlon=44.3574&amp;zoom=12#map=12/32.0378/44.3574","Maplink1")</f>
        <v>Maplink1</v>
      </c>
      <c r="AX1845" s="88" t="str">
        <f>HYPERLINK("https://www.google.iq/maps/search/+32.0378,44.3574/@32.0378,44.3574,14z?hl=en","Maplink2")</f>
        <v>Maplink2</v>
      </c>
      <c r="AY1845" s="88" t="str">
        <f>HYPERLINK("http://www.bing.com/maps/?lvl=14&amp;sty=h&amp;cp=32.0378~44.3574&amp;sp=point.32.0378_44.3574","Maplink3")</f>
        <v>Maplink3</v>
      </c>
      <c r="AZ1845" s="76"/>
    </row>
    <row r="1846" spans="1:52" x14ac:dyDescent="0.25">
      <c r="A1846" s="86">
        <v>23118</v>
      </c>
      <c r="B1846" s="87" t="s">
        <v>23</v>
      </c>
      <c r="C1846" s="87" t="s">
        <v>23</v>
      </c>
      <c r="D1846" s="87" t="s">
        <v>3560</v>
      </c>
      <c r="E1846" s="87" t="s">
        <v>3561</v>
      </c>
      <c r="F1846" s="87">
        <v>32.058611618999997</v>
      </c>
      <c r="G1846" s="87">
        <v>44.3452233358</v>
      </c>
      <c r="H1846" s="86">
        <v>1</v>
      </c>
      <c r="I1846" s="86">
        <v>6</v>
      </c>
      <c r="J1846" s="87">
        <v>1</v>
      </c>
      <c r="K1846" s="87"/>
      <c r="L1846" s="87"/>
      <c r="M1846" s="87"/>
      <c r="N1846" s="87"/>
      <c r="O1846" s="87"/>
      <c r="P1846" s="87"/>
      <c r="Q1846" s="87"/>
      <c r="R1846" s="87"/>
      <c r="S1846" s="87"/>
      <c r="T1846" s="87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87"/>
      <c r="AE1846" s="87"/>
      <c r="AF1846" s="87"/>
      <c r="AG1846" s="87"/>
      <c r="AH1846" s="87">
        <v>1</v>
      </c>
      <c r="AI1846" s="87"/>
      <c r="AJ1846" s="87"/>
      <c r="AK1846" s="87"/>
      <c r="AL1846" s="87"/>
      <c r="AM1846" s="87"/>
      <c r="AN1846" s="87"/>
      <c r="AO1846" s="87"/>
      <c r="AP1846" s="87"/>
      <c r="AQ1846" s="87"/>
      <c r="AR1846" s="87">
        <v>1</v>
      </c>
      <c r="AS1846" s="87"/>
      <c r="AT1846" s="87"/>
      <c r="AU1846" s="87"/>
      <c r="AV1846" s="87"/>
      <c r="AW1846" s="88" t="str">
        <f>HYPERLINK("http://www.openstreetmap.org/?mlat=32.0586&amp;mlon=44.3452&amp;zoom=12#map=12/32.0586/44.3452","Maplink1")</f>
        <v>Maplink1</v>
      </c>
      <c r="AX1846" s="88" t="str">
        <f>HYPERLINK("https://www.google.iq/maps/search/+32.0586,44.3452/@32.0586,44.3452,14z?hl=en","Maplink2")</f>
        <v>Maplink2</v>
      </c>
      <c r="AY1846" s="88" t="str">
        <f>HYPERLINK("http://www.bing.com/maps/?lvl=14&amp;sty=h&amp;cp=32.0586~44.3452&amp;sp=point.32.0586_44.3452","Maplink3")</f>
        <v>Maplink3</v>
      </c>
      <c r="AZ1846" s="76"/>
    </row>
    <row r="1847" spans="1:52" x14ac:dyDescent="0.25">
      <c r="A1847" s="86">
        <v>21936</v>
      </c>
      <c r="B1847" s="87" t="s">
        <v>23</v>
      </c>
      <c r="C1847" s="87" t="s">
        <v>23</v>
      </c>
      <c r="D1847" s="87" t="s">
        <v>3562</v>
      </c>
      <c r="E1847" s="87" t="s">
        <v>3563</v>
      </c>
      <c r="F1847" s="87">
        <v>32.047397334400003</v>
      </c>
      <c r="G1847" s="87">
        <v>44.343894316700002</v>
      </c>
      <c r="H1847" s="86">
        <v>3</v>
      </c>
      <c r="I1847" s="86">
        <v>18</v>
      </c>
      <c r="J1847" s="87"/>
      <c r="K1847" s="87"/>
      <c r="L1847" s="87"/>
      <c r="M1847" s="87"/>
      <c r="N1847" s="87"/>
      <c r="O1847" s="87"/>
      <c r="P1847" s="87"/>
      <c r="Q1847" s="87"/>
      <c r="R1847" s="87"/>
      <c r="S1847" s="87"/>
      <c r="T1847" s="87"/>
      <c r="U1847" s="87"/>
      <c r="V1847" s="87">
        <v>3</v>
      </c>
      <c r="W1847" s="87"/>
      <c r="X1847" s="87"/>
      <c r="Y1847" s="87"/>
      <c r="Z1847" s="87"/>
      <c r="AA1847" s="87"/>
      <c r="AB1847" s="87"/>
      <c r="AC1847" s="87"/>
      <c r="AD1847" s="87"/>
      <c r="AE1847" s="87"/>
      <c r="AF1847" s="87"/>
      <c r="AG1847" s="87"/>
      <c r="AH1847" s="87">
        <v>3</v>
      </c>
      <c r="AI1847" s="87"/>
      <c r="AJ1847" s="87"/>
      <c r="AK1847" s="87"/>
      <c r="AL1847" s="87"/>
      <c r="AM1847" s="87"/>
      <c r="AN1847" s="87"/>
      <c r="AO1847" s="87"/>
      <c r="AP1847" s="87">
        <v>3</v>
      </c>
      <c r="AQ1847" s="87"/>
      <c r="AR1847" s="87"/>
      <c r="AS1847" s="87"/>
      <c r="AT1847" s="87"/>
      <c r="AU1847" s="87"/>
      <c r="AV1847" s="87"/>
      <c r="AW1847" s="88" t="str">
        <f>HYPERLINK("http://www.openstreetmap.org/?mlat=32.0474&amp;mlon=44.3439&amp;zoom=12#map=12/32.0474/44.3439","Maplink1")</f>
        <v>Maplink1</v>
      </c>
      <c r="AX1847" s="88" t="str">
        <f>HYPERLINK("https://www.google.iq/maps/search/+32.0474,44.3439/@32.0474,44.3439,14z?hl=en","Maplink2")</f>
        <v>Maplink2</v>
      </c>
      <c r="AY1847" s="88" t="str">
        <f>HYPERLINK("http://www.bing.com/maps/?lvl=14&amp;sty=h&amp;cp=32.0474~44.3439&amp;sp=point.32.0474_44.3439","Maplink3")</f>
        <v>Maplink3</v>
      </c>
      <c r="AZ1847" s="76"/>
    </row>
    <row r="1848" spans="1:52" x14ac:dyDescent="0.25">
      <c r="A1848" s="86">
        <v>25642</v>
      </c>
      <c r="B1848" s="87" t="s">
        <v>23</v>
      </c>
      <c r="C1848" s="87" t="s">
        <v>23</v>
      </c>
      <c r="D1848" s="87" t="s">
        <v>3564</v>
      </c>
      <c r="E1848" s="87" t="s">
        <v>3565</v>
      </c>
      <c r="F1848" s="87">
        <v>32.045868916899998</v>
      </c>
      <c r="G1848" s="87">
        <v>44.350622252900003</v>
      </c>
      <c r="H1848" s="86">
        <v>8</v>
      </c>
      <c r="I1848" s="86">
        <v>48</v>
      </c>
      <c r="J1848" s="87"/>
      <c r="K1848" s="87"/>
      <c r="L1848" s="87"/>
      <c r="M1848" s="87"/>
      <c r="N1848" s="87"/>
      <c r="O1848" s="87"/>
      <c r="P1848" s="87"/>
      <c r="Q1848" s="87"/>
      <c r="R1848" s="87"/>
      <c r="S1848" s="87"/>
      <c r="T1848" s="87"/>
      <c r="U1848" s="87"/>
      <c r="V1848" s="87">
        <v>8</v>
      </c>
      <c r="W1848" s="87"/>
      <c r="X1848" s="87"/>
      <c r="Y1848" s="87"/>
      <c r="Z1848" s="87"/>
      <c r="AA1848" s="87"/>
      <c r="AB1848" s="87"/>
      <c r="AC1848" s="87"/>
      <c r="AD1848" s="87"/>
      <c r="AE1848" s="87"/>
      <c r="AF1848" s="87"/>
      <c r="AG1848" s="87"/>
      <c r="AH1848" s="87">
        <v>8</v>
      </c>
      <c r="AI1848" s="87"/>
      <c r="AJ1848" s="87"/>
      <c r="AK1848" s="87"/>
      <c r="AL1848" s="87"/>
      <c r="AM1848" s="87"/>
      <c r="AN1848" s="87"/>
      <c r="AO1848" s="87"/>
      <c r="AP1848" s="87"/>
      <c r="AQ1848" s="87">
        <v>8</v>
      </c>
      <c r="AR1848" s="87"/>
      <c r="AS1848" s="87"/>
      <c r="AT1848" s="87"/>
      <c r="AU1848" s="87"/>
      <c r="AV1848" s="87"/>
      <c r="AW1848" s="88" t="str">
        <f>HYPERLINK("http://www.openstreetmap.org/?mlat=32.0459&amp;mlon=44.3506&amp;zoom=12#map=12/32.0459/44.3506","Maplink1")</f>
        <v>Maplink1</v>
      </c>
      <c r="AX1848" s="88" t="str">
        <f>HYPERLINK("https://www.google.iq/maps/search/+32.0459,44.3506/@32.0459,44.3506,14z?hl=en","Maplink2")</f>
        <v>Maplink2</v>
      </c>
      <c r="AY1848" s="88" t="str">
        <f>HYPERLINK("http://www.bing.com/maps/?lvl=14&amp;sty=h&amp;cp=32.0459~44.3506&amp;sp=point.32.0459_44.3506","Maplink3")</f>
        <v>Maplink3</v>
      </c>
      <c r="AZ1848" s="76"/>
    </row>
    <row r="1849" spans="1:52" x14ac:dyDescent="0.25">
      <c r="A1849" s="86">
        <v>20338</v>
      </c>
      <c r="B1849" s="87" t="s">
        <v>23</v>
      </c>
      <c r="C1849" s="87" t="s">
        <v>23</v>
      </c>
      <c r="D1849" s="87" t="s">
        <v>3566</v>
      </c>
      <c r="E1849" s="87" t="s">
        <v>3567</v>
      </c>
      <c r="F1849" s="87">
        <v>31.990201697</v>
      </c>
      <c r="G1849" s="87">
        <v>44.317822046800003</v>
      </c>
      <c r="H1849" s="86">
        <v>55</v>
      </c>
      <c r="I1849" s="86">
        <v>330</v>
      </c>
      <c r="J1849" s="87"/>
      <c r="K1849" s="87"/>
      <c r="L1849" s="87"/>
      <c r="M1849" s="87"/>
      <c r="N1849" s="87"/>
      <c r="O1849" s="87"/>
      <c r="P1849" s="87"/>
      <c r="Q1849" s="87"/>
      <c r="R1849" s="87"/>
      <c r="S1849" s="87"/>
      <c r="T1849" s="87"/>
      <c r="U1849" s="87"/>
      <c r="V1849" s="87">
        <v>55</v>
      </c>
      <c r="W1849" s="87"/>
      <c r="X1849" s="87"/>
      <c r="Y1849" s="87"/>
      <c r="Z1849" s="87"/>
      <c r="AA1849" s="87"/>
      <c r="AB1849" s="87"/>
      <c r="AC1849" s="87"/>
      <c r="AD1849" s="87"/>
      <c r="AE1849" s="87"/>
      <c r="AF1849" s="87"/>
      <c r="AG1849" s="87"/>
      <c r="AH1849" s="87">
        <v>55</v>
      </c>
      <c r="AI1849" s="87"/>
      <c r="AJ1849" s="87"/>
      <c r="AK1849" s="87"/>
      <c r="AL1849" s="87"/>
      <c r="AM1849" s="87"/>
      <c r="AN1849" s="87"/>
      <c r="AO1849" s="87">
        <v>55</v>
      </c>
      <c r="AP1849" s="87"/>
      <c r="AQ1849" s="87"/>
      <c r="AR1849" s="87"/>
      <c r="AS1849" s="87"/>
      <c r="AT1849" s="87"/>
      <c r="AU1849" s="87"/>
      <c r="AV1849" s="87"/>
      <c r="AW1849" s="88" t="str">
        <f>HYPERLINK("http://www.openstreetmap.org/?mlat=31.9902&amp;mlon=44.3178&amp;zoom=12#map=12/31.9902/44.3178","Maplink1")</f>
        <v>Maplink1</v>
      </c>
      <c r="AX1849" s="88" t="str">
        <f>HYPERLINK("https://www.google.iq/maps/search/+31.9902,44.3178/@31.9902,44.3178,14z?hl=en","Maplink2")</f>
        <v>Maplink2</v>
      </c>
      <c r="AY1849" s="88" t="str">
        <f>HYPERLINK("http://www.bing.com/maps/?lvl=14&amp;sty=h&amp;cp=31.9902~44.3178&amp;sp=point.31.9902_44.3178","Maplink3")</f>
        <v>Maplink3</v>
      </c>
      <c r="AZ1849" s="76"/>
    </row>
    <row r="1850" spans="1:52" x14ac:dyDescent="0.25">
      <c r="A1850" s="86">
        <v>24373</v>
      </c>
      <c r="B1850" s="87" t="s">
        <v>23</v>
      </c>
      <c r="C1850" s="87" t="s">
        <v>23</v>
      </c>
      <c r="D1850" s="87" t="s">
        <v>3568</v>
      </c>
      <c r="E1850" s="87" t="s">
        <v>3569</v>
      </c>
      <c r="F1850" s="87">
        <v>31.9791939795</v>
      </c>
      <c r="G1850" s="87">
        <v>44.353398902199999</v>
      </c>
      <c r="H1850" s="86">
        <v>4</v>
      </c>
      <c r="I1850" s="86">
        <v>24</v>
      </c>
      <c r="J1850" s="87"/>
      <c r="K1850" s="87"/>
      <c r="L1850" s="87"/>
      <c r="M1850" s="87"/>
      <c r="N1850" s="87"/>
      <c r="O1850" s="87"/>
      <c r="P1850" s="87"/>
      <c r="Q1850" s="87"/>
      <c r="R1850" s="87"/>
      <c r="S1850" s="87"/>
      <c r="T1850" s="87"/>
      <c r="U1850" s="87"/>
      <c r="V1850" s="87">
        <v>4</v>
      </c>
      <c r="W1850" s="87"/>
      <c r="X1850" s="87"/>
      <c r="Y1850" s="87"/>
      <c r="Z1850" s="87"/>
      <c r="AA1850" s="87"/>
      <c r="AB1850" s="87"/>
      <c r="AC1850" s="87"/>
      <c r="AD1850" s="87"/>
      <c r="AE1850" s="87"/>
      <c r="AF1850" s="87"/>
      <c r="AG1850" s="87"/>
      <c r="AH1850" s="87">
        <v>4</v>
      </c>
      <c r="AI1850" s="87"/>
      <c r="AJ1850" s="87"/>
      <c r="AK1850" s="87"/>
      <c r="AL1850" s="87"/>
      <c r="AM1850" s="87"/>
      <c r="AN1850" s="87"/>
      <c r="AO1850" s="87">
        <v>4</v>
      </c>
      <c r="AP1850" s="87"/>
      <c r="AQ1850" s="87"/>
      <c r="AR1850" s="87"/>
      <c r="AS1850" s="87"/>
      <c r="AT1850" s="87"/>
      <c r="AU1850" s="87"/>
      <c r="AV1850" s="87"/>
      <c r="AW1850" s="88" t="str">
        <f>HYPERLINK("http://www.openstreetmap.org/?mlat=31.9792&amp;mlon=44.3534&amp;zoom=12#map=12/31.9792/44.3534","Maplink1")</f>
        <v>Maplink1</v>
      </c>
      <c r="AX1850" s="88" t="str">
        <f>HYPERLINK("https://www.google.iq/maps/search/+31.9792,44.3534/@31.9792,44.3534,14z?hl=en","Maplink2")</f>
        <v>Maplink2</v>
      </c>
      <c r="AY1850" s="88" t="str">
        <f>HYPERLINK("http://www.bing.com/maps/?lvl=14&amp;sty=h&amp;cp=31.9792~44.3534&amp;sp=point.31.9792_44.3534","Maplink3")</f>
        <v>Maplink3</v>
      </c>
      <c r="AZ1850" s="76"/>
    </row>
    <row r="1851" spans="1:52" x14ac:dyDescent="0.25">
      <c r="A1851" s="86">
        <v>25640</v>
      </c>
      <c r="B1851" s="87" t="s">
        <v>23</v>
      </c>
      <c r="C1851" s="87" t="s">
        <v>23</v>
      </c>
      <c r="D1851" s="87" t="s">
        <v>3570</v>
      </c>
      <c r="E1851" s="87" t="s">
        <v>3571</v>
      </c>
      <c r="F1851" s="87">
        <v>31.9519130676</v>
      </c>
      <c r="G1851" s="87">
        <v>44.413693585200001</v>
      </c>
      <c r="H1851" s="86">
        <v>2</v>
      </c>
      <c r="I1851" s="86">
        <v>12</v>
      </c>
      <c r="J1851" s="87"/>
      <c r="K1851" s="87"/>
      <c r="L1851" s="87"/>
      <c r="M1851" s="87"/>
      <c r="N1851" s="87"/>
      <c r="O1851" s="87"/>
      <c r="P1851" s="87"/>
      <c r="Q1851" s="87"/>
      <c r="R1851" s="87"/>
      <c r="S1851" s="87"/>
      <c r="T1851" s="87"/>
      <c r="U1851" s="87"/>
      <c r="V1851" s="87">
        <v>2</v>
      </c>
      <c r="W1851" s="87"/>
      <c r="X1851" s="87"/>
      <c r="Y1851" s="87"/>
      <c r="Z1851" s="87"/>
      <c r="AA1851" s="87"/>
      <c r="AB1851" s="87"/>
      <c r="AC1851" s="87"/>
      <c r="AD1851" s="87"/>
      <c r="AE1851" s="87"/>
      <c r="AF1851" s="87"/>
      <c r="AG1851" s="87"/>
      <c r="AH1851" s="87">
        <v>2</v>
      </c>
      <c r="AI1851" s="87"/>
      <c r="AJ1851" s="87"/>
      <c r="AK1851" s="87"/>
      <c r="AL1851" s="87"/>
      <c r="AM1851" s="87"/>
      <c r="AN1851" s="87"/>
      <c r="AO1851" s="87"/>
      <c r="AP1851" s="87">
        <v>2</v>
      </c>
      <c r="AQ1851" s="87"/>
      <c r="AR1851" s="87"/>
      <c r="AS1851" s="87"/>
      <c r="AT1851" s="87"/>
      <c r="AU1851" s="87"/>
      <c r="AV1851" s="87"/>
      <c r="AW1851" s="88" t="str">
        <f>HYPERLINK("http://www.openstreetmap.org/?mlat=31.9519&amp;mlon=44.4137&amp;zoom=12#map=12/31.9519/44.4137","Maplink1")</f>
        <v>Maplink1</v>
      </c>
      <c r="AX1851" s="88" t="str">
        <f>HYPERLINK("https://www.google.iq/maps/search/+31.9519,44.4137/@31.9519,44.4137,14z?hl=en","Maplink2")</f>
        <v>Maplink2</v>
      </c>
      <c r="AY1851" s="88" t="str">
        <f>HYPERLINK("http://www.bing.com/maps/?lvl=14&amp;sty=h&amp;cp=31.9519~44.4137&amp;sp=point.31.9519_44.4137","Maplink3")</f>
        <v>Maplink3</v>
      </c>
      <c r="AZ1851" s="76"/>
    </row>
    <row r="1852" spans="1:52" x14ac:dyDescent="0.25">
      <c r="A1852" s="86">
        <v>23705</v>
      </c>
      <c r="B1852" s="87" t="s">
        <v>23</v>
      </c>
      <c r="C1852" s="87" t="s">
        <v>23</v>
      </c>
      <c r="D1852" s="87" t="s">
        <v>3572</v>
      </c>
      <c r="E1852" s="87" t="s">
        <v>2615</v>
      </c>
      <c r="F1852" s="87">
        <v>32.093697752099999</v>
      </c>
      <c r="G1852" s="87">
        <v>44.332456820899999</v>
      </c>
      <c r="H1852" s="86">
        <v>18</v>
      </c>
      <c r="I1852" s="86">
        <v>108</v>
      </c>
      <c r="J1852" s="87"/>
      <c r="K1852" s="87"/>
      <c r="L1852" s="87"/>
      <c r="M1852" s="87"/>
      <c r="N1852" s="87"/>
      <c r="O1852" s="87"/>
      <c r="P1852" s="87"/>
      <c r="Q1852" s="87"/>
      <c r="R1852" s="87"/>
      <c r="S1852" s="87"/>
      <c r="T1852" s="87"/>
      <c r="U1852" s="87"/>
      <c r="V1852" s="87">
        <v>18</v>
      </c>
      <c r="W1852" s="87"/>
      <c r="X1852" s="87"/>
      <c r="Y1852" s="87"/>
      <c r="Z1852" s="87"/>
      <c r="AA1852" s="87"/>
      <c r="AB1852" s="87"/>
      <c r="AC1852" s="87"/>
      <c r="AD1852" s="87"/>
      <c r="AE1852" s="87"/>
      <c r="AF1852" s="87"/>
      <c r="AG1852" s="87"/>
      <c r="AH1852" s="87">
        <v>18</v>
      </c>
      <c r="AI1852" s="87"/>
      <c r="AJ1852" s="87"/>
      <c r="AK1852" s="87"/>
      <c r="AL1852" s="87"/>
      <c r="AM1852" s="87"/>
      <c r="AN1852" s="87"/>
      <c r="AO1852" s="87">
        <v>18</v>
      </c>
      <c r="AP1852" s="87"/>
      <c r="AQ1852" s="87"/>
      <c r="AR1852" s="87"/>
      <c r="AS1852" s="87"/>
      <c r="AT1852" s="87"/>
      <c r="AU1852" s="87"/>
      <c r="AV1852" s="87"/>
      <c r="AW1852" s="88" t="str">
        <f>HYPERLINK("http://www.openstreetmap.org/?mlat=32.0937&amp;mlon=44.3325&amp;zoom=12#map=12/32.0937/44.3325","Maplink1")</f>
        <v>Maplink1</v>
      </c>
      <c r="AX1852" s="88" t="str">
        <f>HYPERLINK("https://www.google.iq/maps/search/+32.0937,44.3325/@32.0937,44.3325,14z?hl=en","Maplink2")</f>
        <v>Maplink2</v>
      </c>
      <c r="AY1852" s="88" t="str">
        <f>HYPERLINK("http://www.bing.com/maps/?lvl=14&amp;sty=h&amp;cp=32.0937~44.3325&amp;sp=point.32.0937_44.3325","Maplink3")</f>
        <v>Maplink3</v>
      </c>
      <c r="AZ1852" s="76"/>
    </row>
    <row r="1853" spans="1:52" x14ac:dyDescent="0.25">
      <c r="A1853" s="86">
        <v>19643</v>
      </c>
      <c r="B1853" s="87" t="s">
        <v>23</v>
      </c>
      <c r="C1853" s="87" t="s">
        <v>23</v>
      </c>
      <c r="D1853" s="87" t="s">
        <v>2256</v>
      </c>
      <c r="E1853" s="87" t="s">
        <v>74</v>
      </c>
      <c r="F1853" s="87">
        <v>32.033659668399999</v>
      </c>
      <c r="G1853" s="87">
        <v>44.338655290799998</v>
      </c>
      <c r="H1853" s="86">
        <v>5</v>
      </c>
      <c r="I1853" s="86">
        <v>30</v>
      </c>
      <c r="J1853" s="87"/>
      <c r="K1853" s="87"/>
      <c r="L1853" s="87"/>
      <c r="M1853" s="87"/>
      <c r="N1853" s="87"/>
      <c r="O1853" s="87"/>
      <c r="P1853" s="87"/>
      <c r="Q1853" s="87"/>
      <c r="R1853" s="87"/>
      <c r="S1853" s="87"/>
      <c r="T1853" s="87"/>
      <c r="U1853" s="87"/>
      <c r="V1853" s="87">
        <v>5</v>
      </c>
      <c r="W1853" s="87"/>
      <c r="X1853" s="87"/>
      <c r="Y1853" s="87"/>
      <c r="Z1853" s="87"/>
      <c r="AA1853" s="87"/>
      <c r="AB1853" s="87"/>
      <c r="AC1853" s="87"/>
      <c r="AD1853" s="87"/>
      <c r="AE1853" s="87"/>
      <c r="AF1853" s="87"/>
      <c r="AG1853" s="87"/>
      <c r="AH1853" s="87">
        <v>5</v>
      </c>
      <c r="AI1853" s="87"/>
      <c r="AJ1853" s="87"/>
      <c r="AK1853" s="87"/>
      <c r="AL1853" s="87"/>
      <c r="AM1853" s="87"/>
      <c r="AN1853" s="87"/>
      <c r="AO1853" s="87">
        <v>5</v>
      </c>
      <c r="AP1853" s="87"/>
      <c r="AQ1853" s="87"/>
      <c r="AR1853" s="87"/>
      <c r="AS1853" s="87"/>
      <c r="AT1853" s="87"/>
      <c r="AU1853" s="87"/>
      <c r="AV1853" s="87"/>
      <c r="AW1853" s="88" t="str">
        <f>HYPERLINK("http://www.openstreetmap.org/?mlat=32.0337&amp;mlon=44.3387&amp;zoom=12#map=12/32.0337/44.3387","Maplink1")</f>
        <v>Maplink1</v>
      </c>
      <c r="AX1853" s="88" t="str">
        <f>HYPERLINK("https://www.google.iq/maps/search/+32.0337,44.3387/@32.0337,44.3387,14z?hl=en","Maplink2")</f>
        <v>Maplink2</v>
      </c>
      <c r="AY1853" s="88" t="str">
        <f>HYPERLINK("http://www.bing.com/maps/?lvl=14&amp;sty=h&amp;cp=32.0337~44.3387&amp;sp=point.32.0337_44.3387","Maplink3")</f>
        <v>Maplink3</v>
      </c>
      <c r="AZ1853" s="76"/>
    </row>
    <row r="1854" spans="1:52" x14ac:dyDescent="0.25">
      <c r="A1854" s="86">
        <v>29598</v>
      </c>
      <c r="B1854" s="87" t="s">
        <v>23</v>
      </c>
      <c r="C1854" s="87" t="s">
        <v>23</v>
      </c>
      <c r="D1854" s="87" t="s">
        <v>3573</v>
      </c>
      <c r="E1854" s="87" t="s">
        <v>3574</v>
      </c>
      <c r="F1854" s="87">
        <v>32.174144888999997</v>
      </c>
      <c r="G1854" s="87">
        <v>44.3075260715</v>
      </c>
      <c r="H1854" s="86">
        <v>185</v>
      </c>
      <c r="I1854" s="86">
        <v>1110</v>
      </c>
      <c r="J1854" s="87"/>
      <c r="K1854" s="87"/>
      <c r="L1854" s="87"/>
      <c r="M1854" s="87"/>
      <c r="N1854" s="87"/>
      <c r="O1854" s="87"/>
      <c r="P1854" s="87"/>
      <c r="Q1854" s="87"/>
      <c r="R1854" s="87"/>
      <c r="S1854" s="87"/>
      <c r="T1854" s="87"/>
      <c r="U1854" s="87"/>
      <c r="V1854" s="87">
        <v>185</v>
      </c>
      <c r="W1854" s="87"/>
      <c r="X1854" s="87"/>
      <c r="Y1854" s="87"/>
      <c r="Z1854" s="87"/>
      <c r="AA1854" s="87"/>
      <c r="AB1854" s="87">
        <v>185</v>
      </c>
      <c r="AC1854" s="87"/>
      <c r="AD1854" s="87"/>
      <c r="AE1854" s="87"/>
      <c r="AF1854" s="87"/>
      <c r="AG1854" s="87"/>
      <c r="AH1854" s="87"/>
      <c r="AI1854" s="87"/>
      <c r="AJ1854" s="87"/>
      <c r="AK1854" s="87"/>
      <c r="AL1854" s="87"/>
      <c r="AM1854" s="87"/>
      <c r="AN1854" s="87"/>
      <c r="AO1854" s="87">
        <v>185</v>
      </c>
      <c r="AP1854" s="87"/>
      <c r="AQ1854" s="87"/>
      <c r="AR1854" s="87"/>
      <c r="AS1854" s="87"/>
      <c r="AT1854" s="87"/>
      <c r="AU1854" s="87"/>
      <c r="AV1854" s="87"/>
      <c r="AW1854" s="88" t="str">
        <f>HYPERLINK("http://www.openstreetmap.org/?mlat=32.1741&amp;mlon=44.3075&amp;zoom=12#map=12/32.1741/44.3075","Maplink1")</f>
        <v>Maplink1</v>
      </c>
      <c r="AX1854" s="88" t="str">
        <f>HYPERLINK("https://www.google.iq/maps/search/+32.1741,44.3075/@32.1741,44.3075,14z?hl=en","Maplink2")</f>
        <v>Maplink2</v>
      </c>
      <c r="AY1854" s="88" t="str">
        <f>HYPERLINK("http://www.bing.com/maps/?lvl=14&amp;sty=h&amp;cp=32.1741~44.3075&amp;sp=point.32.1741_44.3075","Maplink3")</f>
        <v>Maplink3</v>
      </c>
      <c r="AZ1854" s="76"/>
    </row>
    <row r="1855" spans="1:52" x14ac:dyDescent="0.25">
      <c r="A1855" s="86">
        <v>29620</v>
      </c>
      <c r="B1855" s="87" t="s">
        <v>23</v>
      </c>
      <c r="C1855" s="87" t="s">
        <v>23</v>
      </c>
      <c r="D1855" s="87" t="s">
        <v>3575</v>
      </c>
      <c r="E1855" s="87" t="s">
        <v>3576</v>
      </c>
      <c r="F1855" s="87">
        <v>32.332179969800002</v>
      </c>
      <c r="G1855" s="87">
        <v>44.2532413112</v>
      </c>
      <c r="H1855" s="86">
        <v>5</v>
      </c>
      <c r="I1855" s="86">
        <v>30</v>
      </c>
      <c r="J1855" s="87"/>
      <c r="K1855" s="87"/>
      <c r="L1855" s="87"/>
      <c r="M1855" s="87"/>
      <c r="N1855" s="87"/>
      <c r="O1855" s="87"/>
      <c r="P1855" s="87"/>
      <c r="Q1855" s="87"/>
      <c r="R1855" s="87"/>
      <c r="S1855" s="87"/>
      <c r="T1855" s="87"/>
      <c r="U1855" s="87"/>
      <c r="V1855" s="87">
        <v>5</v>
      </c>
      <c r="W1855" s="87"/>
      <c r="X1855" s="87"/>
      <c r="Y1855" s="87"/>
      <c r="Z1855" s="87"/>
      <c r="AA1855" s="87"/>
      <c r="AB1855" s="87"/>
      <c r="AC1855" s="87"/>
      <c r="AD1855" s="87"/>
      <c r="AE1855" s="87"/>
      <c r="AF1855" s="87"/>
      <c r="AG1855" s="87"/>
      <c r="AH1855" s="87">
        <v>5</v>
      </c>
      <c r="AI1855" s="87"/>
      <c r="AJ1855" s="87"/>
      <c r="AK1855" s="87"/>
      <c r="AL1855" s="87"/>
      <c r="AM1855" s="87"/>
      <c r="AN1855" s="87"/>
      <c r="AO1855" s="87">
        <v>5</v>
      </c>
      <c r="AP1855" s="87"/>
      <c r="AQ1855" s="87"/>
      <c r="AR1855" s="87"/>
      <c r="AS1855" s="87"/>
      <c r="AT1855" s="87"/>
      <c r="AU1855" s="87"/>
      <c r="AV1855" s="87"/>
      <c r="AW1855" s="88" t="str">
        <f>HYPERLINK("http://www.openstreetmap.org/?mlat=32.3322&amp;mlon=44.2532&amp;zoom=12#map=12/32.3322/44.2532","Maplink1")</f>
        <v>Maplink1</v>
      </c>
      <c r="AX1855" s="88" t="str">
        <f>HYPERLINK("https://www.google.iq/maps/search/+32.3322,44.2532/@32.3322,44.2532,14z?hl=en","Maplink2")</f>
        <v>Maplink2</v>
      </c>
      <c r="AY1855" s="88" t="str">
        <f>HYPERLINK("http://www.bing.com/maps/?lvl=14&amp;sty=h&amp;cp=32.3322~44.2532&amp;sp=point.32.3322_44.2532","Maplink3")</f>
        <v>Maplink3</v>
      </c>
      <c r="AZ1855" s="76"/>
    </row>
    <row r="1856" spans="1:52" x14ac:dyDescent="0.25">
      <c r="A1856" s="86">
        <v>26015</v>
      </c>
      <c r="B1856" s="87" t="s">
        <v>23</v>
      </c>
      <c r="C1856" s="87" t="s">
        <v>23</v>
      </c>
      <c r="D1856" s="87" t="s">
        <v>3577</v>
      </c>
      <c r="E1856" s="87" t="s">
        <v>3578</v>
      </c>
      <c r="F1856" s="87">
        <v>31.986924601799998</v>
      </c>
      <c r="G1856" s="87">
        <v>44.3148376754</v>
      </c>
      <c r="H1856" s="86">
        <v>16</v>
      </c>
      <c r="I1856" s="86">
        <v>96</v>
      </c>
      <c r="J1856" s="87"/>
      <c r="K1856" s="87"/>
      <c r="L1856" s="87"/>
      <c r="M1856" s="87"/>
      <c r="N1856" s="87"/>
      <c r="O1856" s="87"/>
      <c r="P1856" s="87"/>
      <c r="Q1856" s="87"/>
      <c r="R1856" s="87"/>
      <c r="S1856" s="87"/>
      <c r="T1856" s="87"/>
      <c r="U1856" s="87"/>
      <c r="V1856" s="87">
        <v>16</v>
      </c>
      <c r="W1856" s="87"/>
      <c r="X1856" s="87"/>
      <c r="Y1856" s="87"/>
      <c r="Z1856" s="87"/>
      <c r="AA1856" s="87"/>
      <c r="AB1856" s="87"/>
      <c r="AC1856" s="87"/>
      <c r="AD1856" s="87"/>
      <c r="AE1856" s="87"/>
      <c r="AF1856" s="87"/>
      <c r="AG1856" s="87"/>
      <c r="AH1856" s="87">
        <v>16</v>
      </c>
      <c r="AI1856" s="87"/>
      <c r="AJ1856" s="87"/>
      <c r="AK1856" s="87"/>
      <c r="AL1856" s="87"/>
      <c r="AM1856" s="87"/>
      <c r="AN1856" s="87"/>
      <c r="AO1856" s="87"/>
      <c r="AP1856" s="87">
        <v>16</v>
      </c>
      <c r="AQ1856" s="87"/>
      <c r="AR1856" s="87"/>
      <c r="AS1856" s="87"/>
      <c r="AT1856" s="87"/>
      <c r="AU1856" s="87"/>
      <c r="AV1856" s="87"/>
      <c r="AW1856" s="88" t="str">
        <f>HYPERLINK("http://www.openstreetmap.org/?mlat=31.9869&amp;mlon=44.3148&amp;zoom=12#map=12/31.9869/44.3148","Maplink1")</f>
        <v>Maplink1</v>
      </c>
      <c r="AX1856" s="88" t="str">
        <f>HYPERLINK("https://www.google.iq/maps/search/+31.9869,44.3148/@31.9869,44.3148,14z?hl=en","Maplink2")</f>
        <v>Maplink2</v>
      </c>
      <c r="AY1856" s="88" t="str">
        <f>HYPERLINK("http://www.bing.com/maps/?lvl=14&amp;sty=h&amp;cp=31.9869~44.3148&amp;sp=point.31.9869_44.3148","Maplink3")</f>
        <v>Maplink3</v>
      </c>
      <c r="AZ1856" s="76"/>
    </row>
    <row r="1857" spans="1:52" x14ac:dyDescent="0.25">
      <c r="A1857" s="86">
        <v>19971</v>
      </c>
      <c r="B1857" s="87" t="s">
        <v>23</v>
      </c>
      <c r="C1857" s="87" t="s">
        <v>23</v>
      </c>
      <c r="D1857" s="87" t="s">
        <v>3579</v>
      </c>
      <c r="E1857" s="87" t="s">
        <v>3580</v>
      </c>
      <c r="F1857" s="87">
        <v>31.986308999799999</v>
      </c>
      <c r="G1857" s="87">
        <v>44.352931604299997</v>
      </c>
      <c r="H1857" s="86">
        <v>4</v>
      </c>
      <c r="I1857" s="86">
        <v>24</v>
      </c>
      <c r="J1857" s="87"/>
      <c r="K1857" s="87"/>
      <c r="L1857" s="87"/>
      <c r="M1857" s="87"/>
      <c r="N1857" s="87"/>
      <c r="O1857" s="87"/>
      <c r="P1857" s="87"/>
      <c r="Q1857" s="87"/>
      <c r="R1857" s="87"/>
      <c r="S1857" s="87"/>
      <c r="T1857" s="87"/>
      <c r="U1857" s="87"/>
      <c r="V1857" s="87">
        <v>4</v>
      </c>
      <c r="W1857" s="87"/>
      <c r="X1857" s="87"/>
      <c r="Y1857" s="87"/>
      <c r="Z1857" s="87"/>
      <c r="AA1857" s="87"/>
      <c r="AB1857" s="87"/>
      <c r="AC1857" s="87"/>
      <c r="AD1857" s="87"/>
      <c r="AE1857" s="87"/>
      <c r="AF1857" s="87"/>
      <c r="AG1857" s="87"/>
      <c r="AH1857" s="87">
        <v>4</v>
      </c>
      <c r="AI1857" s="87"/>
      <c r="AJ1857" s="87"/>
      <c r="AK1857" s="87"/>
      <c r="AL1857" s="87"/>
      <c r="AM1857" s="87"/>
      <c r="AN1857" s="87"/>
      <c r="AO1857" s="87">
        <v>4</v>
      </c>
      <c r="AP1857" s="87"/>
      <c r="AQ1857" s="87"/>
      <c r="AR1857" s="87"/>
      <c r="AS1857" s="87"/>
      <c r="AT1857" s="87"/>
      <c r="AU1857" s="87"/>
      <c r="AV1857" s="87"/>
      <c r="AW1857" s="88" t="str">
        <f>HYPERLINK("http://www.openstreetmap.org/?mlat=31.9863&amp;mlon=44.3529&amp;zoom=12#map=12/31.9863/44.3529","Maplink1")</f>
        <v>Maplink1</v>
      </c>
      <c r="AX1857" s="88" t="str">
        <f>HYPERLINK("https://www.google.iq/maps/search/+31.9863,44.3529/@31.9863,44.3529,14z?hl=en","Maplink2")</f>
        <v>Maplink2</v>
      </c>
      <c r="AY1857" s="88" t="str">
        <f>HYPERLINK("http://www.bing.com/maps/?lvl=14&amp;sty=h&amp;cp=31.9863~44.3529&amp;sp=point.31.9863_44.3529","Maplink3")</f>
        <v>Maplink3</v>
      </c>
      <c r="AZ1857" s="76"/>
    </row>
    <row r="1858" spans="1:52" x14ac:dyDescent="0.25">
      <c r="A1858" s="86">
        <v>25943</v>
      </c>
      <c r="B1858" s="87" t="s">
        <v>23</v>
      </c>
      <c r="C1858" s="87" t="s">
        <v>23</v>
      </c>
      <c r="D1858" s="87" t="s">
        <v>3581</v>
      </c>
      <c r="E1858" s="87" t="s">
        <v>3582</v>
      </c>
      <c r="F1858" s="87">
        <v>32.051397061000003</v>
      </c>
      <c r="G1858" s="87">
        <v>44.308155294700001</v>
      </c>
      <c r="H1858" s="86">
        <v>7</v>
      </c>
      <c r="I1858" s="86">
        <v>42</v>
      </c>
      <c r="J1858" s="87"/>
      <c r="K1858" s="87"/>
      <c r="L1858" s="87"/>
      <c r="M1858" s="87"/>
      <c r="N1858" s="87"/>
      <c r="O1858" s="87"/>
      <c r="P1858" s="87"/>
      <c r="Q1858" s="87"/>
      <c r="R1858" s="87"/>
      <c r="S1858" s="87"/>
      <c r="T1858" s="87"/>
      <c r="U1858" s="87"/>
      <c r="V1858" s="87">
        <v>7</v>
      </c>
      <c r="W1858" s="87"/>
      <c r="X1858" s="87"/>
      <c r="Y1858" s="87"/>
      <c r="Z1858" s="87"/>
      <c r="AA1858" s="87"/>
      <c r="AB1858" s="87"/>
      <c r="AC1858" s="87"/>
      <c r="AD1858" s="87"/>
      <c r="AE1858" s="87"/>
      <c r="AF1858" s="87"/>
      <c r="AG1858" s="87"/>
      <c r="AH1858" s="87">
        <v>7</v>
      </c>
      <c r="AI1858" s="87"/>
      <c r="AJ1858" s="87"/>
      <c r="AK1858" s="87"/>
      <c r="AL1858" s="87"/>
      <c r="AM1858" s="87"/>
      <c r="AN1858" s="87"/>
      <c r="AO1858" s="87"/>
      <c r="AP1858" s="87">
        <v>7</v>
      </c>
      <c r="AQ1858" s="87"/>
      <c r="AR1858" s="87"/>
      <c r="AS1858" s="87"/>
      <c r="AT1858" s="87"/>
      <c r="AU1858" s="87"/>
      <c r="AV1858" s="87"/>
      <c r="AW1858" s="88" t="str">
        <f>HYPERLINK("http://www.openstreetmap.org/?mlat=32.0514&amp;mlon=44.3082&amp;zoom=12#map=12/32.0514/44.3082","Maplink1")</f>
        <v>Maplink1</v>
      </c>
      <c r="AX1858" s="88" t="str">
        <f>HYPERLINK("https://www.google.iq/maps/search/+32.0514,44.3082/@32.0514,44.3082,14z?hl=en","Maplink2")</f>
        <v>Maplink2</v>
      </c>
      <c r="AY1858" s="88" t="str">
        <f>HYPERLINK("http://www.bing.com/maps/?lvl=14&amp;sty=h&amp;cp=32.0514~44.3082&amp;sp=point.32.0514_44.3082","Maplink3")</f>
        <v>Maplink3</v>
      </c>
      <c r="AZ1858" s="76"/>
    </row>
    <row r="1859" spans="1:52" x14ac:dyDescent="0.25">
      <c r="A1859" s="86">
        <v>20287</v>
      </c>
      <c r="B1859" s="87" t="s">
        <v>23</v>
      </c>
      <c r="C1859" s="87" t="s">
        <v>23</v>
      </c>
      <c r="D1859" s="87" t="s">
        <v>3583</v>
      </c>
      <c r="E1859" s="87" t="s">
        <v>3584</v>
      </c>
      <c r="F1859" s="87">
        <v>32.090367725599997</v>
      </c>
      <c r="G1859" s="87">
        <v>44.333450764299997</v>
      </c>
      <c r="H1859" s="86">
        <v>100</v>
      </c>
      <c r="I1859" s="86">
        <v>600</v>
      </c>
      <c r="J1859" s="87"/>
      <c r="K1859" s="87"/>
      <c r="L1859" s="87"/>
      <c r="M1859" s="87"/>
      <c r="N1859" s="87"/>
      <c r="O1859" s="87">
        <v>7</v>
      </c>
      <c r="P1859" s="87"/>
      <c r="Q1859" s="87"/>
      <c r="R1859" s="87"/>
      <c r="S1859" s="87"/>
      <c r="T1859" s="87"/>
      <c r="U1859" s="87"/>
      <c r="V1859" s="87">
        <v>87</v>
      </c>
      <c r="W1859" s="87"/>
      <c r="X1859" s="87">
        <v>6</v>
      </c>
      <c r="Y1859" s="87"/>
      <c r="Z1859" s="87"/>
      <c r="AA1859" s="87"/>
      <c r="AB1859" s="87"/>
      <c r="AC1859" s="87"/>
      <c r="AD1859" s="87"/>
      <c r="AE1859" s="87"/>
      <c r="AF1859" s="87"/>
      <c r="AG1859" s="87"/>
      <c r="AH1859" s="87">
        <v>100</v>
      </c>
      <c r="AI1859" s="87"/>
      <c r="AJ1859" s="87"/>
      <c r="AK1859" s="87"/>
      <c r="AL1859" s="87"/>
      <c r="AM1859" s="87"/>
      <c r="AN1859" s="87"/>
      <c r="AO1859" s="87">
        <v>87</v>
      </c>
      <c r="AP1859" s="87"/>
      <c r="AQ1859" s="87">
        <v>13</v>
      </c>
      <c r="AR1859" s="87"/>
      <c r="AS1859" s="87"/>
      <c r="AT1859" s="87"/>
      <c r="AU1859" s="87"/>
      <c r="AV1859" s="87"/>
      <c r="AW1859" s="88" t="str">
        <f>HYPERLINK("http://www.openstreetmap.org/?mlat=32.0904&amp;mlon=44.3335&amp;zoom=12#map=12/32.0904/44.3335","Maplink1")</f>
        <v>Maplink1</v>
      </c>
      <c r="AX1859" s="88" t="str">
        <f>HYPERLINK("https://www.google.iq/maps/search/+32.0904,44.3335/@32.0904,44.3335,14z?hl=en","Maplink2")</f>
        <v>Maplink2</v>
      </c>
      <c r="AY1859" s="88" t="str">
        <f>HYPERLINK("http://www.bing.com/maps/?lvl=14&amp;sty=h&amp;cp=32.0904~44.3335&amp;sp=point.32.0904_44.3335","Maplink3")</f>
        <v>Maplink3</v>
      </c>
      <c r="AZ1859" s="76"/>
    </row>
    <row r="1860" spans="1:52" x14ac:dyDescent="0.25">
      <c r="A1860" s="86">
        <v>20098</v>
      </c>
      <c r="B1860" s="87" t="s">
        <v>23</v>
      </c>
      <c r="C1860" s="87" t="s">
        <v>23</v>
      </c>
      <c r="D1860" s="87" t="s">
        <v>3585</v>
      </c>
      <c r="E1860" s="87" t="s">
        <v>3586</v>
      </c>
      <c r="F1860" s="87">
        <v>32.038082177299998</v>
      </c>
      <c r="G1860" s="87">
        <v>44.3120831958</v>
      </c>
      <c r="H1860" s="86">
        <v>7</v>
      </c>
      <c r="I1860" s="86">
        <v>42</v>
      </c>
      <c r="J1860" s="87"/>
      <c r="K1860" s="87"/>
      <c r="L1860" s="87"/>
      <c r="M1860" s="87"/>
      <c r="N1860" s="87"/>
      <c r="O1860" s="87"/>
      <c r="P1860" s="87"/>
      <c r="Q1860" s="87"/>
      <c r="R1860" s="87"/>
      <c r="S1860" s="87"/>
      <c r="T1860" s="87"/>
      <c r="U1860" s="87"/>
      <c r="V1860" s="87">
        <v>7</v>
      </c>
      <c r="W1860" s="87"/>
      <c r="X1860" s="87"/>
      <c r="Y1860" s="87"/>
      <c r="Z1860" s="87"/>
      <c r="AA1860" s="87"/>
      <c r="AB1860" s="87"/>
      <c r="AC1860" s="87"/>
      <c r="AD1860" s="87"/>
      <c r="AE1860" s="87"/>
      <c r="AF1860" s="87"/>
      <c r="AG1860" s="87"/>
      <c r="AH1860" s="87">
        <v>7</v>
      </c>
      <c r="AI1860" s="87"/>
      <c r="AJ1860" s="87"/>
      <c r="AK1860" s="87"/>
      <c r="AL1860" s="87"/>
      <c r="AM1860" s="87"/>
      <c r="AN1860" s="87"/>
      <c r="AO1860" s="87">
        <v>7</v>
      </c>
      <c r="AP1860" s="87"/>
      <c r="AQ1860" s="87"/>
      <c r="AR1860" s="87"/>
      <c r="AS1860" s="87"/>
      <c r="AT1860" s="87"/>
      <c r="AU1860" s="87"/>
      <c r="AV1860" s="87"/>
      <c r="AW1860" s="88" t="str">
        <f>HYPERLINK("http://www.openstreetmap.org/?mlat=32.0381&amp;mlon=44.3121&amp;zoom=12#map=12/32.0381/44.3121","Maplink1")</f>
        <v>Maplink1</v>
      </c>
      <c r="AX1860" s="88" t="str">
        <f>HYPERLINK("https://www.google.iq/maps/search/+32.0381,44.3121/@32.0381,44.3121,14z?hl=en","Maplink2")</f>
        <v>Maplink2</v>
      </c>
      <c r="AY1860" s="88" t="str">
        <f>HYPERLINK("http://www.bing.com/maps/?lvl=14&amp;sty=h&amp;cp=32.0381~44.3121&amp;sp=point.32.0381_44.3121","Maplink3")</f>
        <v>Maplink3</v>
      </c>
      <c r="AZ1860" s="76"/>
    </row>
    <row r="1861" spans="1:52" x14ac:dyDescent="0.25">
      <c r="A1861" s="86">
        <v>20073</v>
      </c>
      <c r="B1861" s="87" t="s">
        <v>23</v>
      </c>
      <c r="C1861" s="87" t="s">
        <v>23</v>
      </c>
      <c r="D1861" s="87" t="s">
        <v>3587</v>
      </c>
      <c r="E1861" s="87" t="s">
        <v>3588</v>
      </c>
      <c r="F1861" s="87">
        <v>32.037507146499998</v>
      </c>
      <c r="G1861" s="87">
        <v>44.308797401100001</v>
      </c>
      <c r="H1861" s="86">
        <v>6</v>
      </c>
      <c r="I1861" s="86">
        <v>36</v>
      </c>
      <c r="J1861" s="87"/>
      <c r="K1861" s="87"/>
      <c r="L1861" s="87"/>
      <c r="M1861" s="87"/>
      <c r="N1861" s="87"/>
      <c r="O1861" s="87"/>
      <c r="P1861" s="87"/>
      <c r="Q1861" s="87"/>
      <c r="R1861" s="87"/>
      <c r="S1861" s="87"/>
      <c r="T1861" s="87"/>
      <c r="U1861" s="87"/>
      <c r="V1861" s="87">
        <v>6</v>
      </c>
      <c r="W1861" s="87"/>
      <c r="X1861" s="87"/>
      <c r="Y1861" s="87"/>
      <c r="Z1861" s="87"/>
      <c r="AA1861" s="87"/>
      <c r="AB1861" s="87"/>
      <c r="AC1861" s="87"/>
      <c r="AD1861" s="87"/>
      <c r="AE1861" s="87"/>
      <c r="AF1861" s="87"/>
      <c r="AG1861" s="87"/>
      <c r="AH1861" s="87">
        <v>6</v>
      </c>
      <c r="AI1861" s="87"/>
      <c r="AJ1861" s="87"/>
      <c r="AK1861" s="87"/>
      <c r="AL1861" s="87"/>
      <c r="AM1861" s="87"/>
      <c r="AN1861" s="87"/>
      <c r="AO1861" s="87">
        <v>6</v>
      </c>
      <c r="AP1861" s="87"/>
      <c r="AQ1861" s="87"/>
      <c r="AR1861" s="87"/>
      <c r="AS1861" s="87"/>
      <c r="AT1861" s="87"/>
      <c r="AU1861" s="87"/>
      <c r="AV1861" s="87"/>
      <c r="AW1861" s="88" t="str">
        <f>HYPERLINK("http://www.openstreetmap.org/?mlat=32.0375&amp;mlon=44.3088&amp;zoom=12#map=12/32.0375/44.3088","Maplink1")</f>
        <v>Maplink1</v>
      </c>
      <c r="AX1861" s="88" t="str">
        <f>HYPERLINK("https://www.google.iq/maps/search/+32.0375,44.3088/@32.0375,44.3088,14z?hl=en","Maplink2")</f>
        <v>Maplink2</v>
      </c>
      <c r="AY1861" s="88" t="str">
        <f>HYPERLINK("http://www.bing.com/maps/?lvl=14&amp;sty=h&amp;cp=32.0375~44.3088&amp;sp=point.32.0375_44.3088","Maplink3")</f>
        <v>Maplink3</v>
      </c>
      <c r="AZ1861" s="76"/>
    </row>
    <row r="1862" spans="1:52" x14ac:dyDescent="0.25">
      <c r="A1862" s="86">
        <v>29623</v>
      </c>
      <c r="B1862" s="87" t="s">
        <v>23</v>
      </c>
      <c r="C1862" s="87" t="s">
        <v>23</v>
      </c>
      <c r="D1862" s="87" t="s">
        <v>3589</v>
      </c>
      <c r="E1862" s="87" t="s">
        <v>3590</v>
      </c>
      <c r="F1862" s="87">
        <v>32.11799585</v>
      </c>
      <c r="G1862" s="87">
        <v>44.339021230100002</v>
      </c>
      <c r="H1862" s="86">
        <v>106</v>
      </c>
      <c r="I1862" s="86">
        <v>636</v>
      </c>
      <c r="J1862" s="87"/>
      <c r="K1862" s="87"/>
      <c r="L1862" s="87"/>
      <c r="M1862" s="87"/>
      <c r="N1862" s="87"/>
      <c r="O1862" s="87"/>
      <c r="P1862" s="87"/>
      <c r="Q1862" s="87"/>
      <c r="R1862" s="87"/>
      <c r="S1862" s="87"/>
      <c r="T1862" s="87"/>
      <c r="U1862" s="87"/>
      <c r="V1862" s="87">
        <v>106</v>
      </c>
      <c r="W1862" s="87"/>
      <c r="X1862" s="87"/>
      <c r="Y1862" s="87"/>
      <c r="Z1862" s="87"/>
      <c r="AA1862" s="87"/>
      <c r="AB1862" s="87"/>
      <c r="AC1862" s="87"/>
      <c r="AD1862" s="87"/>
      <c r="AE1862" s="87"/>
      <c r="AF1862" s="87"/>
      <c r="AG1862" s="87"/>
      <c r="AH1862" s="87">
        <v>106</v>
      </c>
      <c r="AI1862" s="87"/>
      <c r="AJ1862" s="87"/>
      <c r="AK1862" s="87"/>
      <c r="AL1862" s="87"/>
      <c r="AM1862" s="87"/>
      <c r="AN1862" s="87"/>
      <c r="AO1862" s="87">
        <v>106</v>
      </c>
      <c r="AP1862" s="87"/>
      <c r="AQ1862" s="87"/>
      <c r="AR1862" s="87"/>
      <c r="AS1862" s="87"/>
      <c r="AT1862" s="87"/>
      <c r="AU1862" s="87"/>
      <c r="AV1862" s="87"/>
      <c r="AW1862" s="88" t="str">
        <f>HYPERLINK("http://www.openstreetmap.org/?mlat=32.118&amp;mlon=44.339&amp;zoom=12#map=12/32.118/44.339","Maplink1")</f>
        <v>Maplink1</v>
      </c>
      <c r="AX1862" s="88" t="str">
        <f>HYPERLINK("https://www.google.iq/maps/search/+32.118,44.339/@32.118,44.339,14z?hl=en","Maplink2")</f>
        <v>Maplink2</v>
      </c>
      <c r="AY1862" s="88" t="str">
        <f>HYPERLINK("http://www.bing.com/maps/?lvl=14&amp;sty=h&amp;cp=32.118~44.339&amp;sp=point.32.118_44.339","Maplink3")</f>
        <v>Maplink3</v>
      </c>
      <c r="AZ1862" s="76"/>
    </row>
    <row r="1863" spans="1:52" x14ac:dyDescent="0.25">
      <c r="A1863" s="86">
        <v>29619</v>
      </c>
      <c r="B1863" s="87" t="s">
        <v>23</v>
      </c>
      <c r="C1863" s="87" t="s">
        <v>23</v>
      </c>
      <c r="D1863" s="87" t="s">
        <v>3591</v>
      </c>
      <c r="E1863" s="87" t="s">
        <v>3592</v>
      </c>
      <c r="F1863" s="87">
        <v>32.241219535799999</v>
      </c>
      <c r="G1863" s="87">
        <v>44.291453769</v>
      </c>
      <c r="H1863" s="86">
        <v>85</v>
      </c>
      <c r="I1863" s="86">
        <v>510</v>
      </c>
      <c r="J1863" s="87"/>
      <c r="K1863" s="87"/>
      <c r="L1863" s="87"/>
      <c r="M1863" s="87"/>
      <c r="N1863" s="87"/>
      <c r="O1863" s="87"/>
      <c r="P1863" s="87"/>
      <c r="Q1863" s="87"/>
      <c r="R1863" s="87"/>
      <c r="S1863" s="87"/>
      <c r="T1863" s="87"/>
      <c r="U1863" s="87"/>
      <c r="V1863" s="87">
        <v>85</v>
      </c>
      <c r="W1863" s="87"/>
      <c r="X1863" s="87"/>
      <c r="Y1863" s="87"/>
      <c r="Z1863" s="87"/>
      <c r="AA1863" s="87"/>
      <c r="AB1863" s="87"/>
      <c r="AC1863" s="87"/>
      <c r="AD1863" s="87"/>
      <c r="AE1863" s="87"/>
      <c r="AF1863" s="87"/>
      <c r="AG1863" s="87"/>
      <c r="AH1863" s="87">
        <v>85</v>
      </c>
      <c r="AI1863" s="87"/>
      <c r="AJ1863" s="87"/>
      <c r="AK1863" s="87"/>
      <c r="AL1863" s="87"/>
      <c r="AM1863" s="87"/>
      <c r="AN1863" s="87"/>
      <c r="AO1863" s="87">
        <v>85</v>
      </c>
      <c r="AP1863" s="87"/>
      <c r="AQ1863" s="87"/>
      <c r="AR1863" s="87"/>
      <c r="AS1863" s="87"/>
      <c r="AT1863" s="87"/>
      <c r="AU1863" s="87"/>
      <c r="AV1863" s="87"/>
      <c r="AW1863" s="88" t="str">
        <f>HYPERLINK("http://www.openstreetmap.org/?mlat=32.2412&amp;mlon=44.2915&amp;zoom=12#map=12/32.2412/44.2915","Maplink1")</f>
        <v>Maplink1</v>
      </c>
      <c r="AX1863" s="88" t="str">
        <f>HYPERLINK("https://www.google.iq/maps/search/+32.2412,44.2915/@32.2412,44.2915,14z?hl=en","Maplink2")</f>
        <v>Maplink2</v>
      </c>
      <c r="AY1863" s="88" t="str">
        <f>HYPERLINK("http://www.bing.com/maps/?lvl=14&amp;sty=h&amp;cp=32.2412~44.2915&amp;sp=point.32.2412_44.2915","Maplink3")</f>
        <v>Maplink3</v>
      </c>
      <c r="AZ1863" s="76"/>
    </row>
    <row r="1864" spans="1:52" x14ac:dyDescent="0.25">
      <c r="A1864" s="86">
        <v>25977</v>
      </c>
      <c r="B1864" s="87" t="s">
        <v>23</v>
      </c>
      <c r="C1864" s="87" t="s">
        <v>23</v>
      </c>
      <c r="D1864" s="87" t="s">
        <v>3593</v>
      </c>
      <c r="E1864" s="87" t="s">
        <v>3594</v>
      </c>
      <c r="F1864" s="87">
        <v>32.061416853600001</v>
      </c>
      <c r="G1864" s="87">
        <v>44.303490557799996</v>
      </c>
      <c r="H1864" s="86">
        <v>5</v>
      </c>
      <c r="I1864" s="86">
        <v>30</v>
      </c>
      <c r="J1864" s="87"/>
      <c r="K1864" s="87"/>
      <c r="L1864" s="87"/>
      <c r="M1864" s="87"/>
      <c r="N1864" s="87"/>
      <c r="O1864" s="87"/>
      <c r="P1864" s="87"/>
      <c r="Q1864" s="87"/>
      <c r="R1864" s="87"/>
      <c r="S1864" s="87"/>
      <c r="T1864" s="87"/>
      <c r="U1864" s="87"/>
      <c r="V1864" s="87">
        <v>5</v>
      </c>
      <c r="W1864" s="87"/>
      <c r="X1864" s="87"/>
      <c r="Y1864" s="87"/>
      <c r="Z1864" s="87"/>
      <c r="AA1864" s="87"/>
      <c r="AB1864" s="87"/>
      <c r="AC1864" s="87"/>
      <c r="AD1864" s="87"/>
      <c r="AE1864" s="87"/>
      <c r="AF1864" s="87"/>
      <c r="AG1864" s="87"/>
      <c r="AH1864" s="87">
        <v>5</v>
      </c>
      <c r="AI1864" s="87"/>
      <c r="AJ1864" s="87"/>
      <c r="AK1864" s="87"/>
      <c r="AL1864" s="87"/>
      <c r="AM1864" s="87"/>
      <c r="AN1864" s="87"/>
      <c r="AO1864" s="87">
        <v>5</v>
      </c>
      <c r="AP1864" s="87"/>
      <c r="AQ1864" s="87"/>
      <c r="AR1864" s="87"/>
      <c r="AS1864" s="87"/>
      <c r="AT1864" s="87"/>
      <c r="AU1864" s="87"/>
      <c r="AV1864" s="87"/>
      <c r="AW1864" s="88" t="str">
        <f>HYPERLINK("http://www.openstreetmap.org/?mlat=32.0614&amp;mlon=44.3035&amp;zoom=12#map=12/32.0614/44.3035","Maplink1")</f>
        <v>Maplink1</v>
      </c>
      <c r="AX1864" s="88" t="str">
        <f>HYPERLINK("https://www.google.iq/maps/search/+32.0614,44.3035/@32.0614,44.3035,14z?hl=en","Maplink2")</f>
        <v>Maplink2</v>
      </c>
      <c r="AY1864" s="88" t="str">
        <f>HYPERLINK("http://www.bing.com/maps/?lvl=14&amp;sty=h&amp;cp=32.0614~44.3035&amp;sp=point.32.0614_44.3035","Maplink3")</f>
        <v>Maplink3</v>
      </c>
      <c r="AZ1864" s="76"/>
    </row>
    <row r="1865" spans="1:52" x14ac:dyDescent="0.25">
      <c r="A1865" s="86">
        <v>20341</v>
      </c>
      <c r="B1865" s="87" t="s">
        <v>23</v>
      </c>
      <c r="C1865" s="87" t="s">
        <v>23</v>
      </c>
      <c r="D1865" s="87" t="s">
        <v>3595</v>
      </c>
      <c r="E1865" s="87" t="s">
        <v>3596</v>
      </c>
      <c r="F1865" s="87">
        <v>32.310132784099999</v>
      </c>
      <c r="G1865" s="87">
        <v>44.276547747099997</v>
      </c>
      <c r="H1865" s="86">
        <v>60</v>
      </c>
      <c r="I1865" s="86">
        <v>360</v>
      </c>
      <c r="J1865" s="87"/>
      <c r="K1865" s="87"/>
      <c r="L1865" s="87"/>
      <c r="M1865" s="87"/>
      <c r="N1865" s="87"/>
      <c r="O1865" s="87"/>
      <c r="P1865" s="87"/>
      <c r="Q1865" s="87"/>
      <c r="R1865" s="87"/>
      <c r="S1865" s="87"/>
      <c r="T1865" s="87"/>
      <c r="U1865" s="87"/>
      <c r="V1865" s="87">
        <v>60</v>
      </c>
      <c r="W1865" s="87"/>
      <c r="X1865" s="87"/>
      <c r="Y1865" s="87"/>
      <c r="Z1865" s="87"/>
      <c r="AA1865" s="87"/>
      <c r="AB1865" s="87"/>
      <c r="AC1865" s="87"/>
      <c r="AD1865" s="87"/>
      <c r="AE1865" s="87"/>
      <c r="AF1865" s="87"/>
      <c r="AG1865" s="87">
        <v>20</v>
      </c>
      <c r="AH1865" s="87">
        <v>40</v>
      </c>
      <c r="AI1865" s="87"/>
      <c r="AJ1865" s="87"/>
      <c r="AK1865" s="87"/>
      <c r="AL1865" s="87"/>
      <c r="AM1865" s="87"/>
      <c r="AN1865" s="87"/>
      <c r="AO1865" s="87">
        <v>60</v>
      </c>
      <c r="AP1865" s="87"/>
      <c r="AQ1865" s="87"/>
      <c r="AR1865" s="87"/>
      <c r="AS1865" s="87"/>
      <c r="AT1865" s="87"/>
      <c r="AU1865" s="87"/>
      <c r="AV1865" s="87"/>
      <c r="AW1865" s="88" t="str">
        <f>HYPERLINK("http://www.openstreetmap.org/?mlat=32.3101&amp;mlon=44.2765&amp;zoom=12#map=12/32.3101/44.2765","Maplink1")</f>
        <v>Maplink1</v>
      </c>
      <c r="AX1865" s="88" t="str">
        <f>HYPERLINK("https://www.google.iq/maps/search/+32.3101,44.2765/@32.3101,44.2765,14z?hl=en","Maplink2")</f>
        <v>Maplink2</v>
      </c>
      <c r="AY1865" s="88" t="str">
        <f>HYPERLINK("http://www.bing.com/maps/?lvl=14&amp;sty=h&amp;cp=32.3101~44.2765&amp;sp=point.32.3101_44.2765","Maplink3")</f>
        <v>Maplink3</v>
      </c>
      <c r="AZ1865" s="76"/>
    </row>
    <row r="1866" spans="1:52" x14ac:dyDescent="0.25">
      <c r="A1866" s="86">
        <v>23747</v>
      </c>
      <c r="B1866" s="87" t="s">
        <v>23</v>
      </c>
      <c r="C1866" s="87" t="s">
        <v>23</v>
      </c>
      <c r="D1866" s="87" t="s">
        <v>3597</v>
      </c>
      <c r="E1866" s="87" t="s">
        <v>3598</v>
      </c>
      <c r="F1866" s="87">
        <v>32.048706476500001</v>
      </c>
      <c r="G1866" s="87">
        <v>44.312529203499999</v>
      </c>
      <c r="H1866" s="86">
        <v>5</v>
      </c>
      <c r="I1866" s="86">
        <v>30</v>
      </c>
      <c r="J1866" s="87"/>
      <c r="K1866" s="87"/>
      <c r="L1866" s="87"/>
      <c r="M1866" s="87"/>
      <c r="N1866" s="87"/>
      <c r="O1866" s="87"/>
      <c r="P1866" s="87"/>
      <c r="Q1866" s="87"/>
      <c r="R1866" s="87"/>
      <c r="S1866" s="87"/>
      <c r="T1866" s="87"/>
      <c r="U1866" s="87"/>
      <c r="V1866" s="87">
        <v>5</v>
      </c>
      <c r="W1866" s="87"/>
      <c r="X1866" s="87"/>
      <c r="Y1866" s="87"/>
      <c r="Z1866" s="87"/>
      <c r="AA1866" s="87"/>
      <c r="AB1866" s="87"/>
      <c r="AC1866" s="87"/>
      <c r="AD1866" s="87"/>
      <c r="AE1866" s="87"/>
      <c r="AF1866" s="87"/>
      <c r="AG1866" s="87"/>
      <c r="AH1866" s="87">
        <v>5</v>
      </c>
      <c r="AI1866" s="87"/>
      <c r="AJ1866" s="87"/>
      <c r="AK1866" s="87"/>
      <c r="AL1866" s="87"/>
      <c r="AM1866" s="87"/>
      <c r="AN1866" s="87"/>
      <c r="AO1866" s="87">
        <v>5</v>
      </c>
      <c r="AP1866" s="87"/>
      <c r="AQ1866" s="87"/>
      <c r="AR1866" s="87"/>
      <c r="AS1866" s="87"/>
      <c r="AT1866" s="87"/>
      <c r="AU1866" s="87"/>
      <c r="AV1866" s="87"/>
      <c r="AW1866" s="88" t="str">
        <f>HYPERLINK("http://www.openstreetmap.org/?mlat=32.0487&amp;mlon=44.3125&amp;zoom=12#map=12/32.0487/44.3125","Maplink1")</f>
        <v>Maplink1</v>
      </c>
      <c r="AX1866" s="88" t="str">
        <f>HYPERLINK("https://www.google.iq/maps/search/+32.0487,44.3125/@32.0487,44.3125,14z?hl=en","Maplink2")</f>
        <v>Maplink2</v>
      </c>
      <c r="AY1866" s="88" t="str">
        <f>HYPERLINK("http://www.bing.com/maps/?lvl=14&amp;sty=h&amp;cp=32.0487~44.3125&amp;sp=point.32.0487_44.3125","Maplink3")</f>
        <v>Maplink3</v>
      </c>
      <c r="AZ1866" s="76"/>
    </row>
    <row r="1867" spans="1:52" x14ac:dyDescent="0.25">
      <c r="A1867" s="86">
        <v>20128</v>
      </c>
      <c r="B1867" s="87" t="s">
        <v>23</v>
      </c>
      <c r="C1867" s="87" t="s">
        <v>23</v>
      </c>
      <c r="D1867" s="87" t="s">
        <v>3599</v>
      </c>
      <c r="E1867" s="87" t="s">
        <v>3600</v>
      </c>
      <c r="F1867" s="87">
        <v>32.051740355600003</v>
      </c>
      <c r="G1867" s="87">
        <v>44.314346169799997</v>
      </c>
      <c r="H1867" s="86">
        <v>2</v>
      </c>
      <c r="I1867" s="86">
        <v>12</v>
      </c>
      <c r="J1867" s="87"/>
      <c r="K1867" s="87"/>
      <c r="L1867" s="87"/>
      <c r="M1867" s="87"/>
      <c r="N1867" s="87"/>
      <c r="O1867" s="87"/>
      <c r="P1867" s="87"/>
      <c r="Q1867" s="87"/>
      <c r="R1867" s="87"/>
      <c r="S1867" s="87"/>
      <c r="T1867" s="87"/>
      <c r="U1867" s="87"/>
      <c r="V1867" s="87">
        <v>2</v>
      </c>
      <c r="W1867" s="87"/>
      <c r="X1867" s="87"/>
      <c r="Y1867" s="87"/>
      <c r="Z1867" s="87"/>
      <c r="AA1867" s="87"/>
      <c r="AB1867" s="87"/>
      <c r="AC1867" s="87"/>
      <c r="AD1867" s="87"/>
      <c r="AE1867" s="87"/>
      <c r="AF1867" s="87"/>
      <c r="AG1867" s="87"/>
      <c r="AH1867" s="87"/>
      <c r="AI1867" s="87">
        <v>2</v>
      </c>
      <c r="AJ1867" s="87"/>
      <c r="AK1867" s="87"/>
      <c r="AL1867" s="87"/>
      <c r="AM1867" s="87"/>
      <c r="AN1867" s="87"/>
      <c r="AO1867" s="87"/>
      <c r="AP1867" s="87">
        <v>2</v>
      </c>
      <c r="AQ1867" s="87"/>
      <c r="AR1867" s="87"/>
      <c r="AS1867" s="87"/>
      <c r="AT1867" s="87"/>
      <c r="AU1867" s="87"/>
      <c r="AV1867" s="87"/>
      <c r="AW1867" s="88" t="str">
        <f>HYPERLINK("http://www.openstreetmap.org/?mlat=32.0517&amp;mlon=44.3143&amp;zoom=12#map=12/32.0517/44.3143","Maplink1")</f>
        <v>Maplink1</v>
      </c>
      <c r="AX1867" s="88" t="str">
        <f>HYPERLINK("https://www.google.iq/maps/search/+32.0517,44.3143/@32.0517,44.3143,14z?hl=en","Maplink2")</f>
        <v>Maplink2</v>
      </c>
      <c r="AY1867" s="88" t="str">
        <f>HYPERLINK("http://www.bing.com/maps/?lvl=14&amp;sty=h&amp;cp=32.0517~44.3143&amp;sp=point.32.0517_44.3143","Maplink3")</f>
        <v>Maplink3</v>
      </c>
      <c r="AZ1867" s="76"/>
    </row>
    <row r="1868" spans="1:52" x14ac:dyDescent="0.25">
      <c r="A1868" s="86">
        <v>20304</v>
      </c>
      <c r="B1868" s="87" t="s">
        <v>23</v>
      </c>
      <c r="C1868" s="87" t="s">
        <v>23</v>
      </c>
      <c r="D1868" s="87" t="s">
        <v>3601</v>
      </c>
      <c r="E1868" s="87" t="s">
        <v>3602</v>
      </c>
      <c r="F1868" s="87">
        <v>31.962293839499999</v>
      </c>
      <c r="G1868" s="87">
        <v>44.413639897000003</v>
      </c>
      <c r="H1868" s="86">
        <v>250</v>
      </c>
      <c r="I1868" s="86">
        <v>1500</v>
      </c>
      <c r="J1868" s="87"/>
      <c r="K1868" s="87"/>
      <c r="L1868" s="87"/>
      <c r="M1868" s="87"/>
      <c r="N1868" s="87"/>
      <c r="O1868" s="87"/>
      <c r="P1868" s="87"/>
      <c r="Q1868" s="87"/>
      <c r="R1868" s="87"/>
      <c r="S1868" s="87"/>
      <c r="T1868" s="87"/>
      <c r="U1868" s="87"/>
      <c r="V1868" s="87">
        <v>250</v>
      </c>
      <c r="W1868" s="87"/>
      <c r="X1868" s="87"/>
      <c r="Y1868" s="87"/>
      <c r="Z1868" s="87"/>
      <c r="AA1868" s="87"/>
      <c r="AB1868" s="87"/>
      <c r="AC1868" s="87"/>
      <c r="AD1868" s="87"/>
      <c r="AE1868" s="87"/>
      <c r="AF1868" s="87"/>
      <c r="AG1868" s="87"/>
      <c r="AH1868" s="87">
        <v>250</v>
      </c>
      <c r="AI1868" s="87"/>
      <c r="AJ1868" s="87"/>
      <c r="AK1868" s="87"/>
      <c r="AL1868" s="87"/>
      <c r="AM1868" s="87"/>
      <c r="AN1868" s="87"/>
      <c r="AO1868" s="87"/>
      <c r="AP1868" s="87">
        <v>250</v>
      </c>
      <c r="AQ1868" s="87"/>
      <c r="AR1868" s="87"/>
      <c r="AS1868" s="87"/>
      <c r="AT1868" s="87"/>
      <c r="AU1868" s="87"/>
      <c r="AV1868" s="87"/>
      <c r="AW1868" s="88" t="str">
        <f>HYPERLINK("http://www.openstreetmap.org/?mlat=31.9623&amp;mlon=44.4136&amp;zoom=12#map=12/31.9623/44.4136","Maplink1")</f>
        <v>Maplink1</v>
      </c>
      <c r="AX1868" s="88" t="str">
        <f>HYPERLINK("https://www.google.iq/maps/search/+31.9623,44.4136/@31.9623,44.4136,14z?hl=en","Maplink2")</f>
        <v>Maplink2</v>
      </c>
      <c r="AY1868" s="88" t="str">
        <f>HYPERLINK("http://www.bing.com/maps/?lvl=14&amp;sty=h&amp;cp=31.9623~44.4136&amp;sp=point.31.9623_44.4136","Maplink3")</f>
        <v>Maplink3</v>
      </c>
      <c r="AZ1868" s="76"/>
    </row>
    <row r="1869" spans="1:52" x14ac:dyDescent="0.25">
      <c r="A1869" s="86">
        <v>23748</v>
      </c>
      <c r="B1869" s="87" t="s">
        <v>23</v>
      </c>
      <c r="C1869" s="87" t="s">
        <v>23</v>
      </c>
      <c r="D1869" s="87" t="s">
        <v>3603</v>
      </c>
      <c r="E1869" s="87" t="s">
        <v>3604</v>
      </c>
      <c r="F1869" s="87">
        <v>32.038435446599998</v>
      </c>
      <c r="G1869" s="87">
        <v>44.325403153400003</v>
      </c>
      <c r="H1869" s="86">
        <v>13</v>
      </c>
      <c r="I1869" s="86">
        <v>78</v>
      </c>
      <c r="J1869" s="87"/>
      <c r="K1869" s="87"/>
      <c r="L1869" s="87"/>
      <c r="M1869" s="87"/>
      <c r="N1869" s="87"/>
      <c r="O1869" s="87"/>
      <c r="P1869" s="87"/>
      <c r="Q1869" s="87"/>
      <c r="R1869" s="87"/>
      <c r="S1869" s="87"/>
      <c r="T1869" s="87"/>
      <c r="U1869" s="87"/>
      <c r="V1869" s="87">
        <v>13</v>
      </c>
      <c r="W1869" s="87"/>
      <c r="X1869" s="87"/>
      <c r="Y1869" s="87"/>
      <c r="Z1869" s="87"/>
      <c r="AA1869" s="87"/>
      <c r="AB1869" s="87"/>
      <c r="AC1869" s="87"/>
      <c r="AD1869" s="87"/>
      <c r="AE1869" s="87"/>
      <c r="AF1869" s="87"/>
      <c r="AG1869" s="87"/>
      <c r="AH1869" s="87">
        <v>13</v>
      </c>
      <c r="AI1869" s="87"/>
      <c r="AJ1869" s="87"/>
      <c r="AK1869" s="87"/>
      <c r="AL1869" s="87"/>
      <c r="AM1869" s="87"/>
      <c r="AN1869" s="87"/>
      <c r="AO1869" s="87">
        <v>13</v>
      </c>
      <c r="AP1869" s="87"/>
      <c r="AQ1869" s="87"/>
      <c r="AR1869" s="87"/>
      <c r="AS1869" s="87"/>
      <c r="AT1869" s="87"/>
      <c r="AU1869" s="87"/>
      <c r="AV1869" s="87"/>
      <c r="AW1869" s="88" t="str">
        <f>HYPERLINK("http://www.openstreetmap.org/?mlat=32.0384&amp;mlon=44.3254&amp;zoom=12#map=12/32.0384/44.3254","Maplink1")</f>
        <v>Maplink1</v>
      </c>
      <c r="AX1869" s="88" t="str">
        <f>HYPERLINK("https://www.google.iq/maps/search/+32.0384,44.3254/@32.0384,44.3254,14z?hl=en","Maplink2")</f>
        <v>Maplink2</v>
      </c>
      <c r="AY1869" s="88" t="str">
        <f>HYPERLINK("http://www.bing.com/maps/?lvl=14&amp;sty=h&amp;cp=32.0384~44.3254&amp;sp=point.32.0384_44.3254","Maplink3")</f>
        <v>Maplink3</v>
      </c>
      <c r="AZ1869" s="76"/>
    </row>
    <row r="1870" spans="1:52" x14ac:dyDescent="0.25">
      <c r="A1870" s="86">
        <v>21574</v>
      </c>
      <c r="B1870" s="87" t="s">
        <v>23</v>
      </c>
      <c r="C1870" s="87" t="s">
        <v>23</v>
      </c>
      <c r="D1870" s="87" t="s">
        <v>3605</v>
      </c>
      <c r="E1870" s="87" t="s">
        <v>3606</v>
      </c>
      <c r="F1870" s="87">
        <v>32.062853714699997</v>
      </c>
      <c r="G1870" s="87">
        <v>44.323819515099999</v>
      </c>
      <c r="H1870" s="86">
        <v>15</v>
      </c>
      <c r="I1870" s="86">
        <v>90</v>
      </c>
      <c r="J1870" s="87"/>
      <c r="K1870" s="87"/>
      <c r="L1870" s="87"/>
      <c r="M1870" s="87"/>
      <c r="N1870" s="87"/>
      <c r="O1870" s="87"/>
      <c r="P1870" s="87"/>
      <c r="Q1870" s="87"/>
      <c r="R1870" s="87"/>
      <c r="S1870" s="87"/>
      <c r="T1870" s="87"/>
      <c r="U1870" s="87"/>
      <c r="V1870" s="87">
        <v>15</v>
      </c>
      <c r="W1870" s="87"/>
      <c r="X1870" s="87"/>
      <c r="Y1870" s="87"/>
      <c r="Z1870" s="87"/>
      <c r="AA1870" s="87"/>
      <c r="AB1870" s="87"/>
      <c r="AC1870" s="87"/>
      <c r="AD1870" s="87"/>
      <c r="AE1870" s="87"/>
      <c r="AF1870" s="87"/>
      <c r="AG1870" s="87">
        <v>10</v>
      </c>
      <c r="AH1870" s="87">
        <v>5</v>
      </c>
      <c r="AI1870" s="87"/>
      <c r="AJ1870" s="87"/>
      <c r="AK1870" s="87"/>
      <c r="AL1870" s="87"/>
      <c r="AM1870" s="87"/>
      <c r="AN1870" s="87"/>
      <c r="AO1870" s="87">
        <v>15</v>
      </c>
      <c r="AP1870" s="87"/>
      <c r="AQ1870" s="87"/>
      <c r="AR1870" s="87"/>
      <c r="AS1870" s="87"/>
      <c r="AT1870" s="87"/>
      <c r="AU1870" s="87"/>
      <c r="AV1870" s="87"/>
      <c r="AW1870" s="88" t="str">
        <f>HYPERLINK("http://www.openstreetmap.org/?mlat=32.0629&amp;mlon=44.3238&amp;zoom=12#map=12/32.0629/44.3238","Maplink1")</f>
        <v>Maplink1</v>
      </c>
      <c r="AX1870" s="88" t="str">
        <f>HYPERLINK("https://www.google.iq/maps/search/+32.0629,44.3238/@32.0629,44.3238,14z?hl=en","Maplink2")</f>
        <v>Maplink2</v>
      </c>
      <c r="AY1870" s="88" t="str">
        <f>HYPERLINK("http://www.bing.com/maps/?lvl=14&amp;sty=h&amp;cp=32.0629~44.3238&amp;sp=point.32.0629_44.3238","Maplink3")</f>
        <v>Maplink3</v>
      </c>
      <c r="AZ1870" s="76"/>
    </row>
    <row r="1871" spans="1:52" x14ac:dyDescent="0.25">
      <c r="A1871" s="86">
        <v>29658</v>
      </c>
      <c r="B1871" s="87" t="s">
        <v>23</v>
      </c>
      <c r="C1871" s="87" t="s">
        <v>23</v>
      </c>
      <c r="D1871" s="87" t="s">
        <v>3607</v>
      </c>
      <c r="E1871" s="87" t="s">
        <v>3608</v>
      </c>
      <c r="F1871" s="87">
        <v>32.073390811099998</v>
      </c>
      <c r="G1871" s="87">
        <v>44.326478776800002</v>
      </c>
      <c r="H1871" s="86">
        <v>42</v>
      </c>
      <c r="I1871" s="86">
        <v>252</v>
      </c>
      <c r="J1871" s="87"/>
      <c r="K1871" s="87"/>
      <c r="L1871" s="87"/>
      <c r="M1871" s="87"/>
      <c r="N1871" s="87"/>
      <c r="O1871" s="87"/>
      <c r="P1871" s="87"/>
      <c r="Q1871" s="87"/>
      <c r="R1871" s="87"/>
      <c r="S1871" s="87"/>
      <c r="T1871" s="87"/>
      <c r="U1871" s="87"/>
      <c r="V1871" s="87">
        <v>42</v>
      </c>
      <c r="W1871" s="87"/>
      <c r="X1871" s="87"/>
      <c r="Y1871" s="87"/>
      <c r="Z1871" s="87"/>
      <c r="AA1871" s="87"/>
      <c r="AB1871" s="87"/>
      <c r="AC1871" s="87"/>
      <c r="AD1871" s="87"/>
      <c r="AE1871" s="87"/>
      <c r="AF1871" s="87"/>
      <c r="AG1871" s="87">
        <v>8</v>
      </c>
      <c r="AH1871" s="87">
        <v>34</v>
      </c>
      <c r="AI1871" s="87"/>
      <c r="AJ1871" s="87"/>
      <c r="AK1871" s="87"/>
      <c r="AL1871" s="87"/>
      <c r="AM1871" s="87"/>
      <c r="AN1871" s="87"/>
      <c r="AO1871" s="87">
        <v>42</v>
      </c>
      <c r="AP1871" s="87"/>
      <c r="AQ1871" s="87"/>
      <c r="AR1871" s="87"/>
      <c r="AS1871" s="87"/>
      <c r="AT1871" s="87"/>
      <c r="AU1871" s="87"/>
      <c r="AV1871" s="87"/>
      <c r="AW1871" s="88" t="str">
        <f>HYPERLINK("http://www.openstreetmap.org/?mlat=32.0734&amp;mlon=44.3265&amp;zoom=12#map=12/32.0734/44.3265","Maplink1")</f>
        <v>Maplink1</v>
      </c>
      <c r="AX1871" s="88" t="str">
        <f>HYPERLINK("https://www.google.iq/maps/search/+32.0734,44.3265/@32.0734,44.3265,14z?hl=en","Maplink2")</f>
        <v>Maplink2</v>
      </c>
      <c r="AY1871" s="88" t="str">
        <f>HYPERLINK("http://www.bing.com/maps/?lvl=14&amp;sty=h&amp;cp=32.0734~44.3265&amp;sp=point.32.0734_44.3265","Maplink3")</f>
        <v>Maplink3</v>
      </c>
      <c r="AZ1871" s="76"/>
    </row>
    <row r="1872" spans="1:52" x14ac:dyDescent="0.25">
      <c r="A1872" s="86">
        <v>19976</v>
      </c>
      <c r="B1872" s="87" t="s">
        <v>23</v>
      </c>
      <c r="C1872" s="87" t="s">
        <v>23</v>
      </c>
      <c r="D1872" s="87" t="s">
        <v>3609</v>
      </c>
      <c r="E1872" s="87" t="s">
        <v>3610</v>
      </c>
      <c r="F1872" s="87">
        <v>31.989874968799999</v>
      </c>
      <c r="G1872" s="87">
        <v>44.332541629600001</v>
      </c>
      <c r="H1872" s="86">
        <v>7</v>
      </c>
      <c r="I1872" s="86">
        <v>42</v>
      </c>
      <c r="J1872" s="87"/>
      <c r="K1872" s="87"/>
      <c r="L1872" s="87"/>
      <c r="M1872" s="87"/>
      <c r="N1872" s="87"/>
      <c r="O1872" s="87"/>
      <c r="P1872" s="87"/>
      <c r="Q1872" s="87"/>
      <c r="R1872" s="87"/>
      <c r="S1872" s="87"/>
      <c r="T1872" s="87"/>
      <c r="U1872" s="87"/>
      <c r="V1872" s="87">
        <v>7</v>
      </c>
      <c r="W1872" s="87"/>
      <c r="X1872" s="87"/>
      <c r="Y1872" s="87"/>
      <c r="Z1872" s="87"/>
      <c r="AA1872" s="87"/>
      <c r="AB1872" s="87"/>
      <c r="AC1872" s="87"/>
      <c r="AD1872" s="87"/>
      <c r="AE1872" s="87"/>
      <c r="AF1872" s="87"/>
      <c r="AG1872" s="87"/>
      <c r="AH1872" s="87">
        <v>7</v>
      </c>
      <c r="AI1872" s="87"/>
      <c r="AJ1872" s="87"/>
      <c r="AK1872" s="87"/>
      <c r="AL1872" s="87"/>
      <c r="AM1872" s="87"/>
      <c r="AN1872" s="87"/>
      <c r="AO1872" s="87">
        <v>7</v>
      </c>
      <c r="AP1872" s="87"/>
      <c r="AQ1872" s="87"/>
      <c r="AR1872" s="87"/>
      <c r="AS1872" s="87"/>
      <c r="AT1872" s="87"/>
      <c r="AU1872" s="87"/>
      <c r="AV1872" s="87"/>
      <c r="AW1872" s="88" t="str">
        <f>HYPERLINK("http://www.openstreetmap.org/?mlat=31.9899&amp;mlon=44.3325&amp;zoom=12#map=12/31.9899/44.3325","Maplink1")</f>
        <v>Maplink1</v>
      </c>
      <c r="AX1872" s="88" t="str">
        <f>HYPERLINK("https://www.google.iq/maps/search/+31.9899,44.3325/@31.9899,44.3325,14z?hl=en","Maplink2")</f>
        <v>Maplink2</v>
      </c>
      <c r="AY1872" s="88" t="str">
        <f>HYPERLINK("http://www.bing.com/maps/?lvl=14&amp;sty=h&amp;cp=31.9899~44.3325&amp;sp=point.31.9899_44.3325","Maplink3")</f>
        <v>Maplink3</v>
      </c>
      <c r="AZ1872" s="76"/>
    </row>
    <row r="1873" spans="1:52" x14ac:dyDescent="0.25">
      <c r="A1873" s="86">
        <v>19968</v>
      </c>
      <c r="B1873" s="87" t="s">
        <v>23</v>
      </c>
      <c r="C1873" s="87" t="s">
        <v>23</v>
      </c>
      <c r="D1873" s="87" t="s">
        <v>3611</v>
      </c>
      <c r="E1873" s="87" t="s">
        <v>3612</v>
      </c>
      <c r="F1873" s="87">
        <v>31.992236973600001</v>
      </c>
      <c r="G1873" s="87">
        <v>44.323273059400002</v>
      </c>
      <c r="H1873" s="86">
        <v>4</v>
      </c>
      <c r="I1873" s="86">
        <v>24</v>
      </c>
      <c r="J1873" s="87"/>
      <c r="K1873" s="87"/>
      <c r="L1873" s="87"/>
      <c r="M1873" s="87"/>
      <c r="N1873" s="87"/>
      <c r="O1873" s="87"/>
      <c r="P1873" s="87"/>
      <c r="Q1873" s="87"/>
      <c r="R1873" s="87"/>
      <c r="S1873" s="87"/>
      <c r="T1873" s="87"/>
      <c r="U1873" s="87"/>
      <c r="V1873" s="87">
        <v>4</v>
      </c>
      <c r="W1873" s="87"/>
      <c r="X1873" s="87"/>
      <c r="Y1873" s="87"/>
      <c r="Z1873" s="87"/>
      <c r="AA1873" s="87"/>
      <c r="AB1873" s="87"/>
      <c r="AC1873" s="87"/>
      <c r="AD1873" s="87"/>
      <c r="AE1873" s="87"/>
      <c r="AF1873" s="87"/>
      <c r="AG1873" s="87"/>
      <c r="AH1873" s="87">
        <v>4</v>
      </c>
      <c r="AI1873" s="87"/>
      <c r="AJ1873" s="87"/>
      <c r="AK1873" s="87"/>
      <c r="AL1873" s="87"/>
      <c r="AM1873" s="87"/>
      <c r="AN1873" s="87"/>
      <c r="AO1873" s="87">
        <v>4</v>
      </c>
      <c r="AP1873" s="87"/>
      <c r="AQ1873" s="87"/>
      <c r="AR1873" s="87"/>
      <c r="AS1873" s="87"/>
      <c r="AT1873" s="87"/>
      <c r="AU1873" s="87"/>
      <c r="AV1873" s="87"/>
      <c r="AW1873" s="88" t="str">
        <f>HYPERLINK("http://www.openstreetmap.org/?mlat=31.9922&amp;mlon=44.3233&amp;zoom=12#map=12/31.9922/44.3233","Maplink1")</f>
        <v>Maplink1</v>
      </c>
      <c r="AX1873" s="88" t="str">
        <f>HYPERLINK("https://www.google.iq/maps/search/+31.9922,44.3233/@31.9922,44.3233,14z?hl=en","Maplink2")</f>
        <v>Maplink2</v>
      </c>
      <c r="AY1873" s="88" t="str">
        <f>HYPERLINK("http://www.bing.com/maps/?lvl=14&amp;sty=h&amp;cp=31.9922~44.3233&amp;sp=point.31.9922_44.3233","Maplink3")</f>
        <v>Maplink3</v>
      </c>
      <c r="AZ1873" s="76"/>
    </row>
    <row r="1874" spans="1:52" x14ac:dyDescent="0.25">
      <c r="A1874" s="86">
        <v>19965</v>
      </c>
      <c r="B1874" s="87" t="s">
        <v>23</v>
      </c>
      <c r="C1874" s="87" t="s">
        <v>23</v>
      </c>
      <c r="D1874" s="87" t="s">
        <v>3613</v>
      </c>
      <c r="E1874" s="87" t="s">
        <v>3614</v>
      </c>
      <c r="F1874" s="87">
        <v>31.994911461499999</v>
      </c>
      <c r="G1874" s="87">
        <v>44.330613362500003</v>
      </c>
      <c r="H1874" s="86">
        <v>21</v>
      </c>
      <c r="I1874" s="86">
        <v>126</v>
      </c>
      <c r="J1874" s="87"/>
      <c r="K1874" s="87"/>
      <c r="L1874" s="87"/>
      <c r="M1874" s="87"/>
      <c r="N1874" s="87"/>
      <c r="O1874" s="87"/>
      <c r="P1874" s="87"/>
      <c r="Q1874" s="87"/>
      <c r="R1874" s="87"/>
      <c r="S1874" s="87"/>
      <c r="T1874" s="87"/>
      <c r="U1874" s="87"/>
      <c r="V1874" s="87">
        <v>21</v>
      </c>
      <c r="W1874" s="87"/>
      <c r="X1874" s="87"/>
      <c r="Y1874" s="87"/>
      <c r="Z1874" s="87"/>
      <c r="AA1874" s="87"/>
      <c r="AB1874" s="87"/>
      <c r="AC1874" s="87"/>
      <c r="AD1874" s="87"/>
      <c r="AE1874" s="87"/>
      <c r="AF1874" s="87"/>
      <c r="AG1874" s="87">
        <v>3</v>
      </c>
      <c r="AH1874" s="87">
        <v>18</v>
      </c>
      <c r="AI1874" s="87"/>
      <c r="AJ1874" s="87"/>
      <c r="AK1874" s="87"/>
      <c r="AL1874" s="87"/>
      <c r="AM1874" s="87"/>
      <c r="AN1874" s="87"/>
      <c r="AO1874" s="87">
        <v>21</v>
      </c>
      <c r="AP1874" s="87"/>
      <c r="AQ1874" s="87"/>
      <c r="AR1874" s="87"/>
      <c r="AS1874" s="87"/>
      <c r="AT1874" s="87"/>
      <c r="AU1874" s="87"/>
      <c r="AV1874" s="87"/>
      <c r="AW1874" s="88" t="str">
        <f>HYPERLINK("http://www.openstreetmap.org/?mlat=31.9949&amp;mlon=44.3306&amp;zoom=12#map=12/31.9949/44.3306","Maplink1")</f>
        <v>Maplink1</v>
      </c>
      <c r="AX1874" s="88" t="str">
        <f>HYPERLINK("https://www.google.iq/maps/search/+31.9949,44.3306/@31.9949,44.3306,14z?hl=en","Maplink2")</f>
        <v>Maplink2</v>
      </c>
      <c r="AY1874" s="88" t="str">
        <f>HYPERLINK("http://www.bing.com/maps/?lvl=14&amp;sty=h&amp;cp=31.9949~44.3306&amp;sp=point.31.9949_44.3306","Maplink3")</f>
        <v>Maplink3</v>
      </c>
      <c r="AZ1874" s="76"/>
    </row>
    <row r="1875" spans="1:52" x14ac:dyDescent="0.25">
      <c r="A1875" s="86">
        <v>29622</v>
      </c>
      <c r="B1875" s="87" t="s">
        <v>23</v>
      </c>
      <c r="C1875" s="87" t="s">
        <v>23</v>
      </c>
      <c r="D1875" s="87" t="s">
        <v>3615</v>
      </c>
      <c r="E1875" s="87" t="s">
        <v>3616</v>
      </c>
      <c r="F1875" s="87">
        <v>32.216574213500003</v>
      </c>
      <c r="G1875" s="87">
        <v>44.338886439699998</v>
      </c>
      <c r="H1875" s="86">
        <v>16</v>
      </c>
      <c r="I1875" s="86">
        <v>96</v>
      </c>
      <c r="J1875" s="87"/>
      <c r="K1875" s="87"/>
      <c r="L1875" s="87"/>
      <c r="M1875" s="87"/>
      <c r="N1875" s="87"/>
      <c r="O1875" s="87"/>
      <c r="P1875" s="87"/>
      <c r="Q1875" s="87"/>
      <c r="R1875" s="87"/>
      <c r="S1875" s="87"/>
      <c r="T1875" s="87"/>
      <c r="U1875" s="87"/>
      <c r="V1875" s="87">
        <v>16</v>
      </c>
      <c r="W1875" s="87"/>
      <c r="X1875" s="87"/>
      <c r="Y1875" s="87"/>
      <c r="Z1875" s="87"/>
      <c r="AA1875" s="87"/>
      <c r="AB1875" s="87"/>
      <c r="AC1875" s="87"/>
      <c r="AD1875" s="87"/>
      <c r="AE1875" s="87"/>
      <c r="AF1875" s="87"/>
      <c r="AG1875" s="87"/>
      <c r="AH1875" s="87">
        <v>16</v>
      </c>
      <c r="AI1875" s="87"/>
      <c r="AJ1875" s="87"/>
      <c r="AK1875" s="87"/>
      <c r="AL1875" s="87"/>
      <c r="AM1875" s="87"/>
      <c r="AN1875" s="87"/>
      <c r="AO1875" s="87"/>
      <c r="AP1875" s="87">
        <v>16</v>
      </c>
      <c r="AQ1875" s="87"/>
      <c r="AR1875" s="87"/>
      <c r="AS1875" s="87"/>
      <c r="AT1875" s="87"/>
      <c r="AU1875" s="87"/>
      <c r="AV1875" s="87"/>
      <c r="AW1875" s="88" t="str">
        <f>HYPERLINK("http://www.openstreetmap.org/?mlat=32.2166&amp;mlon=44.3389&amp;zoom=12#map=12/32.2166/44.3389","Maplink1")</f>
        <v>Maplink1</v>
      </c>
      <c r="AX1875" s="88" t="str">
        <f>HYPERLINK("https://www.google.iq/maps/search/+32.2166,44.3389/@32.2166,44.3389,14z?hl=en","Maplink2")</f>
        <v>Maplink2</v>
      </c>
      <c r="AY1875" s="88" t="str">
        <f>HYPERLINK("http://www.bing.com/maps/?lvl=14&amp;sty=h&amp;cp=32.2166~44.3389&amp;sp=point.32.2166_44.3389","Maplink3")</f>
        <v>Maplink3</v>
      </c>
      <c r="AZ1875" s="76"/>
    </row>
    <row r="1876" spans="1:52" x14ac:dyDescent="0.25">
      <c r="A1876" s="86">
        <v>20062</v>
      </c>
      <c r="B1876" s="87" t="s">
        <v>23</v>
      </c>
      <c r="C1876" s="87" t="s">
        <v>23</v>
      </c>
      <c r="D1876" s="87" t="s">
        <v>3617</v>
      </c>
      <c r="E1876" s="87" t="s">
        <v>3618</v>
      </c>
      <c r="F1876" s="87">
        <v>32.0261866154</v>
      </c>
      <c r="G1876" s="87">
        <v>44.311255301000003</v>
      </c>
      <c r="H1876" s="86">
        <v>4</v>
      </c>
      <c r="I1876" s="86">
        <v>24</v>
      </c>
      <c r="J1876" s="87"/>
      <c r="K1876" s="87"/>
      <c r="L1876" s="87"/>
      <c r="M1876" s="87"/>
      <c r="N1876" s="87"/>
      <c r="O1876" s="87"/>
      <c r="P1876" s="87"/>
      <c r="Q1876" s="87"/>
      <c r="R1876" s="87"/>
      <c r="S1876" s="87"/>
      <c r="T1876" s="87"/>
      <c r="U1876" s="87"/>
      <c r="V1876" s="87">
        <v>4</v>
      </c>
      <c r="W1876" s="87"/>
      <c r="X1876" s="87"/>
      <c r="Y1876" s="87"/>
      <c r="Z1876" s="87"/>
      <c r="AA1876" s="87"/>
      <c r="AB1876" s="87"/>
      <c r="AC1876" s="87"/>
      <c r="AD1876" s="87"/>
      <c r="AE1876" s="87"/>
      <c r="AF1876" s="87"/>
      <c r="AG1876" s="87"/>
      <c r="AH1876" s="87">
        <v>4</v>
      </c>
      <c r="AI1876" s="87"/>
      <c r="AJ1876" s="87"/>
      <c r="AK1876" s="87"/>
      <c r="AL1876" s="87"/>
      <c r="AM1876" s="87"/>
      <c r="AN1876" s="87"/>
      <c r="AO1876" s="87">
        <v>4</v>
      </c>
      <c r="AP1876" s="87"/>
      <c r="AQ1876" s="87"/>
      <c r="AR1876" s="87"/>
      <c r="AS1876" s="87"/>
      <c r="AT1876" s="87"/>
      <c r="AU1876" s="87"/>
      <c r="AV1876" s="87"/>
      <c r="AW1876" s="88" t="str">
        <f>HYPERLINK("http://www.openstreetmap.org/?mlat=32.0262&amp;mlon=44.3113&amp;zoom=12#map=12/32.0262/44.3113","Maplink1")</f>
        <v>Maplink1</v>
      </c>
      <c r="AX1876" s="88" t="str">
        <f>HYPERLINK("https://www.google.iq/maps/search/+32.0262,44.3113/@32.0262,44.3113,14z?hl=en","Maplink2")</f>
        <v>Maplink2</v>
      </c>
      <c r="AY1876" s="88" t="str">
        <f>HYPERLINK("http://www.bing.com/maps/?lvl=14&amp;sty=h&amp;cp=32.0262~44.3113&amp;sp=point.32.0262_44.3113","Maplink3")</f>
        <v>Maplink3</v>
      </c>
      <c r="AZ1876" s="76"/>
    </row>
    <row r="1877" spans="1:52" x14ac:dyDescent="0.25">
      <c r="A1877" s="86">
        <v>25431</v>
      </c>
      <c r="B1877" s="87" t="s">
        <v>23</v>
      </c>
      <c r="C1877" s="87" t="s">
        <v>23</v>
      </c>
      <c r="D1877" s="87" t="s">
        <v>3619</v>
      </c>
      <c r="E1877" s="87" t="s">
        <v>269</v>
      </c>
      <c r="F1877" s="87">
        <v>32.316021660700002</v>
      </c>
      <c r="G1877" s="87">
        <v>44.269009623199999</v>
      </c>
      <c r="H1877" s="86">
        <v>65</v>
      </c>
      <c r="I1877" s="86">
        <v>390</v>
      </c>
      <c r="J1877" s="87"/>
      <c r="K1877" s="87"/>
      <c r="L1877" s="87"/>
      <c r="M1877" s="87"/>
      <c r="N1877" s="87"/>
      <c r="O1877" s="87"/>
      <c r="P1877" s="87"/>
      <c r="Q1877" s="87"/>
      <c r="R1877" s="87"/>
      <c r="S1877" s="87"/>
      <c r="T1877" s="87"/>
      <c r="U1877" s="87"/>
      <c r="V1877" s="87">
        <v>65</v>
      </c>
      <c r="W1877" s="87"/>
      <c r="X1877" s="87"/>
      <c r="Y1877" s="87"/>
      <c r="Z1877" s="87"/>
      <c r="AA1877" s="87"/>
      <c r="AB1877" s="87"/>
      <c r="AC1877" s="87"/>
      <c r="AD1877" s="87"/>
      <c r="AE1877" s="87"/>
      <c r="AF1877" s="87"/>
      <c r="AG1877" s="87"/>
      <c r="AH1877" s="87">
        <v>65</v>
      </c>
      <c r="AI1877" s="87"/>
      <c r="AJ1877" s="87"/>
      <c r="AK1877" s="87"/>
      <c r="AL1877" s="87"/>
      <c r="AM1877" s="87"/>
      <c r="AN1877" s="87"/>
      <c r="AO1877" s="87">
        <v>65</v>
      </c>
      <c r="AP1877" s="87"/>
      <c r="AQ1877" s="87"/>
      <c r="AR1877" s="87"/>
      <c r="AS1877" s="87"/>
      <c r="AT1877" s="87"/>
      <c r="AU1877" s="87"/>
      <c r="AV1877" s="87"/>
      <c r="AW1877" s="88" t="str">
        <f>HYPERLINK("http://www.openstreetmap.org/?mlat=32.316&amp;mlon=44.269&amp;zoom=12#map=12/32.316/44.269","Maplink1")</f>
        <v>Maplink1</v>
      </c>
      <c r="AX1877" s="88" t="str">
        <f>HYPERLINK("https://www.google.iq/maps/search/+32.316,44.269/@32.316,44.269,14z?hl=en","Maplink2")</f>
        <v>Maplink2</v>
      </c>
      <c r="AY1877" s="88" t="str">
        <f>HYPERLINK("http://www.bing.com/maps/?lvl=14&amp;sty=h&amp;cp=32.316~44.269&amp;sp=point.32.316_44.269","Maplink3")</f>
        <v>Maplink3</v>
      </c>
      <c r="AZ1877" s="76"/>
    </row>
    <row r="1878" spans="1:52" x14ac:dyDescent="0.25">
      <c r="A1878" s="86">
        <v>24377</v>
      </c>
      <c r="B1878" s="87" t="s">
        <v>23</v>
      </c>
      <c r="C1878" s="87" t="s">
        <v>23</v>
      </c>
      <c r="D1878" s="87" t="s">
        <v>3620</v>
      </c>
      <c r="E1878" s="87" t="s">
        <v>72</v>
      </c>
      <c r="F1878" s="87">
        <v>32.001088007900002</v>
      </c>
      <c r="G1878" s="87">
        <v>44.371880883499998</v>
      </c>
      <c r="H1878" s="86">
        <v>23</v>
      </c>
      <c r="I1878" s="86">
        <v>138</v>
      </c>
      <c r="J1878" s="87"/>
      <c r="K1878" s="87"/>
      <c r="L1878" s="87"/>
      <c r="M1878" s="87"/>
      <c r="N1878" s="87"/>
      <c r="O1878" s="87"/>
      <c r="P1878" s="87"/>
      <c r="Q1878" s="87"/>
      <c r="R1878" s="87"/>
      <c r="S1878" s="87"/>
      <c r="T1878" s="87"/>
      <c r="U1878" s="87"/>
      <c r="V1878" s="87">
        <v>23</v>
      </c>
      <c r="W1878" s="87"/>
      <c r="X1878" s="87"/>
      <c r="Y1878" s="87"/>
      <c r="Z1878" s="87"/>
      <c r="AA1878" s="87"/>
      <c r="AB1878" s="87"/>
      <c r="AC1878" s="87"/>
      <c r="AD1878" s="87"/>
      <c r="AE1878" s="87"/>
      <c r="AF1878" s="87"/>
      <c r="AG1878" s="87"/>
      <c r="AH1878" s="87">
        <v>23</v>
      </c>
      <c r="AI1878" s="87"/>
      <c r="AJ1878" s="87"/>
      <c r="AK1878" s="87"/>
      <c r="AL1878" s="87"/>
      <c r="AM1878" s="87"/>
      <c r="AN1878" s="87"/>
      <c r="AO1878" s="87"/>
      <c r="AP1878" s="87"/>
      <c r="AQ1878" s="87">
        <v>23</v>
      </c>
      <c r="AR1878" s="87"/>
      <c r="AS1878" s="87"/>
      <c r="AT1878" s="87"/>
      <c r="AU1878" s="87"/>
      <c r="AV1878" s="87"/>
      <c r="AW1878" s="88" t="str">
        <f>HYPERLINK("http://www.openstreetmap.org/?mlat=32.0011&amp;mlon=44.3719&amp;zoom=12#map=12/32.0011/44.3719","Maplink1")</f>
        <v>Maplink1</v>
      </c>
      <c r="AX1878" s="88" t="str">
        <f>HYPERLINK("https://www.google.iq/maps/search/+32.0011,44.3719/@32.0011,44.3719,14z?hl=en","Maplink2")</f>
        <v>Maplink2</v>
      </c>
      <c r="AY1878" s="88" t="str">
        <f>HYPERLINK("http://www.bing.com/maps/?lvl=14&amp;sty=h&amp;cp=32.0011~44.3719&amp;sp=point.32.0011_44.3719","Maplink3")</f>
        <v>Maplink3</v>
      </c>
      <c r="AZ1878" s="76"/>
    </row>
    <row r="1879" spans="1:52" x14ac:dyDescent="0.25">
      <c r="A1879" s="86">
        <v>20349</v>
      </c>
      <c r="B1879" s="87" t="s">
        <v>23</v>
      </c>
      <c r="C1879" s="87" t="s">
        <v>23</v>
      </c>
      <c r="D1879" s="87" t="s">
        <v>3621</v>
      </c>
      <c r="E1879" s="87" t="s">
        <v>3622</v>
      </c>
      <c r="F1879" s="87">
        <v>32.0177379884</v>
      </c>
      <c r="G1879" s="87">
        <v>44.322469310300001</v>
      </c>
      <c r="H1879" s="86">
        <v>13</v>
      </c>
      <c r="I1879" s="86">
        <v>78</v>
      </c>
      <c r="J1879" s="87"/>
      <c r="K1879" s="87"/>
      <c r="L1879" s="87"/>
      <c r="M1879" s="87"/>
      <c r="N1879" s="87"/>
      <c r="O1879" s="87"/>
      <c r="P1879" s="87"/>
      <c r="Q1879" s="87"/>
      <c r="R1879" s="87"/>
      <c r="S1879" s="87"/>
      <c r="T1879" s="87"/>
      <c r="U1879" s="87"/>
      <c r="V1879" s="87">
        <v>13</v>
      </c>
      <c r="W1879" s="87"/>
      <c r="X1879" s="87"/>
      <c r="Y1879" s="87"/>
      <c r="Z1879" s="87"/>
      <c r="AA1879" s="87"/>
      <c r="AB1879" s="87"/>
      <c r="AC1879" s="87"/>
      <c r="AD1879" s="87"/>
      <c r="AE1879" s="87"/>
      <c r="AF1879" s="87"/>
      <c r="AG1879" s="87"/>
      <c r="AH1879" s="87">
        <v>13</v>
      </c>
      <c r="AI1879" s="87"/>
      <c r="AJ1879" s="87"/>
      <c r="AK1879" s="87"/>
      <c r="AL1879" s="87"/>
      <c r="AM1879" s="87"/>
      <c r="AN1879" s="87"/>
      <c r="AO1879" s="87">
        <v>13</v>
      </c>
      <c r="AP1879" s="87"/>
      <c r="AQ1879" s="87"/>
      <c r="AR1879" s="87"/>
      <c r="AS1879" s="87"/>
      <c r="AT1879" s="87"/>
      <c r="AU1879" s="87"/>
      <c r="AV1879" s="87"/>
      <c r="AW1879" s="88" t="str">
        <f>HYPERLINK("http://www.openstreetmap.org/?mlat=32.0177&amp;mlon=44.3225&amp;zoom=12#map=12/32.0177/44.3225","Maplink1")</f>
        <v>Maplink1</v>
      </c>
      <c r="AX1879" s="88" t="str">
        <f>HYPERLINK("https://www.google.iq/maps/search/+32.0177,44.3225/@32.0177,44.3225,14z?hl=en","Maplink2")</f>
        <v>Maplink2</v>
      </c>
      <c r="AY1879" s="88" t="str">
        <f>HYPERLINK("http://www.bing.com/maps/?lvl=14&amp;sty=h&amp;cp=32.0177~44.3225&amp;sp=point.32.0177_44.3225","Maplink3")</f>
        <v>Maplink3</v>
      </c>
      <c r="AZ1879" s="76"/>
    </row>
    <row r="1880" spans="1:52" x14ac:dyDescent="0.25">
      <c r="A1880" s="86">
        <v>22769</v>
      </c>
      <c r="B1880" s="87" t="s">
        <v>23</v>
      </c>
      <c r="C1880" s="87" t="s">
        <v>23</v>
      </c>
      <c r="D1880" s="87" t="s">
        <v>3623</v>
      </c>
      <c r="E1880" s="87" t="s">
        <v>3624</v>
      </c>
      <c r="F1880" s="87">
        <v>32.087443294800003</v>
      </c>
      <c r="G1880" s="87">
        <v>44.345716582900003</v>
      </c>
      <c r="H1880" s="86">
        <v>18</v>
      </c>
      <c r="I1880" s="86">
        <v>108</v>
      </c>
      <c r="J1880" s="87"/>
      <c r="K1880" s="87"/>
      <c r="L1880" s="87"/>
      <c r="M1880" s="87"/>
      <c r="N1880" s="87"/>
      <c r="O1880" s="87"/>
      <c r="P1880" s="87"/>
      <c r="Q1880" s="87"/>
      <c r="R1880" s="87"/>
      <c r="S1880" s="87"/>
      <c r="T1880" s="87"/>
      <c r="U1880" s="87"/>
      <c r="V1880" s="87">
        <v>18</v>
      </c>
      <c r="W1880" s="87"/>
      <c r="X1880" s="87"/>
      <c r="Y1880" s="87"/>
      <c r="Z1880" s="87"/>
      <c r="AA1880" s="87"/>
      <c r="AB1880" s="87"/>
      <c r="AC1880" s="87"/>
      <c r="AD1880" s="87"/>
      <c r="AE1880" s="87"/>
      <c r="AF1880" s="87"/>
      <c r="AG1880" s="87"/>
      <c r="AH1880" s="87">
        <v>18</v>
      </c>
      <c r="AI1880" s="87"/>
      <c r="AJ1880" s="87"/>
      <c r="AK1880" s="87"/>
      <c r="AL1880" s="87"/>
      <c r="AM1880" s="87"/>
      <c r="AN1880" s="87"/>
      <c r="AO1880" s="87">
        <v>18</v>
      </c>
      <c r="AP1880" s="87"/>
      <c r="AQ1880" s="87"/>
      <c r="AR1880" s="87"/>
      <c r="AS1880" s="87"/>
      <c r="AT1880" s="87"/>
      <c r="AU1880" s="87"/>
      <c r="AV1880" s="87"/>
      <c r="AW1880" s="88" t="str">
        <f>HYPERLINK("http://www.openstreetmap.org/?mlat=32.0874&amp;mlon=44.3457&amp;zoom=12#map=12/32.0874/44.3457","Maplink1")</f>
        <v>Maplink1</v>
      </c>
      <c r="AX1880" s="88" t="str">
        <f>HYPERLINK("https://www.google.iq/maps/search/+32.0874,44.3457/@32.0874,44.3457,14z?hl=en","Maplink2")</f>
        <v>Maplink2</v>
      </c>
      <c r="AY1880" s="88" t="str">
        <f>HYPERLINK("http://www.bing.com/maps/?lvl=14&amp;sty=h&amp;cp=32.0874~44.3457&amp;sp=point.32.0874_44.3457","Maplink3")</f>
        <v>Maplink3</v>
      </c>
      <c r="AZ1880" s="76"/>
    </row>
    <row r="1881" spans="1:52" x14ac:dyDescent="0.25">
      <c r="A1881" s="86">
        <v>24240</v>
      </c>
      <c r="B1881" s="87" t="s">
        <v>23</v>
      </c>
      <c r="C1881" s="87" t="s">
        <v>23</v>
      </c>
      <c r="D1881" s="87" t="s">
        <v>3625</v>
      </c>
      <c r="E1881" s="87" t="s">
        <v>3626</v>
      </c>
      <c r="F1881" s="87">
        <v>32.315558868899998</v>
      </c>
      <c r="G1881" s="87">
        <v>44.274281136799999</v>
      </c>
      <c r="H1881" s="86">
        <v>3</v>
      </c>
      <c r="I1881" s="86">
        <v>18</v>
      </c>
      <c r="J1881" s="87"/>
      <c r="K1881" s="87"/>
      <c r="L1881" s="87"/>
      <c r="M1881" s="87"/>
      <c r="N1881" s="87"/>
      <c r="O1881" s="87"/>
      <c r="P1881" s="87"/>
      <c r="Q1881" s="87"/>
      <c r="R1881" s="87"/>
      <c r="S1881" s="87"/>
      <c r="T1881" s="87"/>
      <c r="U1881" s="87"/>
      <c r="V1881" s="87">
        <v>3</v>
      </c>
      <c r="W1881" s="87"/>
      <c r="X1881" s="87"/>
      <c r="Y1881" s="87"/>
      <c r="Z1881" s="87"/>
      <c r="AA1881" s="87"/>
      <c r="AB1881" s="87"/>
      <c r="AC1881" s="87"/>
      <c r="AD1881" s="87"/>
      <c r="AE1881" s="87"/>
      <c r="AF1881" s="87"/>
      <c r="AG1881" s="87"/>
      <c r="AH1881" s="87">
        <v>3</v>
      </c>
      <c r="AI1881" s="87"/>
      <c r="AJ1881" s="87"/>
      <c r="AK1881" s="87"/>
      <c r="AL1881" s="87"/>
      <c r="AM1881" s="87"/>
      <c r="AN1881" s="87"/>
      <c r="AO1881" s="87">
        <v>3</v>
      </c>
      <c r="AP1881" s="87"/>
      <c r="AQ1881" s="87"/>
      <c r="AR1881" s="87"/>
      <c r="AS1881" s="87"/>
      <c r="AT1881" s="87"/>
      <c r="AU1881" s="87"/>
      <c r="AV1881" s="87"/>
      <c r="AW1881" s="88" t="str">
        <f>HYPERLINK("http://www.openstreetmap.org/?mlat=32.3156&amp;mlon=44.2743&amp;zoom=12#map=12/32.3156/44.2743","Maplink1")</f>
        <v>Maplink1</v>
      </c>
      <c r="AX1881" s="88" t="str">
        <f>HYPERLINK("https://www.google.iq/maps/search/+32.3156,44.2743/@32.3156,44.2743,14z?hl=en","Maplink2")</f>
        <v>Maplink2</v>
      </c>
      <c r="AY1881" s="88" t="str">
        <f>HYPERLINK("http://www.bing.com/maps/?lvl=14&amp;sty=h&amp;cp=32.3156~44.2743&amp;sp=point.32.3156_44.2743","Maplink3")</f>
        <v>Maplink3</v>
      </c>
      <c r="AZ1881" s="76"/>
    </row>
    <row r="1882" spans="1:52" x14ac:dyDescent="0.25">
      <c r="A1882" s="86">
        <v>20080</v>
      </c>
      <c r="B1882" s="87" t="s">
        <v>23</v>
      </c>
      <c r="C1882" s="87" t="s">
        <v>23</v>
      </c>
      <c r="D1882" s="87" t="s">
        <v>3627</v>
      </c>
      <c r="E1882" s="87" t="s">
        <v>3628</v>
      </c>
      <c r="F1882" s="87">
        <v>32.033286946600001</v>
      </c>
      <c r="G1882" s="87">
        <v>44.330368614800001</v>
      </c>
      <c r="H1882" s="86">
        <v>29</v>
      </c>
      <c r="I1882" s="86">
        <v>174</v>
      </c>
      <c r="J1882" s="87"/>
      <c r="K1882" s="87"/>
      <c r="L1882" s="87"/>
      <c r="M1882" s="87"/>
      <c r="N1882" s="87"/>
      <c r="O1882" s="87"/>
      <c r="P1882" s="87"/>
      <c r="Q1882" s="87"/>
      <c r="R1882" s="87"/>
      <c r="S1882" s="87"/>
      <c r="T1882" s="87"/>
      <c r="U1882" s="87"/>
      <c r="V1882" s="87">
        <v>29</v>
      </c>
      <c r="W1882" s="87"/>
      <c r="X1882" s="87"/>
      <c r="Y1882" s="87"/>
      <c r="Z1882" s="87"/>
      <c r="AA1882" s="87"/>
      <c r="AB1882" s="87"/>
      <c r="AC1882" s="87"/>
      <c r="AD1882" s="87"/>
      <c r="AE1882" s="87"/>
      <c r="AF1882" s="87"/>
      <c r="AG1882" s="87"/>
      <c r="AH1882" s="87">
        <v>29</v>
      </c>
      <c r="AI1882" s="87"/>
      <c r="AJ1882" s="87"/>
      <c r="AK1882" s="87"/>
      <c r="AL1882" s="87"/>
      <c r="AM1882" s="87"/>
      <c r="AN1882" s="87"/>
      <c r="AO1882" s="87"/>
      <c r="AP1882" s="87">
        <v>29</v>
      </c>
      <c r="AQ1882" s="87"/>
      <c r="AR1882" s="87"/>
      <c r="AS1882" s="87"/>
      <c r="AT1882" s="87"/>
      <c r="AU1882" s="87"/>
      <c r="AV1882" s="87"/>
      <c r="AW1882" s="88" t="str">
        <f>HYPERLINK("http://www.openstreetmap.org/?mlat=32.0333&amp;mlon=44.3304&amp;zoom=12#map=12/32.0333/44.3304","Maplink1")</f>
        <v>Maplink1</v>
      </c>
      <c r="AX1882" s="88" t="str">
        <f>HYPERLINK("https://www.google.iq/maps/search/+32.0333,44.3304/@32.0333,44.3304,14z?hl=en","Maplink2")</f>
        <v>Maplink2</v>
      </c>
      <c r="AY1882" s="88" t="str">
        <f>HYPERLINK("http://www.bing.com/maps/?lvl=14&amp;sty=h&amp;cp=32.0333~44.3304&amp;sp=point.32.0333_44.3304","Maplink3")</f>
        <v>Maplink3</v>
      </c>
      <c r="AZ1882" s="76"/>
    </row>
    <row r="1883" spans="1:52" x14ac:dyDescent="0.25">
      <c r="A1883" s="86">
        <v>24378</v>
      </c>
      <c r="B1883" s="87" t="s">
        <v>23</v>
      </c>
      <c r="C1883" s="87" t="s">
        <v>23</v>
      </c>
      <c r="D1883" s="87" t="s">
        <v>3629</v>
      </c>
      <c r="E1883" s="87" t="s">
        <v>3630</v>
      </c>
      <c r="F1883" s="87">
        <v>31.9842394275</v>
      </c>
      <c r="G1883" s="87">
        <v>44.3317629939</v>
      </c>
      <c r="H1883" s="86">
        <v>3</v>
      </c>
      <c r="I1883" s="86">
        <v>18</v>
      </c>
      <c r="J1883" s="87"/>
      <c r="K1883" s="87"/>
      <c r="L1883" s="87"/>
      <c r="M1883" s="87"/>
      <c r="N1883" s="87"/>
      <c r="O1883" s="87"/>
      <c r="P1883" s="87"/>
      <c r="Q1883" s="87"/>
      <c r="R1883" s="87"/>
      <c r="S1883" s="87"/>
      <c r="T1883" s="87"/>
      <c r="U1883" s="87"/>
      <c r="V1883" s="87">
        <v>3</v>
      </c>
      <c r="W1883" s="87"/>
      <c r="X1883" s="87"/>
      <c r="Y1883" s="87"/>
      <c r="Z1883" s="87"/>
      <c r="AA1883" s="87"/>
      <c r="AB1883" s="87"/>
      <c r="AC1883" s="87"/>
      <c r="AD1883" s="87"/>
      <c r="AE1883" s="87"/>
      <c r="AF1883" s="87"/>
      <c r="AG1883" s="87"/>
      <c r="AH1883" s="87">
        <v>3</v>
      </c>
      <c r="AI1883" s="87"/>
      <c r="AJ1883" s="87"/>
      <c r="AK1883" s="87"/>
      <c r="AL1883" s="87"/>
      <c r="AM1883" s="87"/>
      <c r="AN1883" s="87"/>
      <c r="AO1883" s="87">
        <v>3</v>
      </c>
      <c r="AP1883" s="87"/>
      <c r="AQ1883" s="87"/>
      <c r="AR1883" s="87"/>
      <c r="AS1883" s="87"/>
      <c r="AT1883" s="87"/>
      <c r="AU1883" s="87"/>
      <c r="AV1883" s="87"/>
      <c r="AW1883" s="88" t="str">
        <f>HYPERLINK("http://www.openstreetmap.org/?mlat=31.9842&amp;mlon=44.3318&amp;zoom=12#map=12/31.9842/44.3318","Maplink1")</f>
        <v>Maplink1</v>
      </c>
      <c r="AX1883" s="88" t="str">
        <f>HYPERLINK("https://www.google.iq/maps/search/+31.9842,44.3318/@31.9842,44.3318,14z?hl=en","Maplink2")</f>
        <v>Maplink2</v>
      </c>
      <c r="AY1883" s="88" t="str">
        <f>HYPERLINK("http://www.bing.com/maps/?lvl=14&amp;sty=h&amp;cp=31.9842~44.3318&amp;sp=point.31.9842_44.3318","Maplink3")</f>
        <v>Maplink3</v>
      </c>
      <c r="AZ1883" s="76"/>
    </row>
    <row r="1884" spans="1:52" x14ac:dyDescent="0.25">
      <c r="A1884" s="86">
        <v>29618</v>
      </c>
      <c r="B1884" s="87" t="s">
        <v>23</v>
      </c>
      <c r="C1884" s="87" t="s">
        <v>23</v>
      </c>
      <c r="D1884" s="87" t="s">
        <v>3631</v>
      </c>
      <c r="E1884" s="87" t="s">
        <v>3632</v>
      </c>
      <c r="F1884" s="87">
        <v>32.2168920533</v>
      </c>
      <c r="G1884" s="87">
        <v>44.301505133500001</v>
      </c>
      <c r="H1884" s="86">
        <v>42</v>
      </c>
      <c r="I1884" s="86">
        <v>252</v>
      </c>
      <c r="J1884" s="87"/>
      <c r="K1884" s="87"/>
      <c r="L1884" s="87"/>
      <c r="M1884" s="87"/>
      <c r="N1884" s="87"/>
      <c r="O1884" s="87"/>
      <c r="P1884" s="87"/>
      <c r="Q1884" s="87"/>
      <c r="R1884" s="87"/>
      <c r="S1884" s="87"/>
      <c r="T1884" s="87"/>
      <c r="U1884" s="87"/>
      <c r="V1884" s="87">
        <v>42</v>
      </c>
      <c r="W1884" s="87"/>
      <c r="X1884" s="87"/>
      <c r="Y1884" s="87"/>
      <c r="Z1884" s="87"/>
      <c r="AA1884" s="87"/>
      <c r="AB1884" s="87"/>
      <c r="AC1884" s="87"/>
      <c r="AD1884" s="87"/>
      <c r="AE1884" s="87"/>
      <c r="AF1884" s="87"/>
      <c r="AG1884" s="87"/>
      <c r="AH1884" s="87">
        <v>42</v>
      </c>
      <c r="AI1884" s="87"/>
      <c r="AJ1884" s="87"/>
      <c r="AK1884" s="87"/>
      <c r="AL1884" s="87"/>
      <c r="AM1884" s="87"/>
      <c r="AN1884" s="87"/>
      <c r="AO1884" s="87">
        <v>42</v>
      </c>
      <c r="AP1884" s="87"/>
      <c r="AQ1884" s="87"/>
      <c r="AR1884" s="87"/>
      <c r="AS1884" s="87"/>
      <c r="AT1884" s="87"/>
      <c r="AU1884" s="87"/>
      <c r="AV1884" s="87"/>
      <c r="AW1884" s="88" t="str">
        <f>HYPERLINK("http://www.openstreetmap.org/?mlat=32.2169&amp;mlon=44.3015&amp;zoom=12#map=12/32.2169/44.3015","Maplink1")</f>
        <v>Maplink1</v>
      </c>
      <c r="AX1884" s="88" t="str">
        <f>HYPERLINK("https://www.google.iq/maps/search/+32.2169,44.3015/@32.2169,44.3015,14z?hl=en","Maplink2")</f>
        <v>Maplink2</v>
      </c>
      <c r="AY1884" s="88" t="str">
        <f>HYPERLINK("http://www.bing.com/maps/?lvl=14&amp;sty=h&amp;cp=32.2169~44.3015&amp;sp=point.32.2169_44.3015","Maplink3")</f>
        <v>Maplink3</v>
      </c>
      <c r="AZ1884" s="76"/>
    </row>
    <row r="1885" spans="1:52" x14ac:dyDescent="0.25">
      <c r="A1885" s="86">
        <v>19637</v>
      </c>
      <c r="B1885" s="87" t="s">
        <v>23</v>
      </c>
      <c r="C1885" s="87" t="s">
        <v>23</v>
      </c>
      <c r="D1885" s="87" t="s">
        <v>3633</v>
      </c>
      <c r="E1885" s="87" t="s">
        <v>3634</v>
      </c>
      <c r="F1885" s="87">
        <v>32.309358293499997</v>
      </c>
      <c r="G1885" s="87">
        <v>44.273303691999999</v>
      </c>
      <c r="H1885" s="86">
        <v>32</v>
      </c>
      <c r="I1885" s="86">
        <v>192</v>
      </c>
      <c r="J1885" s="87"/>
      <c r="K1885" s="87"/>
      <c r="L1885" s="87"/>
      <c r="M1885" s="87"/>
      <c r="N1885" s="87"/>
      <c r="O1885" s="87"/>
      <c r="P1885" s="87"/>
      <c r="Q1885" s="87"/>
      <c r="R1885" s="87"/>
      <c r="S1885" s="87"/>
      <c r="T1885" s="87"/>
      <c r="U1885" s="87"/>
      <c r="V1885" s="87">
        <v>32</v>
      </c>
      <c r="W1885" s="87"/>
      <c r="X1885" s="87"/>
      <c r="Y1885" s="87"/>
      <c r="Z1885" s="87"/>
      <c r="AA1885" s="87"/>
      <c r="AB1885" s="87"/>
      <c r="AC1885" s="87"/>
      <c r="AD1885" s="87"/>
      <c r="AE1885" s="87"/>
      <c r="AF1885" s="87"/>
      <c r="AG1885" s="87"/>
      <c r="AH1885" s="87">
        <v>32</v>
      </c>
      <c r="AI1885" s="87"/>
      <c r="AJ1885" s="87"/>
      <c r="AK1885" s="87"/>
      <c r="AL1885" s="87"/>
      <c r="AM1885" s="87"/>
      <c r="AN1885" s="87"/>
      <c r="AO1885" s="87">
        <v>32</v>
      </c>
      <c r="AP1885" s="87"/>
      <c r="AQ1885" s="87"/>
      <c r="AR1885" s="87"/>
      <c r="AS1885" s="87"/>
      <c r="AT1885" s="87"/>
      <c r="AU1885" s="87"/>
      <c r="AV1885" s="87"/>
      <c r="AW1885" s="88" t="str">
        <f>HYPERLINK("http://www.openstreetmap.org/?mlat=32.3094&amp;mlon=44.2733&amp;zoom=12#map=12/32.3094/44.2733","Maplink1")</f>
        <v>Maplink1</v>
      </c>
      <c r="AX1885" s="88" t="str">
        <f>HYPERLINK("https://www.google.iq/maps/search/+32.3094,44.2733/@32.3094,44.2733,14z?hl=en","Maplink2")</f>
        <v>Maplink2</v>
      </c>
      <c r="AY1885" s="88" t="str">
        <f>HYPERLINK("http://www.bing.com/maps/?lvl=14&amp;sty=h&amp;cp=32.3094~44.2733&amp;sp=point.32.3094_44.2733","Maplink3")</f>
        <v>Maplink3</v>
      </c>
      <c r="AZ1885" s="76"/>
    </row>
    <row r="1886" spans="1:52" x14ac:dyDescent="0.25">
      <c r="A1886" s="86">
        <v>29621</v>
      </c>
      <c r="B1886" s="87" t="s">
        <v>23</v>
      </c>
      <c r="C1886" s="87" t="s">
        <v>23</v>
      </c>
      <c r="D1886" s="87" t="s">
        <v>3635</v>
      </c>
      <c r="E1886" s="87" t="s">
        <v>3636</v>
      </c>
      <c r="F1886" s="87">
        <v>32.096497299699998</v>
      </c>
      <c r="G1886" s="87">
        <v>44.331344400799999</v>
      </c>
      <c r="H1886" s="86">
        <v>150</v>
      </c>
      <c r="I1886" s="86">
        <v>900</v>
      </c>
      <c r="J1886" s="87"/>
      <c r="K1886" s="87"/>
      <c r="L1886" s="87"/>
      <c r="M1886" s="87"/>
      <c r="N1886" s="87"/>
      <c r="O1886" s="87"/>
      <c r="P1886" s="87"/>
      <c r="Q1886" s="87"/>
      <c r="R1886" s="87"/>
      <c r="S1886" s="87"/>
      <c r="T1886" s="87"/>
      <c r="U1886" s="87"/>
      <c r="V1886" s="87">
        <v>150</v>
      </c>
      <c r="W1886" s="87"/>
      <c r="X1886" s="87"/>
      <c r="Y1886" s="87"/>
      <c r="Z1886" s="87"/>
      <c r="AA1886" s="87"/>
      <c r="AB1886" s="87"/>
      <c r="AC1886" s="87"/>
      <c r="AD1886" s="87"/>
      <c r="AE1886" s="87"/>
      <c r="AF1886" s="87"/>
      <c r="AG1886" s="87"/>
      <c r="AH1886" s="87">
        <v>150</v>
      </c>
      <c r="AI1886" s="87"/>
      <c r="AJ1886" s="87"/>
      <c r="AK1886" s="87"/>
      <c r="AL1886" s="87"/>
      <c r="AM1886" s="87"/>
      <c r="AN1886" s="87"/>
      <c r="AO1886" s="87">
        <v>150</v>
      </c>
      <c r="AP1886" s="87"/>
      <c r="AQ1886" s="87"/>
      <c r="AR1886" s="87"/>
      <c r="AS1886" s="87"/>
      <c r="AT1886" s="87"/>
      <c r="AU1886" s="87"/>
      <c r="AV1886" s="87"/>
      <c r="AW1886" s="88" t="str">
        <f>HYPERLINK("http://www.openstreetmap.org/?mlat=32.0965&amp;mlon=44.3313&amp;zoom=12#map=12/32.0965/44.3313","Maplink1")</f>
        <v>Maplink1</v>
      </c>
      <c r="AX1886" s="88" t="str">
        <f>HYPERLINK("https://www.google.iq/maps/search/+32.0965,44.3313/@32.0965,44.3313,14z?hl=en","Maplink2")</f>
        <v>Maplink2</v>
      </c>
      <c r="AY1886" s="88" t="str">
        <f>HYPERLINK("http://www.bing.com/maps/?lvl=14&amp;sty=h&amp;cp=32.0965~44.3313&amp;sp=point.32.0965_44.3313","Maplink3")</f>
        <v>Maplink3</v>
      </c>
      <c r="AZ1886" s="76"/>
    </row>
    <row r="1887" spans="1:52" x14ac:dyDescent="0.25">
      <c r="A1887" s="86">
        <v>25643</v>
      </c>
      <c r="B1887" s="87" t="s">
        <v>23</v>
      </c>
      <c r="C1887" s="87" t="s">
        <v>23</v>
      </c>
      <c r="D1887" s="87" t="s">
        <v>3637</v>
      </c>
      <c r="E1887" s="87" t="s">
        <v>3638</v>
      </c>
      <c r="F1887" s="87">
        <v>31.979442538000001</v>
      </c>
      <c r="G1887" s="87">
        <v>44.329236737199999</v>
      </c>
      <c r="H1887" s="86">
        <v>3</v>
      </c>
      <c r="I1887" s="86">
        <v>18</v>
      </c>
      <c r="J1887" s="87"/>
      <c r="K1887" s="87"/>
      <c r="L1887" s="87"/>
      <c r="M1887" s="87"/>
      <c r="N1887" s="87"/>
      <c r="O1887" s="87"/>
      <c r="P1887" s="87"/>
      <c r="Q1887" s="87"/>
      <c r="R1887" s="87"/>
      <c r="S1887" s="87"/>
      <c r="T1887" s="87"/>
      <c r="U1887" s="87"/>
      <c r="V1887" s="87">
        <v>3</v>
      </c>
      <c r="W1887" s="87"/>
      <c r="X1887" s="87"/>
      <c r="Y1887" s="87"/>
      <c r="Z1887" s="87"/>
      <c r="AA1887" s="87"/>
      <c r="AB1887" s="87"/>
      <c r="AC1887" s="87"/>
      <c r="AD1887" s="87"/>
      <c r="AE1887" s="87"/>
      <c r="AF1887" s="87"/>
      <c r="AG1887" s="87"/>
      <c r="AH1887" s="87">
        <v>3</v>
      </c>
      <c r="AI1887" s="87"/>
      <c r="AJ1887" s="87"/>
      <c r="AK1887" s="87"/>
      <c r="AL1887" s="87"/>
      <c r="AM1887" s="87"/>
      <c r="AN1887" s="87"/>
      <c r="AO1887" s="87">
        <v>3</v>
      </c>
      <c r="AP1887" s="87"/>
      <c r="AQ1887" s="87"/>
      <c r="AR1887" s="87"/>
      <c r="AS1887" s="87"/>
      <c r="AT1887" s="87"/>
      <c r="AU1887" s="87"/>
      <c r="AV1887" s="87"/>
      <c r="AW1887" s="88" t="str">
        <f>HYPERLINK("http://www.openstreetmap.org/?mlat=31.9794&amp;mlon=44.3292&amp;zoom=12#map=12/31.9794/44.3292","Maplink1")</f>
        <v>Maplink1</v>
      </c>
      <c r="AX1887" s="88" t="str">
        <f>HYPERLINK("https://www.google.iq/maps/search/+31.9794,44.3292/@31.9794,44.3292,14z?hl=en","Maplink2")</f>
        <v>Maplink2</v>
      </c>
      <c r="AY1887" s="88" t="str">
        <f>HYPERLINK("http://www.bing.com/maps/?lvl=14&amp;sty=h&amp;cp=31.9794~44.3292&amp;sp=point.31.9794_44.3292","Maplink3")</f>
        <v>Maplink3</v>
      </c>
      <c r="AZ1887" s="76"/>
    </row>
    <row r="1888" spans="1:52" x14ac:dyDescent="0.25">
      <c r="A1888" s="86">
        <v>20282</v>
      </c>
      <c r="B1888" s="87" t="s">
        <v>23</v>
      </c>
      <c r="C1888" s="87" t="s">
        <v>23</v>
      </c>
      <c r="D1888" s="87" t="s">
        <v>3639</v>
      </c>
      <c r="E1888" s="87" t="s">
        <v>3640</v>
      </c>
      <c r="F1888" s="87">
        <v>31.9879224381</v>
      </c>
      <c r="G1888" s="87">
        <v>44.314748203900002</v>
      </c>
      <c r="H1888" s="86">
        <v>50</v>
      </c>
      <c r="I1888" s="86">
        <v>300</v>
      </c>
      <c r="J1888" s="87"/>
      <c r="K1888" s="87"/>
      <c r="L1888" s="87"/>
      <c r="M1888" s="87"/>
      <c r="N1888" s="87"/>
      <c r="O1888" s="87"/>
      <c r="P1888" s="87"/>
      <c r="Q1888" s="87"/>
      <c r="R1888" s="87"/>
      <c r="S1888" s="87"/>
      <c r="T1888" s="87"/>
      <c r="U1888" s="87"/>
      <c r="V1888" s="87">
        <v>50</v>
      </c>
      <c r="W1888" s="87"/>
      <c r="X1888" s="87"/>
      <c r="Y1888" s="87"/>
      <c r="Z1888" s="87"/>
      <c r="AA1888" s="87"/>
      <c r="AB1888" s="87"/>
      <c r="AC1888" s="87"/>
      <c r="AD1888" s="87"/>
      <c r="AE1888" s="87"/>
      <c r="AF1888" s="87"/>
      <c r="AG1888" s="87"/>
      <c r="AH1888" s="87">
        <v>50</v>
      </c>
      <c r="AI1888" s="87"/>
      <c r="AJ1888" s="87"/>
      <c r="AK1888" s="87"/>
      <c r="AL1888" s="87"/>
      <c r="AM1888" s="87"/>
      <c r="AN1888" s="87"/>
      <c r="AO1888" s="87">
        <v>50</v>
      </c>
      <c r="AP1888" s="87"/>
      <c r="AQ1888" s="87"/>
      <c r="AR1888" s="87"/>
      <c r="AS1888" s="87"/>
      <c r="AT1888" s="87"/>
      <c r="AU1888" s="87"/>
      <c r="AV1888" s="87"/>
      <c r="AW1888" s="88" t="str">
        <f>HYPERLINK("http://www.openstreetmap.org/?mlat=31.9879&amp;mlon=44.3147&amp;zoom=12#map=12/31.9879/44.3147","Maplink1")</f>
        <v>Maplink1</v>
      </c>
      <c r="AX1888" s="88" t="str">
        <f>HYPERLINK("https://www.google.iq/maps/search/+31.9879,44.3147/@31.9879,44.3147,14z?hl=en","Maplink2")</f>
        <v>Maplink2</v>
      </c>
      <c r="AY1888" s="88" t="str">
        <f>HYPERLINK("http://www.bing.com/maps/?lvl=14&amp;sty=h&amp;cp=31.9879~44.3147&amp;sp=point.31.9879_44.3147","Maplink3")</f>
        <v>Maplink3</v>
      </c>
      <c r="AZ1888" s="76"/>
    </row>
    <row r="1889" spans="1:52" x14ac:dyDescent="0.25">
      <c r="A1889" s="86">
        <v>17734</v>
      </c>
      <c r="B1889" s="87" t="s">
        <v>24</v>
      </c>
      <c r="C1889" s="87" t="s">
        <v>3641</v>
      </c>
      <c r="D1889" s="87" t="s">
        <v>3641</v>
      </c>
      <c r="E1889" s="87" t="s">
        <v>3642</v>
      </c>
      <c r="F1889" s="87">
        <v>36.736164112099999</v>
      </c>
      <c r="G1889" s="87">
        <v>43.870367636700003</v>
      </c>
      <c r="H1889" s="86">
        <v>1716</v>
      </c>
      <c r="I1889" s="86">
        <v>10296</v>
      </c>
      <c r="J1889" s="87"/>
      <c r="K1889" s="87"/>
      <c r="L1889" s="87"/>
      <c r="M1889" s="87"/>
      <c r="N1889" s="87"/>
      <c r="O1889" s="87"/>
      <c r="P1889" s="87"/>
      <c r="Q1889" s="87"/>
      <c r="R1889" s="87"/>
      <c r="S1889" s="87"/>
      <c r="T1889" s="87"/>
      <c r="U1889" s="87"/>
      <c r="V1889" s="87">
        <v>1709</v>
      </c>
      <c r="W1889" s="87"/>
      <c r="X1889" s="87">
        <v>7</v>
      </c>
      <c r="Y1889" s="87"/>
      <c r="Z1889" s="87"/>
      <c r="AA1889" s="87"/>
      <c r="AB1889" s="87"/>
      <c r="AC1889" s="87">
        <v>55</v>
      </c>
      <c r="AD1889" s="87"/>
      <c r="AE1889" s="87"/>
      <c r="AF1889" s="87"/>
      <c r="AG1889" s="87"/>
      <c r="AH1889" s="87">
        <v>1369</v>
      </c>
      <c r="AI1889" s="87"/>
      <c r="AJ1889" s="87"/>
      <c r="AK1889" s="87">
        <v>50</v>
      </c>
      <c r="AL1889" s="87">
        <v>242</v>
      </c>
      <c r="AM1889" s="87"/>
      <c r="AN1889" s="87"/>
      <c r="AO1889" s="87">
        <v>976</v>
      </c>
      <c r="AP1889" s="87">
        <v>740</v>
      </c>
      <c r="AQ1889" s="87"/>
      <c r="AR1889" s="87"/>
      <c r="AS1889" s="87"/>
      <c r="AT1889" s="87"/>
      <c r="AU1889" s="87"/>
      <c r="AV1889" s="87"/>
      <c r="AW1889" s="88" t="str">
        <f>HYPERLINK("http://www.openstreetmap.org/?mlat=36.7362&amp;mlon=43.8704&amp;zoom=12#map=12/36.7362/43.8704","Maplink1")</f>
        <v>Maplink1</v>
      </c>
      <c r="AX1889" s="88" t="str">
        <f>HYPERLINK("https://www.google.iq/maps/search/+36.7362,43.8704/@36.7362,43.8704,14z?hl=en","Maplink2")</f>
        <v>Maplink2</v>
      </c>
      <c r="AY1889" s="88" t="str">
        <f>HYPERLINK("http://www.bing.com/maps/?lvl=14&amp;sty=h&amp;cp=36.7362~43.8704&amp;sp=point.36.7362_43.8704","Maplink3")</f>
        <v>Maplink3</v>
      </c>
      <c r="AZ1889" s="76"/>
    </row>
    <row r="1890" spans="1:52" x14ac:dyDescent="0.25">
      <c r="A1890" s="86">
        <v>17295</v>
      </c>
      <c r="B1890" s="87" t="s">
        <v>24</v>
      </c>
      <c r="C1890" s="87" t="s">
        <v>3641</v>
      </c>
      <c r="D1890" s="87" t="s">
        <v>3643</v>
      </c>
      <c r="E1890" s="87" t="s">
        <v>3644</v>
      </c>
      <c r="F1890" s="87">
        <v>36.535118599299999</v>
      </c>
      <c r="G1890" s="87">
        <v>43.598455585400004</v>
      </c>
      <c r="H1890" s="86">
        <v>1</v>
      </c>
      <c r="I1890" s="86">
        <v>6</v>
      </c>
      <c r="J1890" s="87"/>
      <c r="K1890" s="87"/>
      <c r="L1890" s="87"/>
      <c r="M1890" s="87"/>
      <c r="N1890" s="87"/>
      <c r="O1890" s="87"/>
      <c r="P1890" s="87"/>
      <c r="Q1890" s="87"/>
      <c r="R1890" s="87"/>
      <c r="S1890" s="87"/>
      <c r="T1890" s="87"/>
      <c r="U1890" s="87"/>
      <c r="V1890" s="87">
        <v>1</v>
      </c>
      <c r="W1890" s="87"/>
      <c r="X1890" s="87"/>
      <c r="Y1890" s="87"/>
      <c r="Z1890" s="87"/>
      <c r="AA1890" s="87"/>
      <c r="AB1890" s="87"/>
      <c r="AC1890" s="87">
        <v>1</v>
      </c>
      <c r="AD1890" s="87"/>
      <c r="AE1890" s="87"/>
      <c r="AF1890" s="87"/>
      <c r="AG1890" s="87"/>
      <c r="AH1890" s="87"/>
      <c r="AI1890" s="87"/>
      <c r="AJ1890" s="87"/>
      <c r="AK1890" s="87"/>
      <c r="AL1890" s="87"/>
      <c r="AM1890" s="87"/>
      <c r="AN1890" s="87"/>
      <c r="AO1890" s="87"/>
      <c r="AP1890" s="87">
        <v>1</v>
      </c>
      <c r="AQ1890" s="87"/>
      <c r="AR1890" s="87"/>
      <c r="AS1890" s="87"/>
      <c r="AT1890" s="87"/>
      <c r="AU1890" s="87"/>
      <c r="AV1890" s="87"/>
      <c r="AW1890" s="88" t="str">
        <f>HYPERLINK("http://www.openstreetmap.org/?mlat=36.5351&amp;mlon=43.5985&amp;zoom=12#map=12/36.5351/43.5985","Maplink1")</f>
        <v>Maplink1</v>
      </c>
      <c r="AX1890" s="88" t="str">
        <f>HYPERLINK("https://www.google.iq/maps/search/+36.5351,43.5985/@36.5351,43.5985,14z?hl=en","Maplink2")</f>
        <v>Maplink2</v>
      </c>
      <c r="AY1890" s="88" t="str">
        <f>HYPERLINK("http://www.bing.com/maps/?lvl=14&amp;sty=h&amp;cp=36.5351~43.5985&amp;sp=point.36.5351_43.5985","Maplink3")</f>
        <v>Maplink3</v>
      </c>
      <c r="AZ1890" s="76"/>
    </row>
    <row r="1891" spans="1:52" x14ac:dyDescent="0.25">
      <c r="A1891" s="86">
        <v>8789</v>
      </c>
      <c r="B1891" s="87" t="s">
        <v>24</v>
      </c>
      <c r="C1891" s="87" t="s">
        <v>3641</v>
      </c>
      <c r="D1891" s="87" t="s">
        <v>3645</v>
      </c>
      <c r="E1891" s="87" t="s">
        <v>3646</v>
      </c>
      <c r="F1891" s="87">
        <v>36.537482753699997</v>
      </c>
      <c r="G1891" s="87">
        <v>43.598445500399997</v>
      </c>
      <c r="H1891" s="86">
        <v>21</v>
      </c>
      <c r="I1891" s="86">
        <v>126</v>
      </c>
      <c r="J1891" s="87"/>
      <c r="K1891" s="87"/>
      <c r="L1891" s="87"/>
      <c r="M1891" s="87"/>
      <c r="N1891" s="87"/>
      <c r="O1891" s="87"/>
      <c r="P1891" s="87"/>
      <c r="Q1891" s="87"/>
      <c r="R1891" s="87"/>
      <c r="S1891" s="87"/>
      <c r="T1891" s="87"/>
      <c r="U1891" s="87"/>
      <c r="V1891" s="87">
        <v>21</v>
      </c>
      <c r="W1891" s="87"/>
      <c r="X1891" s="87"/>
      <c r="Y1891" s="87"/>
      <c r="Z1891" s="87"/>
      <c r="AA1891" s="87"/>
      <c r="AB1891" s="87"/>
      <c r="AC1891" s="87">
        <v>8</v>
      </c>
      <c r="AD1891" s="87"/>
      <c r="AE1891" s="87"/>
      <c r="AF1891" s="87"/>
      <c r="AG1891" s="87"/>
      <c r="AH1891" s="87">
        <v>13</v>
      </c>
      <c r="AI1891" s="87"/>
      <c r="AJ1891" s="87"/>
      <c r="AK1891" s="87"/>
      <c r="AL1891" s="87"/>
      <c r="AM1891" s="87"/>
      <c r="AN1891" s="87"/>
      <c r="AO1891" s="87">
        <v>10</v>
      </c>
      <c r="AP1891" s="87">
        <v>11</v>
      </c>
      <c r="AQ1891" s="87"/>
      <c r="AR1891" s="87"/>
      <c r="AS1891" s="87"/>
      <c r="AT1891" s="87"/>
      <c r="AU1891" s="87"/>
      <c r="AV1891" s="87"/>
      <c r="AW1891" s="88" t="str">
        <f>HYPERLINK("http://www.openstreetmap.org/?mlat=36.5375&amp;mlon=43.5984&amp;zoom=12#map=12/36.5375/43.5984","Maplink1")</f>
        <v>Maplink1</v>
      </c>
      <c r="AX1891" s="88" t="str">
        <f>HYPERLINK("https://www.google.iq/maps/search/+36.5375,43.5984/@36.5375,43.5984,14z?hl=en","Maplink2")</f>
        <v>Maplink2</v>
      </c>
      <c r="AY1891" s="88" t="str">
        <f>HYPERLINK("http://www.bing.com/maps/?lvl=14&amp;sty=h&amp;cp=36.5375~43.5984&amp;sp=point.36.5375_43.5984","Maplink3")</f>
        <v>Maplink3</v>
      </c>
      <c r="AZ1891" s="76"/>
    </row>
    <row r="1892" spans="1:52" x14ac:dyDescent="0.25">
      <c r="A1892" s="86">
        <v>18256</v>
      </c>
      <c r="B1892" s="87" t="s">
        <v>24</v>
      </c>
      <c r="C1892" s="87" t="s">
        <v>3641</v>
      </c>
      <c r="D1892" s="87" t="s">
        <v>3647</v>
      </c>
      <c r="E1892" s="87" t="s">
        <v>3648</v>
      </c>
      <c r="F1892" s="87">
        <v>36.709397040699997</v>
      </c>
      <c r="G1892" s="87">
        <v>43.972810897999999</v>
      </c>
      <c r="H1892" s="86">
        <v>54</v>
      </c>
      <c r="I1892" s="86">
        <v>324</v>
      </c>
      <c r="J1892" s="87"/>
      <c r="K1892" s="87"/>
      <c r="L1892" s="87"/>
      <c r="M1892" s="87"/>
      <c r="N1892" s="87"/>
      <c r="O1892" s="87"/>
      <c r="P1892" s="87"/>
      <c r="Q1892" s="87"/>
      <c r="R1892" s="87"/>
      <c r="S1892" s="87"/>
      <c r="T1892" s="87"/>
      <c r="U1892" s="87"/>
      <c r="V1892" s="87">
        <v>54</v>
      </c>
      <c r="W1892" s="87"/>
      <c r="X1892" s="87"/>
      <c r="Y1892" s="87"/>
      <c r="Z1892" s="87"/>
      <c r="AA1892" s="87"/>
      <c r="AB1892" s="87"/>
      <c r="AC1892" s="87">
        <v>11</v>
      </c>
      <c r="AD1892" s="87"/>
      <c r="AE1892" s="87"/>
      <c r="AF1892" s="87"/>
      <c r="AG1892" s="87"/>
      <c r="AH1892" s="87">
        <v>43</v>
      </c>
      <c r="AI1892" s="87"/>
      <c r="AJ1892" s="87"/>
      <c r="AK1892" s="87"/>
      <c r="AL1892" s="87"/>
      <c r="AM1892" s="87"/>
      <c r="AN1892" s="87"/>
      <c r="AO1892" s="87">
        <v>23</v>
      </c>
      <c r="AP1892" s="87">
        <v>31</v>
      </c>
      <c r="AQ1892" s="87"/>
      <c r="AR1892" s="87"/>
      <c r="AS1892" s="87"/>
      <c r="AT1892" s="87"/>
      <c r="AU1892" s="87"/>
      <c r="AV1892" s="87"/>
      <c r="AW1892" s="88" t="str">
        <f>HYPERLINK("http://www.openstreetmap.org/?mlat=36.7094&amp;mlon=43.9728&amp;zoom=12#map=12/36.7094/43.9728","Maplink1")</f>
        <v>Maplink1</v>
      </c>
      <c r="AX1892" s="88" t="str">
        <f>HYPERLINK("https://www.google.iq/maps/search/+36.7094,43.9728/@36.7094,43.9728,14z?hl=en","Maplink2")</f>
        <v>Maplink2</v>
      </c>
      <c r="AY1892" s="88" t="str">
        <f>HYPERLINK("http://www.bing.com/maps/?lvl=14&amp;sty=h&amp;cp=36.7094~43.9728&amp;sp=point.36.7094_43.9728","Maplink3")</f>
        <v>Maplink3</v>
      </c>
      <c r="AZ1892" s="76"/>
    </row>
    <row r="1893" spans="1:52" x14ac:dyDescent="0.25">
      <c r="A1893" s="86">
        <v>8783</v>
      </c>
      <c r="B1893" s="87" t="s">
        <v>24</v>
      </c>
      <c r="C1893" s="87" t="s">
        <v>3641</v>
      </c>
      <c r="D1893" s="87" t="s">
        <v>3649</v>
      </c>
      <c r="E1893" s="87" t="s">
        <v>3650</v>
      </c>
      <c r="F1893" s="87">
        <v>36.5050524563</v>
      </c>
      <c r="G1893" s="87">
        <v>43.595598583399997</v>
      </c>
      <c r="H1893" s="86">
        <v>975</v>
      </c>
      <c r="I1893" s="86">
        <v>5850</v>
      </c>
      <c r="J1893" s="87"/>
      <c r="K1893" s="87"/>
      <c r="L1893" s="87"/>
      <c r="M1893" s="87"/>
      <c r="N1893" s="87"/>
      <c r="O1893" s="87"/>
      <c r="P1893" s="87"/>
      <c r="Q1893" s="87"/>
      <c r="R1893" s="87"/>
      <c r="S1893" s="87"/>
      <c r="T1893" s="87"/>
      <c r="U1893" s="87"/>
      <c r="V1893" s="87">
        <v>975</v>
      </c>
      <c r="W1893" s="87"/>
      <c r="X1893" s="87"/>
      <c r="Y1893" s="87"/>
      <c r="Z1893" s="87"/>
      <c r="AA1893" s="87"/>
      <c r="AB1893" s="87"/>
      <c r="AC1893" s="87">
        <v>60</v>
      </c>
      <c r="AD1893" s="87"/>
      <c r="AE1893" s="87"/>
      <c r="AF1893" s="87"/>
      <c r="AG1893" s="87"/>
      <c r="AH1893" s="87">
        <v>915</v>
      </c>
      <c r="AI1893" s="87"/>
      <c r="AJ1893" s="87"/>
      <c r="AK1893" s="87"/>
      <c r="AL1893" s="87"/>
      <c r="AM1893" s="87"/>
      <c r="AN1893" s="87"/>
      <c r="AO1893" s="87">
        <v>407</v>
      </c>
      <c r="AP1893" s="87">
        <v>518</v>
      </c>
      <c r="AQ1893" s="87"/>
      <c r="AR1893" s="87"/>
      <c r="AS1893" s="87"/>
      <c r="AT1893" s="87"/>
      <c r="AU1893" s="87">
        <v>50</v>
      </c>
      <c r="AV1893" s="87"/>
      <c r="AW1893" s="88" t="str">
        <f>HYPERLINK("http://www.openstreetmap.org/?mlat=36.5051&amp;mlon=43.5956&amp;zoom=12#map=12/36.5051/43.5956","Maplink1")</f>
        <v>Maplink1</v>
      </c>
      <c r="AX1893" s="88" t="str">
        <f>HYPERLINK("https://www.google.iq/maps/search/+36.5051,43.5956/@36.5051,43.5956,14z?hl=en","Maplink2")</f>
        <v>Maplink2</v>
      </c>
      <c r="AY1893" s="88" t="str">
        <f>HYPERLINK("http://www.bing.com/maps/?lvl=14&amp;sty=h&amp;cp=36.5051~43.5956&amp;sp=point.36.5051_43.5956","Maplink3")</f>
        <v>Maplink3</v>
      </c>
      <c r="AZ1893" s="76"/>
    </row>
    <row r="1894" spans="1:52" x14ac:dyDescent="0.25">
      <c r="A1894" s="86">
        <v>29571</v>
      </c>
      <c r="B1894" s="87" t="s">
        <v>24</v>
      </c>
      <c r="C1894" s="87" t="s">
        <v>3641</v>
      </c>
      <c r="D1894" s="87" t="s">
        <v>3651</v>
      </c>
      <c r="E1894" s="87" t="s">
        <v>3652</v>
      </c>
      <c r="F1894" s="87">
        <v>36.503012917299998</v>
      </c>
      <c r="G1894" s="87">
        <v>43.571334568200001</v>
      </c>
      <c r="H1894" s="86">
        <v>36</v>
      </c>
      <c r="I1894" s="86">
        <v>216</v>
      </c>
      <c r="J1894" s="87"/>
      <c r="K1894" s="87"/>
      <c r="L1894" s="87"/>
      <c r="M1894" s="87"/>
      <c r="N1894" s="87"/>
      <c r="O1894" s="87"/>
      <c r="P1894" s="87"/>
      <c r="Q1894" s="87"/>
      <c r="R1894" s="87"/>
      <c r="S1894" s="87"/>
      <c r="T1894" s="87"/>
      <c r="U1894" s="87"/>
      <c r="V1894" s="87">
        <v>36</v>
      </c>
      <c r="W1894" s="87"/>
      <c r="X1894" s="87"/>
      <c r="Y1894" s="87"/>
      <c r="Z1894" s="87"/>
      <c r="AA1894" s="87"/>
      <c r="AB1894" s="87"/>
      <c r="AC1894" s="87">
        <v>9</v>
      </c>
      <c r="AD1894" s="87"/>
      <c r="AE1894" s="87"/>
      <c r="AF1894" s="87"/>
      <c r="AG1894" s="87"/>
      <c r="AH1894" s="87">
        <v>27</v>
      </c>
      <c r="AI1894" s="87"/>
      <c r="AJ1894" s="87"/>
      <c r="AK1894" s="87"/>
      <c r="AL1894" s="87"/>
      <c r="AM1894" s="87"/>
      <c r="AN1894" s="87"/>
      <c r="AO1894" s="87">
        <v>9</v>
      </c>
      <c r="AP1894" s="87">
        <v>27</v>
      </c>
      <c r="AQ1894" s="87"/>
      <c r="AR1894" s="87"/>
      <c r="AS1894" s="87"/>
      <c r="AT1894" s="87"/>
      <c r="AU1894" s="87"/>
      <c r="AV1894" s="87"/>
      <c r="AW1894" s="88" t="str">
        <f>HYPERLINK("http://www.openstreetmap.org/?mlat=36.503&amp;mlon=43.5713&amp;zoom=12#map=12/36.503/43.5713","Maplink1")</f>
        <v>Maplink1</v>
      </c>
      <c r="AX1894" s="88" t="str">
        <f>HYPERLINK("https://www.google.iq/maps/search/+36.503,43.5713/@36.503,43.5713,14z?hl=en","Maplink2")</f>
        <v>Maplink2</v>
      </c>
      <c r="AY1894" s="88" t="str">
        <f>HYPERLINK("http://www.bing.com/maps/?lvl=14&amp;sty=h&amp;cp=36.503~43.5713&amp;sp=point.36.503_43.5713","Maplink3")</f>
        <v>Maplink3</v>
      </c>
      <c r="AZ1894" s="76"/>
    </row>
    <row r="1895" spans="1:52" x14ac:dyDescent="0.25">
      <c r="A1895" s="86">
        <v>8777</v>
      </c>
      <c r="B1895" s="87" t="s">
        <v>24</v>
      </c>
      <c r="C1895" s="87" t="s">
        <v>3641</v>
      </c>
      <c r="D1895" s="87" t="s">
        <v>3653</v>
      </c>
      <c r="E1895" s="87" t="s">
        <v>3654</v>
      </c>
      <c r="F1895" s="87">
        <v>36.483412663300001</v>
      </c>
      <c r="G1895" s="87">
        <v>43.690311217000001</v>
      </c>
      <c r="H1895" s="86">
        <v>2</v>
      </c>
      <c r="I1895" s="86">
        <v>12</v>
      </c>
      <c r="J1895" s="87"/>
      <c r="K1895" s="87"/>
      <c r="L1895" s="87"/>
      <c r="M1895" s="87"/>
      <c r="N1895" s="87"/>
      <c r="O1895" s="87"/>
      <c r="P1895" s="87"/>
      <c r="Q1895" s="87"/>
      <c r="R1895" s="87"/>
      <c r="S1895" s="87"/>
      <c r="T1895" s="87"/>
      <c r="U1895" s="87"/>
      <c r="V1895" s="87">
        <v>2</v>
      </c>
      <c r="W1895" s="87"/>
      <c r="X1895" s="87"/>
      <c r="Y1895" s="87"/>
      <c r="Z1895" s="87"/>
      <c r="AA1895" s="87"/>
      <c r="AB1895" s="87"/>
      <c r="AC1895" s="87">
        <v>2</v>
      </c>
      <c r="AD1895" s="87"/>
      <c r="AE1895" s="87"/>
      <c r="AF1895" s="87"/>
      <c r="AG1895" s="87"/>
      <c r="AH1895" s="87"/>
      <c r="AI1895" s="87"/>
      <c r="AJ1895" s="87"/>
      <c r="AK1895" s="87"/>
      <c r="AL1895" s="87"/>
      <c r="AM1895" s="87"/>
      <c r="AN1895" s="87"/>
      <c r="AO1895" s="87">
        <v>2</v>
      </c>
      <c r="AP1895" s="87"/>
      <c r="AQ1895" s="87"/>
      <c r="AR1895" s="87"/>
      <c r="AS1895" s="87"/>
      <c r="AT1895" s="87"/>
      <c r="AU1895" s="87"/>
      <c r="AV1895" s="87"/>
      <c r="AW1895" s="88" t="str">
        <f>HYPERLINK("http://www.openstreetmap.org/?mlat=36.4834&amp;mlon=43.6903&amp;zoom=12#map=12/36.4834/43.6903","Maplink1")</f>
        <v>Maplink1</v>
      </c>
      <c r="AX1895" s="88" t="str">
        <f>HYPERLINK("https://www.google.iq/maps/search/+36.4834,43.6903/@36.4834,43.6903,14z?hl=en","Maplink2")</f>
        <v>Maplink2</v>
      </c>
      <c r="AY1895" s="88" t="str">
        <f>HYPERLINK("http://www.bing.com/maps/?lvl=14&amp;sty=h&amp;cp=36.4834~43.6903&amp;sp=point.36.4834_43.6903","Maplink3")</f>
        <v>Maplink3</v>
      </c>
      <c r="AZ1895" s="76"/>
    </row>
    <row r="1896" spans="1:52" x14ac:dyDescent="0.25">
      <c r="A1896" s="86">
        <v>17323</v>
      </c>
      <c r="B1896" s="87" t="s">
        <v>24</v>
      </c>
      <c r="C1896" s="87" t="s">
        <v>3641</v>
      </c>
      <c r="D1896" s="87" t="s">
        <v>3655</v>
      </c>
      <c r="E1896" s="87" t="s">
        <v>3656</v>
      </c>
      <c r="F1896" s="87">
        <v>36.563325093700001</v>
      </c>
      <c r="G1896" s="87">
        <v>43.759746516100002</v>
      </c>
      <c r="H1896" s="86">
        <v>1</v>
      </c>
      <c r="I1896" s="86">
        <v>6</v>
      </c>
      <c r="J1896" s="87"/>
      <c r="K1896" s="87"/>
      <c r="L1896" s="87"/>
      <c r="M1896" s="87"/>
      <c r="N1896" s="87"/>
      <c r="O1896" s="87"/>
      <c r="P1896" s="87"/>
      <c r="Q1896" s="87"/>
      <c r="R1896" s="87"/>
      <c r="S1896" s="87"/>
      <c r="T1896" s="87"/>
      <c r="U1896" s="87"/>
      <c r="V1896" s="87">
        <v>1</v>
      </c>
      <c r="W1896" s="87"/>
      <c r="X1896" s="87"/>
      <c r="Y1896" s="87"/>
      <c r="Z1896" s="87"/>
      <c r="AA1896" s="87"/>
      <c r="AB1896" s="87"/>
      <c r="AC1896" s="87">
        <v>1</v>
      </c>
      <c r="AD1896" s="87"/>
      <c r="AE1896" s="87"/>
      <c r="AF1896" s="87"/>
      <c r="AG1896" s="87"/>
      <c r="AH1896" s="87"/>
      <c r="AI1896" s="87"/>
      <c r="AJ1896" s="87"/>
      <c r="AK1896" s="87"/>
      <c r="AL1896" s="87"/>
      <c r="AM1896" s="87"/>
      <c r="AN1896" s="87"/>
      <c r="AO1896" s="87"/>
      <c r="AP1896" s="87">
        <v>1</v>
      </c>
      <c r="AQ1896" s="87"/>
      <c r="AR1896" s="87"/>
      <c r="AS1896" s="87"/>
      <c r="AT1896" s="87"/>
      <c r="AU1896" s="87"/>
      <c r="AV1896" s="87"/>
      <c r="AW1896" s="88" t="str">
        <f>HYPERLINK("http://www.openstreetmap.org/?mlat=36.5633&amp;mlon=43.7597&amp;zoom=12#map=12/36.5633/43.7597","Maplink1")</f>
        <v>Maplink1</v>
      </c>
      <c r="AX1896" s="88" t="str">
        <f>HYPERLINK("https://www.google.iq/maps/search/+36.5633,43.7597/@36.5633,43.7597,14z?hl=en","Maplink2")</f>
        <v>Maplink2</v>
      </c>
      <c r="AY1896" s="88" t="str">
        <f>HYPERLINK("http://www.bing.com/maps/?lvl=14&amp;sty=h&amp;cp=36.5633~43.7597&amp;sp=point.36.5633_43.7597","Maplink3")</f>
        <v>Maplink3</v>
      </c>
      <c r="AZ1896" s="76"/>
    </row>
    <row r="1897" spans="1:52" x14ac:dyDescent="0.25">
      <c r="A1897" s="86">
        <v>25816</v>
      </c>
      <c r="B1897" s="87" t="s">
        <v>24</v>
      </c>
      <c r="C1897" s="87" t="s">
        <v>3641</v>
      </c>
      <c r="D1897" s="87" t="s">
        <v>3657</v>
      </c>
      <c r="E1897" s="87" t="s">
        <v>3658</v>
      </c>
      <c r="F1897" s="87">
        <v>36.3098006982</v>
      </c>
      <c r="G1897" s="87">
        <v>43.674268232099998</v>
      </c>
      <c r="H1897" s="86">
        <v>35</v>
      </c>
      <c r="I1897" s="86">
        <v>210</v>
      </c>
      <c r="J1897" s="87"/>
      <c r="K1897" s="87"/>
      <c r="L1897" s="87"/>
      <c r="M1897" s="87"/>
      <c r="N1897" s="87"/>
      <c r="O1897" s="87"/>
      <c r="P1897" s="87"/>
      <c r="Q1897" s="87"/>
      <c r="R1897" s="87"/>
      <c r="S1897" s="87"/>
      <c r="T1897" s="87"/>
      <c r="U1897" s="87"/>
      <c r="V1897" s="87">
        <v>35</v>
      </c>
      <c r="W1897" s="87"/>
      <c r="X1897" s="87"/>
      <c r="Y1897" s="87"/>
      <c r="Z1897" s="87"/>
      <c r="AA1897" s="87"/>
      <c r="AB1897" s="87"/>
      <c r="AC1897" s="87"/>
      <c r="AD1897" s="87"/>
      <c r="AE1897" s="87"/>
      <c r="AF1897" s="87"/>
      <c r="AG1897" s="87"/>
      <c r="AH1897" s="87">
        <v>35</v>
      </c>
      <c r="AI1897" s="87"/>
      <c r="AJ1897" s="87"/>
      <c r="AK1897" s="87"/>
      <c r="AL1897" s="87"/>
      <c r="AM1897" s="87"/>
      <c r="AN1897" s="87"/>
      <c r="AO1897" s="87">
        <v>19</v>
      </c>
      <c r="AP1897" s="87">
        <v>16</v>
      </c>
      <c r="AQ1897" s="87"/>
      <c r="AR1897" s="87"/>
      <c r="AS1897" s="87"/>
      <c r="AT1897" s="87"/>
      <c r="AU1897" s="87"/>
      <c r="AV1897" s="87"/>
      <c r="AW1897" s="88" t="str">
        <f>HYPERLINK("http://www.openstreetmap.org/?mlat=36.3098&amp;mlon=43.6743&amp;zoom=12#map=12/36.3098/43.6743","Maplink1")</f>
        <v>Maplink1</v>
      </c>
      <c r="AX1897" s="88" t="str">
        <f>HYPERLINK("https://www.google.iq/maps/search/+36.3098,43.6743/@36.3098,43.6743,14z?hl=en","Maplink2")</f>
        <v>Maplink2</v>
      </c>
      <c r="AY1897" s="88" t="str">
        <f>HYPERLINK("http://www.bing.com/maps/?lvl=14&amp;sty=h&amp;cp=36.3098~43.6743&amp;sp=point.36.3098_43.6743","Maplink3")</f>
        <v>Maplink3</v>
      </c>
      <c r="AZ1897" s="76"/>
    </row>
    <row r="1898" spans="1:52" x14ac:dyDescent="0.25">
      <c r="A1898" s="86">
        <v>17776</v>
      </c>
      <c r="B1898" s="87" t="s">
        <v>24</v>
      </c>
      <c r="C1898" s="87" t="s">
        <v>3641</v>
      </c>
      <c r="D1898" s="87" t="s">
        <v>3659</v>
      </c>
      <c r="E1898" s="87" t="s">
        <v>3660</v>
      </c>
      <c r="F1898" s="87">
        <v>36.727823778000001</v>
      </c>
      <c r="G1898" s="87">
        <v>44.016086286300002</v>
      </c>
      <c r="H1898" s="86">
        <v>26</v>
      </c>
      <c r="I1898" s="86">
        <v>156</v>
      </c>
      <c r="J1898" s="87"/>
      <c r="K1898" s="87"/>
      <c r="L1898" s="87"/>
      <c r="M1898" s="87"/>
      <c r="N1898" s="87"/>
      <c r="O1898" s="87"/>
      <c r="P1898" s="87"/>
      <c r="Q1898" s="87"/>
      <c r="R1898" s="87"/>
      <c r="S1898" s="87"/>
      <c r="T1898" s="87"/>
      <c r="U1898" s="87"/>
      <c r="V1898" s="87">
        <v>26</v>
      </c>
      <c r="W1898" s="87"/>
      <c r="X1898" s="87"/>
      <c r="Y1898" s="87"/>
      <c r="Z1898" s="87"/>
      <c r="AA1898" s="87"/>
      <c r="AB1898" s="87"/>
      <c r="AC1898" s="87"/>
      <c r="AD1898" s="87"/>
      <c r="AE1898" s="87"/>
      <c r="AF1898" s="87"/>
      <c r="AG1898" s="87"/>
      <c r="AH1898" s="87">
        <v>21</v>
      </c>
      <c r="AI1898" s="87"/>
      <c r="AJ1898" s="87">
        <v>2</v>
      </c>
      <c r="AK1898" s="87">
        <v>3</v>
      </c>
      <c r="AL1898" s="87"/>
      <c r="AM1898" s="87"/>
      <c r="AN1898" s="87"/>
      <c r="AO1898" s="87">
        <v>19</v>
      </c>
      <c r="AP1898" s="87">
        <v>7</v>
      </c>
      <c r="AQ1898" s="87"/>
      <c r="AR1898" s="87"/>
      <c r="AS1898" s="87"/>
      <c r="AT1898" s="87"/>
      <c r="AU1898" s="87"/>
      <c r="AV1898" s="87"/>
      <c r="AW1898" s="88" t="str">
        <f>HYPERLINK("http://www.openstreetmap.org/?mlat=36.7278&amp;mlon=44.0161&amp;zoom=12#map=12/36.7278/44.0161","Maplink1")</f>
        <v>Maplink1</v>
      </c>
      <c r="AX1898" s="88" t="str">
        <f>HYPERLINK("https://www.google.iq/maps/search/+36.7278,44.0161/@36.7278,44.0161,14z?hl=en","Maplink2")</f>
        <v>Maplink2</v>
      </c>
      <c r="AY1898" s="88" t="str">
        <f>HYPERLINK("http://www.bing.com/maps/?lvl=14&amp;sty=h&amp;cp=36.7278~44.0161&amp;sp=point.36.7278_44.0161","Maplink3")</f>
        <v>Maplink3</v>
      </c>
      <c r="AZ1898" s="76"/>
    </row>
    <row r="1899" spans="1:52" x14ac:dyDescent="0.25">
      <c r="A1899" s="86">
        <v>8776</v>
      </c>
      <c r="B1899" s="87" t="s">
        <v>24</v>
      </c>
      <c r="C1899" s="87" t="s">
        <v>3641</v>
      </c>
      <c r="D1899" s="87" t="s">
        <v>3661</v>
      </c>
      <c r="E1899" s="87" t="s">
        <v>3662</v>
      </c>
      <c r="F1899" s="87">
        <v>36.477801810400003</v>
      </c>
      <c r="G1899" s="87">
        <v>43.726019161099998</v>
      </c>
      <c r="H1899" s="86">
        <v>105</v>
      </c>
      <c r="I1899" s="86">
        <v>630</v>
      </c>
      <c r="J1899" s="87"/>
      <c r="K1899" s="87"/>
      <c r="L1899" s="87"/>
      <c r="M1899" s="87"/>
      <c r="N1899" s="87"/>
      <c r="O1899" s="87"/>
      <c r="P1899" s="87"/>
      <c r="Q1899" s="87"/>
      <c r="R1899" s="87"/>
      <c r="S1899" s="87"/>
      <c r="T1899" s="87"/>
      <c r="U1899" s="87"/>
      <c r="V1899" s="87">
        <v>105</v>
      </c>
      <c r="W1899" s="87"/>
      <c r="X1899" s="87"/>
      <c r="Y1899" s="87"/>
      <c r="Z1899" s="87"/>
      <c r="AA1899" s="87"/>
      <c r="AB1899" s="87"/>
      <c r="AC1899" s="87">
        <v>26</v>
      </c>
      <c r="AD1899" s="87"/>
      <c r="AE1899" s="87"/>
      <c r="AF1899" s="87"/>
      <c r="AG1899" s="87"/>
      <c r="AH1899" s="87">
        <v>3</v>
      </c>
      <c r="AI1899" s="87"/>
      <c r="AJ1899" s="87"/>
      <c r="AK1899" s="87">
        <v>61</v>
      </c>
      <c r="AL1899" s="87">
        <v>15</v>
      </c>
      <c r="AM1899" s="87"/>
      <c r="AN1899" s="87"/>
      <c r="AO1899" s="87">
        <v>74</v>
      </c>
      <c r="AP1899" s="87">
        <v>31</v>
      </c>
      <c r="AQ1899" s="87"/>
      <c r="AR1899" s="87"/>
      <c r="AS1899" s="87"/>
      <c r="AT1899" s="87"/>
      <c r="AU1899" s="87"/>
      <c r="AV1899" s="87"/>
      <c r="AW1899" s="88" t="str">
        <f>HYPERLINK("http://www.openstreetmap.org/?mlat=36.4778&amp;mlon=43.726&amp;zoom=12#map=12/36.4778/43.726","Maplink1")</f>
        <v>Maplink1</v>
      </c>
      <c r="AX1899" s="88" t="str">
        <f>HYPERLINK("https://www.google.iq/maps/search/+36.4778,43.726/@36.4778,43.726,14z?hl=en","Maplink2")</f>
        <v>Maplink2</v>
      </c>
      <c r="AY1899" s="88" t="str">
        <f>HYPERLINK("http://www.bing.com/maps/?lvl=14&amp;sty=h&amp;cp=36.4778~43.726&amp;sp=point.36.4778_43.726","Maplink3")</f>
        <v>Maplink3</v>
      </c>
      <c r="AZ1899" s="76"/>
    </row>
    <row r="1900" spans="1:52" x14ac:dyDescent="0.25">
      <c r="A1900" s="86">
        <v>16953</v>
      </c>
      <c r="B1900" s="87" t="s">
        <v>24</v>
      </c>
      <c r="C1900" s="87" t="s">
        <v>3641</v>
      </c>
      <c r="D1900" s="87" t="s">
        <v>3663</v>
      </c>
      <c r="E1900" s="87" t="s">
        <v>3664</v>
      </c>
      <c r="F1900" s="87">
        <v>36.792991671199999</v>
      </c>
      <c r="G1900" s="87">
        <v>43.979598254300001</v>
      </c>
      <c r="H1900" s="86">
        <v>61</v>
      </c>
      <c r="I1900" s="86">
        <v>366</v>
      </c>
      <c r="J1900" s="87"/>
      <c r="K1900" s="87"/>
      <c r="L1900" s="87"/>
      <c r="M1900" s="87"/>
      <c r="N1900" s="87"/>
      <c r="O1900" s="87"/>
      <c r="P1900" s="87"/>
      <c r="Q1900" s="87"/>
      <c r="R1900" s="87"/>
      <c r="S1900" s="87"/>
      <c r="T1900" s="87"/>
      <c r="U1900" s="87"/>
      <c r="V1900" s="87">
        <v>61</v>
      </c>
      <c r="W1900" s="87"/>
      <c r="X1900" s="87"/>
      <c r="Y1900" s="87"/>
      <c r="Z1900" s="87"/>
      <c r="AA1900" s="87"/>
      <c r="AB1900" s="87"/>
      <c r="AC1900" s="87">
        <v>5</v>
      </c>
      <c r="AD1900" s="87"/>
      <c r="AE1900" s="87"/>
      <c r="AF1900" s="87"/>
      <c r="AG1900" s="87"/>
      <c r="AH1900" s="87">
        <v>53</v>
      </c>
      <c r="AI1900" s="87"/>
      <c r="AJ1900" s="87"/>
      <c r="AK1900" s="87">
        <v>3</v>
      </c>
      <c r="AL1900" s="87"/>
      <c r="AM1900" s="87"/>
      <c r="AN1900" s="87"/>
      <c r="AO1900" s="87">
        <v>36</v>
      </c>
      <c r="AP1900" s="87">
        <v>25</v>
      </c>
      <c r="AQ1900" s="87"/>
      <c r="AR1900" s="87"/>
      <c r="AS1900" s="87"/>
      <c r="AT1900" s="87"/>
      <c r="AU1900" s="87"/>
      <c r="AV1900" s="87"/>
      <c r="AW1900" s="88" t="str">
        <f>HYPERLINK("http://www.openstreetmap.org/?mlat=36.793&amp;mlon=43.9796&amp;zoom=12#map=12/36.793/43.9796","Maplink1")</f>
        <v>Maplink1</v>
      </c>
      <c r="AX1900" s="88" t="str">
        <f>HYPERLINK("https://www.google.iq/maps/search/+36.793,43.9796/@36.793,43.9796,14z?hl=en","Maplink2")</f>
        <v>Maplink2</v>
      </c>
      <c r="AY1900" s="88" t="str">
        <f>HYPERLINK("http://www.bing.com/maps/?lvl=14&amp;sty=h&amp;cp=36.793~43.9796&amp;sp=point.36.793_43.9796","Maplink3")</f>
        <v>Maplink3</v>
      </c>
      <c r="AZ1900" s="76"/>
    </row>
    <row r="1901" spans="1:52" x14ac:dyDescent="0.25">
      <c r="A1901" s="86">
        <v>18223</v>
      </c>
      <c r="B1901" s="87" t="s">
        <v>24</v>
      </c>
      <c r="C1901" s="87" t="s">
        <v>3641</v>
      </c>
      <c r="D1901" s="87" t="s">
        <v>3665</v>
      </c>
      <c r="E1901" s="87" t="s">
        <v>3666</v>
      </c>
      <c r="F1901" s="87">
        <v>36.350679040000003</v>
      </c>
      <c r="G1901" s="87">
        <v>43.650436438100002</v>
      </c>
      <c r="H1901" s="86">
        <v>2</v>
      </c>
      <c r="I1901" s="86">
        <v>12</v>
      </c>
      <c r="J1901" s="87"/>
      <c r="K1901" s="87"/>
      <c r="L1901" s="87"/>
      <c r="M1901" s="87"/>
      <c r="N1901" s="87"/>
      <c r="O1901" s="87"/>
      <c r="P1901" s="87"/>
      <c r="Q1901" s="87"/>
      <c r="R1901" s="87"/>
      <c r="S1901" s="87"/>
      <c r="T1901" s="87"/>
      <c r="U1901" s="87"/>
      <c r="V1901" s="87">
        <v>2</v>
      </c>
      <c r="W1901" s="87"/>
      <c r="X1901" s="87"/>
      <c r="Y1901" s="87"/>
      <c r="Z1901" s="87"/>
      <c r="AA1901" s="87"/>
      <c r="AB1901" s="87"/>
      <c r="AC1901" s="87">
        <v>2</v>
      </c>
      <c r="AD1901" s="87"/>
      <c r="AE1901" s="87"/>
      <c r="AF1901" s="87"/>
      <c r="AG1901" s="87"/>
      <c r="AH1901" s="87"/>
      <c r="AI1901" s="87"/>
      <c r="AJ1901" s="87"/>
      <c r="AK1901" s="87"/>
      <c r="AL1901" s="87"/>
      <c r="AM1901" s="87"/>
      <c r="AN1901" s="87"/>
      <c r="AO1901" s="87">
        <v>2</v>
      </c>
      <c r="AP1901" s="87"/>
      <c r="AQ1901" s="87"/>
      <c r="AR1901" s="87"/>
      <c r="AS1901" s="87"/>
      <c r="AT1901" s="87"/>
      <c r="AU1901" s="87"/>
      <c r="AV1901" s="87"/>
      <c r="AW1901" s="88" t="str">
        <f>HYPERLINK("http://www.openstreetmap.org/?mlat=36.3507&amp;mlon=43.6504&amp;zoom=12#map=12/36.3507/43.6504","Maplink1")</f>
        <v>Maplink1</v>
      </c>
      <c r="AX1901" s="88" t="str">
        <f>HYPERLINK("https://www.google.iq/maps/search/+36.3507,43.6504/@36.3507,43.6504,14z?hl=en","Maplink2")</f>
        <v>Maplink2</v>
      </c>
      <c r="AY1901" s="88" t="str">
        <f>HYPERLINK("http://www.bing.com/maps/?lvl=14&amp;sty=h&amp;cp=36.3507~43.6504&amp;sp=point.36.3507_43.6504","Maplink3")</f>
        <v>Maplink3</v>
      </c>
      <c r="AZ1901" s="76"/>
    </row>
    <row r="1902" spans="1:52" x14ac:dyDescent="0.25">
      <c r="A1902" s="86">
        <v>29625</v>
      </c>
      <c r="B1902" s="87" t="s">
        <v>24</v>
      </c>
      <c r="C1902" s="87" t="s">
        <v>3641</v>
      </c>
      <c r="D1902" s="87" t="s">
        <v>3667</v>
      </c>
      <c r="E1902" s="87" t="s">
        <v>3668</v>
      </c>
      <c r="F1902" s="87">
        <v>36.292342562999998</v>
      </c>
      <c r="G1902" s="87">
        <v>43.648670502599998</v>
      </c>
      <c r="H1902" s="86">
        <v>15</v>
      </c>
      <c r="I1902" s="86">
        <v>90</v>
      </c>
      <c r="J1902" s="87"/>
      <c r="K1902" s="87"/>
      <c r="L1902" s="87"/>
      <c r="M1902" s="87"/>
      <c r="N1902" s="87"/>
      <c r="O1902" s="87"/>
      <c r="P1902" s="87"/>
      <c r="Q1902" s="87"/>
      <c r="R1902" s="87"/>
      <c r="S1902" s="87"/>
      <c r="T1902" s="87"/>
      <c r="U1902" s="87"/>
      <c r="V1902" s="87">
        <v>15</v>
      </c>
      <c r="W1902" s="87"/>
      <c r="X1902" s="87"/>
      <c r="Y1902" s="87"/>
      <c r="Z1902" s="87"/>
      <c r="AA1902" s="87"/>
      <c r="AB1902" s="87"/>
      <c r="AC1902" s="87">
        <v>12</v>
      </c>
      <c r="AD1902" s="87"/>
      <c r="AE1902" s="87"/>
      <c r="AF1902" s="87"/>
      <c r="AG1902" s="87"/>
      <c r="AH1902" s="87">
        <v>3</v>
      </c>
      <c r="AI1902" s="87"/>
      <c r="AJ1902" s="87"/>
      <c r="AK1902" s="87"/>
      <c r="AL1902" s="87"/>
      <c r="AM1902" s="87"/>
      <c r="AN1902" s="87"/>
      <c r="AO1902" s="87">
        <v>1</v>
      </c>
      <c r="AP1902" s="87">
        <v>14</v>
      </c>
      <c r="AQ1902" s="87"/>
      <c r="AR1902" s="87"/>
      <c r="AS1902" s="87"/>
      <c r="AT1902" s="87"/>
      <c r="AU1902" s="87"/>
      <c r="AV1902" s="87"/>
      <c r="AW1902" s="88" t="str">
        <f>HYPERLINK("http://www.openstreetmap.org/?mlat=36.2923&amp;mlon=43.6487&amp;zoom=12#map=12/36.2923/43.6487","Maplink1")</f>
        <v>Maplink1</v>
      </c>
      <c r="AX1902" s="88" t="str">
        <f>HYPERLINK("https://www.google.iq/maps/search/+36.2923,43.6487/@36.2923,43.6487,14z?hl=en","Maplink2")</f>
        <v>Maplink2</v>
      </c>
      <c r="AY1902" s="88" t="str">
        <f>HYPERLINK("http://www.bing.com/maps/?lvl=14&amp;sty=h&amp;cp=36.2923~43.6487&amp;sp=point.36.2923_43.6487","Maplink3")</f>
        <v>Maplink3</v>
      </c>
      <c r="AZ1902" s="76"/>
    </row>
    <row r="1903" spans="1:52" x14ac:dyDescent="0.25">
      <c r="A1903" s="86">
        <v>17802</v>
      </c>
      <c r="B1903" s="87" t="s">
        <v>24</v>
      </c>
      <c r="C1903" s="87" t="s">
        <v>3641</v>
      </c>
      <c r="D1903" s="87" t="s">
        <v>3669</v>
      </c>
      <c r="E1903" s="87" t="s">
        <v>3670</v>
      </c>
      <c r="F1903" s="87">
        <v>36.6545756067</v>
      </c>
      <c r="G1903" s="87">
        <v>43.807068316799999</v>
      </c>
      <c r="H1903" s="86">
        <v>292</v>
      </c>
      <c r="I1903" s="86">
        <v>1752</v>
      </c>
      <c r="J1903" s="87"/>
      <c r="K1903" s="87"/>
      <c r="L1903" s="87"/>
      <c r="M1903" s="87"/>
      <c r="N1903" s="87"/>
      <c r="O1903" s="87"/>
      <c r="P1903" s="87"/>
      <c r="Q1903" s="87"/>
      <c r="R1903" s="87"/>
      <c r="S1903" s="87"/>
      <c r="T1903" s="87"/>
      <c r="U1903" s="87"/>
      <c r="V1903" s="87">
        <v>292</v>
      </c>
      <c r="W1903" s="87"/>
      <c r="X1903" s="87"/>
      <c r="Y1903" s="87"/>
      <c r="Z1903" s="87"/>
      <c r="AA1903" s="87"/>
      <c r="AB1903" s="87"/>
      <c r="AC1903" s="87">
        <v>115</v>
      </c>
      <c r="AD1903" s="87"/>
      <c r="AE1903" s="87"/>
      <c r="AF1903" s="87"/>
      <c r="AG1903" s="87"/>
      <c r="AH1903" s="87">
        <v>149</v>
      </c>
      <c r="AI1903" s="87"/>
      <c r="AJ1903" s="87"/>
      <c r="AK1903" s="87"/>
      <c r="AL1903" s="87">
        <v>28</v>
      </c>
      <c r="AM1903" s="87"/>
      <c r="AN1903" s="87"/>
      <c r="AO1903" s="87">
        <v>198</v>
      </c>
      <c r="AP1903" s="87">
        <v>94</v>
      </c>
      <c r="AQ1903" s="87"/>
      <c r="AR1903" s="87"/>
      <c r="AS1903" s="87"/>
      <c r="AT1903" s="87"/>
      <c r="AU1903" s="87"/>
      <c r="AV1903" s="87"/>
      <c r="AW1903" s="88" t="str">
        <f>HYPERLINK("http://www.openstreetmap.org/?mlat=36.6546&amp;mlon=43.8071&amp;zoom=12#map=12/36.6546/43.8071","Maplink1")</f>
        <v>Maplink1</v>
      </c>
      <c r="AX1903" s="88" t="str">
        <f>HYPERLINK("https://www.google.iq/maps/search/+36.6546,43.8071/@36.6546,43.8071,14z?hl=en","Maplink2")</f>
        <v>Maplink2</v>
      </c>
      <c r="AY1903" s="88" t="str">
        <f>HYPERLINK("http://www.bing.com/maps/?lvl=14&amp;sty=h&amp;cp=36.6546~43.8071&amp;sp=point.36.6546_43.8071","Maplink3")</f>
        <v>Maplink3</v>
      </c>
      <c r="AZ1903" s="76"/>
    </row>
    <row r="1904" spans="1:52" x14ac:dyDescent="0.25">
      <c r="A1904" s="86">
        <v>29626</v>
      </c>
      <c r="B1904" s="87" t="s">
        <v>24</v>
      </c>
      <c r="C1904" s="87" t="s">
        <v>3641</v>
      </c>
      <c r="D1904" s="87" t="s">
        <v>3671</v>
      </c>
      <c r="E1904" s="87" t="s">
        <v>3672</v>
      </c>
      <c r="F1904" s="87">
        <v>36.641600932000003</v>
      </c>
      <c r="G1904" s="87">
        <v>43.580282186700003</v>
      </c>
      <c r="H1904" s="86">
        <v>8</v>
      </c>
      <c r="I1904" s="86">
        <v>48</v>
      </c>
      <c r="J1904" s="87"/>
      <c r="K1904" s="87"/>
      <c r="L1904" s="87"/>
      <c r="M1904" s="87"/>
      <c r="N1904" s="87"/>
      <c r="O1904" s="87"/>
      <c r="P1904" s="87"/>
      <c r="Q1904" s="87"/>
      <c r="R1904" s="87"/>
      <c r="S1904" s="87"/>
      <c r="T1904" s="87"/>
      <c r="U1904" s="87"/>
      <c r="V1904" s="87">
        <v>8</v>
      </c>
      <c r="W1904" s="87"/>
      <c r="X1904" s="87"/>
      <c r="Y1904" s="87"/>
      <c r="Z1904" s="87"/>
      <c r="AA1904" s="87"/>
      <c r="AB1904" s="87"/>
      <c r="AC1904" s="87"/>
      <c r="AD1904" s="87"/>
      <c r="AE1904" s="87"/>
      <c r="AF1904" s="87"/>
      <c r="AG1904" s="87"/>
      <c r="AH1904" s="87">
        <v>8</v>
      </c>
      <c r="AI1904" s="87"/>
      <c r="AJ1904" s="87"/>
      <c r="AK1904" s="87"/>
      <c r="AL1904" s="87"/>
      <c r="AM1904" s="87"/>
      <c r="AN1904" s="87"/>
      <c r="AO1904" s="87">
        <v>3</v>
      </c>
      <c r="AP1904" s="87">
        <v>5</v>
      </c>
      <c r="AQ1904" s="87"/>
      <c r="AR1904" s="87"/>
      <c r="AS1904" s="87"/>
      <c r="AT1904" s="87"/>
      <c r="AU1904" s="87"/>
      <c r="AV1904" s="87"/>
      <c r="AW1904" s="88" t="str">
        <f>HYPERLINK("http://www.openstreetmap.org/?mlat=36.6416&amp;mlon=43.5803&amp;zoom=12#map=12/36.6416/43.5803","Maplink1")</f>
        <v>Maplink1</v>
      </c>
      <c r="AX1904" s="88" t="str">
        <f>HYPERLINK("https://www.google.iq/maps/search/+36.6416,43.5803/@36.6416,43.5803,14z?hl=en","Maplink2")</f>
        <v>Maplink2</v>
      </c>
      <c r="AY1904" s="88" t="str">
        <f>HYPERLINK("http://www.bing.com/maps/?lvl=14&amp;sty=h&amp;cp=36.6416~43.5803&amp;sp=point.36.6416_43.5803","Maplink3")</f>
        <v>Maplink3</v>
      </c>
      <c r="AZ1904" s="76"/>
    </row>
    <row r="1905" spans="1:52" x14ac:dyDescent="0.25">
      <c r="A1905" s="86">
        <v>17096</v>
      </c>
      <c r="B1905" s="87" t="s">
        <v>24</v>
      </c>
      <c r="C1905" s="87" t="s">
        <v>3641</v>
      </c>
      <c r="D1905" s="87" t="s">
        <v>3673</v>
      </c>
      <c r="E1905" s="87" t="s">
        <v>3674</v>
      </c>
      <c r="F1905" s="87">
        <v>36.5612918777</v>
      </c>
      <c r="G1905" s="87">
        <v>43.5686426838</v>
      </c>
      <c r="H1905" s="86">
        <v>11</v>
      </c>
      <c r="I1905" s="86">
        <v>66</v>
      </c>
      <c r="J1905" s="87"/>
      <c r="K1905" s="87"/>
      <c r="L1905" s="87"/>
      <c r="M1905" s="87"/>
      <c r="N1905" s="87"/>
      <c r="O1905" s="87"/>
      <c r="P1905" s="87"/>
      <c r="Q1905" s="87"/>
      <c r="R1905" s="87"/>
      <c r="S1905" s="87"/>
      <c r="T1905" s="87"/>
      <c r="U1905" s="87"/>
      <c r="V1905" s="87">
        <v>11</v>
      </c>
      <c r="W1905" s="87"/>
      <c r="X1905" s="87"/>
      <c r="Y1905" s="87"/>
      <c r="Z1905" s="87"/>
      <c r="AA1905" s="87"/>
      <c r="AB1905" s="87"/>
      <c r="AC1905" s="87">
        <v>6</v>
      </c>
      <c r="AD1905" s="87"/>
      <c r="AE1905" s="87"/>
      <c r="AF1905" s="87"/>
      <c r="AG1905" s="87"/>
      <c r="AH1905" s="87">
        <v>5</v>
      </c>
      <c r="AI1905" s="87"/>
      <c r="AJ1905" s="87"/>
      <c r="AK1905" s="87"/>
      <c r="AL1905" s="87"/>
      <c r="AM1905" s="87"/>
      <c r="AN1905" s="87"/>
      <c r="AO1905" s="87">
        <v>1</v>
      </c>
      <c r="AP1905" s="87">
        <v>10</v>
      </c>
      <c r="AQ1905" s="87"/>
      <c r="AR1905" s="87"/>
      <c r="AS1905" s="87"/>
      <c r="AT1905" s="87"/>
      <c r="AU1905" s="87"/>
      <c r="AV1905" s="87"/>
      <c r="AW1905" s="88" t="str">
        <f>HYPERLINK("http://www.openstreetmap.org/?mlat=36.5613&amp;mlon=43.5686&amp;zoom=12#map=12/36.5613/43.5686","Maplink1")</f>
        <v>Maplink1</v>
      </c>
      <c r="AX1905" s="88" t="str">
        <f>HYPERLINK("https://www.google.iq/maps/search/+36.5613,43.5686/@36.5613,43.5686,14z?hl=en","Maplink2")</f>
        <v>Maplink2</v>
      </c>
      <c r="AY1905" s="88" t="str">
        <f>HYPERLINK("http://www.bing.com/maps/?lvl=14&amp;sty=h&amp;cp=36.5613~43.5686&amp;sp=point.36.5613_43.5686","Maplink3")</f>
        <v>Maplink3</v>
      </c>
      <c r="AZ1905" s="76"/>
    </row>
    <row r="1906" spans="1:52" x14ac:dyDescent="0.25">
      <c r="A1906" s="86">
        <v>24581</v>
      </c>
      <c r="B1906" s="87" t="s">
        <v>24</v>
      </c>
      <c r="C1906" s="87" t="s">
        <v>3641</v>
      </c>
      <c r="D1906" s="87" t="s">
        <v>3675</v>
      </c>
      <c r="E1906" s="87" t="s">
        <v>3676</v>
      </c>
      <c r="F1906" s="87">
        <v>36.271223212499997</v>
      </c>
      <c r="G1906" s="87">
        <v>43.636703322300001</v>
      </c>
      <c r="H1906" s="86">
        <v>653</v>
      </c>
      <c r="I1906" s="86">
        <v>3918</v>
      </c>
      <c r="J1906" s="87"/>
      <c r="K1906" s="87"/>
      <c r="L1906" s="87"/>
      <c r="M1906" s="87"/>
      <c r="N1906" s="87"/>
      <c r="O1906" s="87"/>
      <c r="P1906" s="87"/>
      <c r="Q1906" s="87"/>
      <c r="R1906" s="87"/>
      <c r="S1906" s="87"/>
      <c r="T1906" s="87"/>
      <c r="U1906" s="87"/>
      <c r="V1906" s="87">
        <v>653</v>
      </c>
      <c r="W1906" s="87"/>
      <c r="X1906" s="87"/>
      <c r="Y1906" s="87"/>
      <c r="Z1906" s="87"/>
      <c r="AA1906" s="87"/>
      <c r="AB1906" s="87"/>
      <c r="AC1906" s="87">
        <v>69</v>
      </c>
      <c r="AD1906" s="87"/>
      <c r="AE1906" s="87"/>
      <c r="AF1906" s="87"/>
      <c r="AG1906" s="87"/>
      <c r="AH1906" s="87">
        <v>582</v>
      </c>
      <c r="AI1906" s="87"/>
      <c r="AJ1906" s="87"/>
      <c r="AK1906" s="87">
        <v>2</v>
      </c>
      <c r="AL1906" s="87"/>
      <c r="AM1906" s="87"/>
      <c r="AN1906" s="87"/>
      <c r="AO1906" s="87">
        <v>299</v>
      </c>
      <c r="AP1906" s="87">
        <v>352</v>
      </c>
      <c r="AQ1906" s="87"/>
      <c r="AR1906" s="87"/>
      <c r="AS1906" s="87"/>
      <c r="AT1906" s="87"/>
      <c r="AU1906" s="87">
        <v>2</v>
      </c>
      <c r="AV1906" s="87"/>
      <c r="AW1906" s="88" t="str">
        <f>HYPERLINK("http://www.openstreetmap.org/?mlat=36.2712&amp;mlon=43.6367&amp;zoom=12#map=12/36.2712/43.6367","Maplink1")</f>
        <v>Maplink1</v>
      </c>
      <c r="AX1906" s="88" t="str">
        <f>HYPERLINK("https://www.google.iq/maps/search/+36.2712,43.6367/@36.2712,43.6367,14z?hl=en","Maplink2")</f>
        <v>Maplink2</v>
      </c>
      <c r="AY1906" s="88" t="str">
        <f>HYPERLINK("http://www.bing.com/maps/?lvl=14&amp;sty=h&amp;cp=36.2712~43.6367&amp;sp=point.36.2712_43.6367","Maplink3")</f>
        <v>Maplink3</v>
      </c>
      <c r="AZ1906" s="76"/>
    </row>
    <row r="1907" spans="1:52" x14ac:dyDescent="0.25">
      <c r="A1907" s="86">
        <v>17142</v>
      </c>
      <c r="B1907" s="87" t="s">
        <v>24</v>
      </c>
      <c r="C1907" s="87" t="s">
        <v>3641</v>
      </c>
      <c r="D1907" s="87" t="s">
        <v>3677</v>
      </c>
      <c r="E1907" s="87" t="s">
        <v>3678</v>
      </c>
      <c r="F1907" s="87">
        <v>36.4939261958</v>
      </c>
      <c r="G1907" s="87">
        <v>43.528841372700001</v>
      </c>
      <c r="H1907" s="86">
        <v>12</v>
      </c>
      <c r="I1907" s="86">
        <v>72</v>
      </c>
      <c r="J1907" s="87"/>
      <c r="K1907" s="87"/>
      <c r="L1907" s="87"/>
      <c r="M1907" s="87"/>
      <c r="N1907" s="87"/>
      <c r="O1907" s="87"/>
      <c r="P1907" s="87"/>
      <c r="Q1907" s="87"/>
      <c r="R1907" s="87"/>
      <c r="S1907" s="87"/>
      <c r="T1907" s="87"/>
      <c r="U1907" s="87"/>
      <c r="V1907" s="87">
        <v>12</v>
      </c>
      <c r="W1907" s="87"/>
      <c r="X1907" s="87"/>
      <c r="Y1907" s="87"/>
      <c r="Z1907" s="87"/>
      <c r="AA1907" s="87"/>
      <c r="AB1907" s="87"/>
      <c r="AC1907" s="87">
        <v>5</v>
      </c>
      <c r="AD1907" s="87"/>
      <c r="AE1907" s="87"/>
      <c r="AF1907" s="87"/>
      <c r="AG1907" s="87"/>
      <c r="AH1907" s="87">
        <v>7</v>
      </c>
      <c r="AI1907" s="87"/>
      <c r="AJ1907" s="87"/>
      <c r="AK1907" s="87"/>
      <c r="AL1907" s="87"/>
      <c r="AM1907" s="87"/>
      <c r="AN1907" s="87"/>
      <c r="AO1907" s="87">
        <v>6</v>
      </c>
      <c r="AP1907" s="87">
        <v>6</v>
      </c>
      <c r="AQ1907" s="87"/>
      <c r="AR1907" s="87"/>
      <c r="AS1907" s="87"/>
      <c r="AT1907" s="87"/>
      <c r="AU1907" s="87"/>
      <c r="AV1907" s="87"/>
      <c r="AW1907" s="88" t="str">
        <f>HYPERLINK("http://www.openstreetmap.org/?mlat=36.4939&amp;mlon=43.5288&amp;zoom=12#map=12/36.4939/43.5288","Maplink1")</f>
        <v>Maplink1</v>
      </c>
      <c r="AX1907" s="88" t="str">
        <f>HYPERLINK("https://www.google.iq/maps/search/+36.4939,43.5288/@36.4939,43.5288,14z?hl=en","Maplink2")</f>
        <v>Maplink2</v>
      </c>
      <c r="AY1907" s="88" t="str">
        <f>HYPERLINK("http://www.bing.com/maps/?lvl=14&amp;sty=h&amp;cp=36.4939~43.5288&amp;sp=point.36.4939_43.5288","Maplink3")</f>
        <v>Maplink3</v>
      </c>
      <c r="AZ1907" s="76"/>
    </row>
    <row r="1908" spans="1:52" x14ac:dyDescent="0.25">
      <c r="A1908" s="86">
        <v>17012</v>
      </c>
      <c r="B1908" s="87" t="s">
        <v>24</v>
      </c>
      <c r="C1908" s="87" t="s">
        <v>3641</v>
      </c>
      <c r="D1908" s="87" t="s">
        <v>3679</v>
      </c>
      <c r="E1908" s="87" t="s">
        <v>3680</v>
      </c>
      <c r="F1908" s="87">
        <v>36.693362030800003</v>
      </c>
      <c r="G1908" s="87">
        <v>43.612750575600003</v>
      </c>
      <c r="H1908" s="86">
        <v>50</v>
      </c>
      <c r="I1908" s="86">
        <v>300</v>
      </c>
      <c r="J1908" s="87"/>
      <c r="K1908" s="87"/>
      <c r="L1908" s="87"/>
      <c r="M1908" s="87"/>
      <c r="N1908" s="87"/>
      <c r="O1908" s="87"/>
      <c r="P1908" s="87"/>
      <c r="Q1908" s="87"/>
      <c r="R1908" s="87"/>
      <c r="S1908" s="87"/>
      <c r="T1908" s="87"/>
      <c r="U1908" s="87"/>
      <c r="V1908" s="87">
        <v>50</v>
      </c>
      <c r="W1908" s="87"/>
      <c r="X1908" s="87"/>
      <c r="Y1908" s="87"/>
      <c r="Z1908" s="87"/>
      <c r="AA1908" s="87"/>
      <c r="AB1908" s="87"/>
      <c r="AC1908" s="87">
        <v>50</v>
      </c>
      <c r="AD1908" s="87"/>
      <c r="AE1908" s="87"/>
      <c r="AF1908" s="87"/>
      <c r="AG1908" s="87"/>
      <c r="AH1908" s="87"/>
      <c r="AI1908" s="87"/>
      <c r="AJ1908" s="87"/>
      <c r="AK1908" s="87"/>
      <c r="AL1908" s="87"/>
      <c r="AM1908" s="87"/>
      <c r="AN1908" s="87"/>
      <c r="AO1908" s="87"/>
      <c r="AP1908" s="87">
        <v>20</v>
      </c>
      <c r="AQ1908" s="87"/>
      <c r="AR1908" s="87"/>
      <c r="AS1908" s="87"/>
      <c r="AT1908" s="87"/>
      <c r="AU1908" s="87">
        <v>30</v>
      </c>
      <c r="AV1908" s="87"/>
      <c r="AW1908" s="88" t="str">
        <f>HYPERLINK("http://www.openstreetmap.org/?mlat=36.6934&amp;mlon=43.6128&amp;zoom=12#map=12/36.6934/43.6128","Maplink1")</f>
        <v>Maplink1</v>
      </c>
      <c r="AX1908" s="88" t="str">
        <f>HYPERLINK("https://www.google.iq/maps/search/+36.6934,43.6128/@36.6934,43.6128,14z?hl=en","Maplink2")</f>
        <v>Maplink2</v>
      </c>
      <c r="AY1908" s="88" t="str">
        <f>HYPERLINK("http://www.bing.com/maps/?lvl=14&amp;sty=h&amp;cp=36.6934~43.6128&amp;sp=point.36.6934_43.6128","Maplink3")</f>
        <v>Maplink3</v>
      </c>
      <c r="AZ1908" s="76"/>
    </row>
    <row r="1909" spans="1:52" x14ac:dyDescent="0.25">
      <c r="A1909" s="86">
        <v>17293</v>
      </c>
      <c r="B1909" s="87" t="s">
        <v>24</v>
      </c>
      <c r="C1909" s="87" t="s">
        <v>3641</v>
      </c>
      <c r="D1909" s="87" t="s">
        <v>3681</v>
      </c>
      <c r="E1909" s="87" t="s">
        <v>3682</v>
      </c>
      <c r="F1909" s="87">
        <v>36.544920910499997</v>
      </c>
      <c r="G1909" s="87">
        <v>43.619582555999997</v>
      </c>
      <c r="H1909" s="86">
        <v>3</v>
      </c>
      <c r="I1909" s="86">
        <v>18</v>
      </c>
      <c r="J1909" s="87"/>
      <c r="K1909" s="87"/>
      <c r="L1909" s="87"/>
      <c r="M1909" s="87"/>
      <c r="N1909" s="87"/>
      <c r="O1909" s="87"/>
      <c r="P1909" s="87"/>
      <c r="Q1909" s="87"/>
      <c r="R1909" s="87"/>
      <c r="S1909" s="87"/>
      <c r="T1909" s="87"/>
      <c r="U1909" s="87"/>
      <c r="V1909" s="87">
        <v>3</v>
      </c>
      <c r="W1909" s="87"/>
      <c r="X1909" s="87"/>
      <c r="Y1909" s="87"/>
      <c r="Z1909" s="87"/>
      <c r="AA1909" s="87"/>
      <c r="AB1909" s="87"/>
      <c r="AC1909" s="87">
        <v>3</v>
      </c>
      <c r="AD1909" s="87"/>
      <c r="AE1909" s="87"/>
      <c r="AF1909" s="87"/>
      <c r="AG1909" s="87"/>
      <c r="AH1909" s="87"/>
      <c r="AI1909" s="87"/>
      <c r="AJ1909" s="87"/>
      <c r="AK1909" s="87"/>
      <c r="AL1909" s="87"/>
      <c r="AM1909" s="87"/>
      <c r="AN1909" s="87"/>
      <c r="AO1909" s="87">
        <v>1</v>
      </c>
      <c r="AP1909" s="87">
        <v>2</v>
      </c>
      <c r="AQ1909" s="87"/>
      <c r="AR1909" s="87"/>
      <c r="AS1909" s="87"/>
      <c r="AT1909" s="87"/>
      <c r="AU1909" s="87"/>
      <c r="AV1909" s="87"/>
      <c r="AW1909" s="88" t="str">
        <f>HYPERLINK("http://www.openstreetmap.org/?mlat=36.5449&amp;mlon=43.6196&amp;zoom=12#map=12/36.5449/43.6196","Maplink1")</f>
        <v>Maplink1</v>
      </c>
      <c r="AX1909" s="88" t="str">
        <f>HYPERLINK("https://www.google.iq/maps/search/+36.5449,43.6196/@36.5449,43.6196,14z?hl=en","Maplink2")</f>
        <v>Maplink2</v>
      </c>
      <c r="AY1909" s="88" t="str">
        <f>HYPERLINK("http://www.bing.com/maps/?lvl=14&amp;sty=h&amp;cp=36.5449~43.6196&amp;sp=point.36.5449_43.6196","Maplink3")</f>
        <v>Maplink3</v>
      </c>
      <c r="AZ1909" s="76"/>
    </row>
    <row r="1910" spans="1:52" x14ac:dyDescent="0.25">
      <c r="A1910" s="86">
        <v>17272</v>
      </c>
      <c r="B1910" s="87" t="s">
        <v>24</v>
      </c>
      <c r="C1910" s="87" t="s">
        <v>3641</v>
      </c>
      <c r="D1910" s="87" t="s">
        <v>3683</v>
      </c>
      <c r="E1910" s="87" t="s">
        <v>3684</v>
      </c>
      <c r="F1910" s="87">
        <v>36.689336764799997</v>
      </c>
      <c r="G1910" s="87">
        <v>43.7995407716</v>
      </c>
      <c r="H1910" s="86">
        <v>197</v>
      </c>
      <c r="I1910" s="86">
        <v>1182</v>
      </c>
      <c r="J1910" s="87"/>
      <c r="K1910" s="87"/>
      <c r="L1910" s="87"/>
      <c r="M1910" s="87"/>
      <c r="N1910" s="87"/>
      <c r="O1910" s="87"/>
      <c r="P1910" s="87"/>
      <c r="Q1910" s="87"/>
      <c r="R1910" s="87"/>
      <c r="S1910" s="87"/>
      <c r="T1910" s="87"/>
      <c r="U1910" s="87"/>
      <c r="V1910" s="87">
        <v>197</v>
      </c>
      <c r="W1910" s="87"/>
      <c r="X1910" s="87"/>
      <c r="Y1910" s="87"/>
      <c r="Z1910" s="87"/>
      <c r="AA1910" s="87"/>
      <c r="AB1910" s="87">
        <v>197</v>
      </c>
      <c r="AC1910" s="87"/>
      <c r="AD1910" s="87"/>
      <c r="AE1910" s="87"/>
      <c r="AF1910" s="87"/>
      <c r="AG1910" s="87"/>
      <c r="AH1910" s="87"/>
      <c r="AI1910" s="87"/>
      <c r="AJ1910" s="87"/>
      <c r="AK1910" s="87"/>
      <c r="AL1910" s="87"/>
      <c r="AM1910" s="87"/>
      <c r="AN1910" s="87"/>
      <c r="AO1910" s="87"/>
      <c r="AP1910" s="87">
        <v>197</v>
      </c>
      <c r="AQ1910" s="87"/>
      <c r="AR1910" s="87"/>
      <c r="AS1910" s="87"/>
      <c r="AT1910" s="87"/>
      <c r="AU1910" s="87"/>
      <c r="AV1910" s="87"/>
      <c r="AW1910" s="88" t="str">
        <f>HYPERLINK("http://www.openstreetmap.org/?mlat=36.6893&amp;mlon=43.7995&amp;zoom=12#map=12/36.6893/43.7995","Maplink1")</f>
        <v>Maplink1</v>
      </c>
      <c r="AX1910" s="88" t="str">
        <f>HYPERLINK("https://www.google.iq/maps/search/+36.6893,43.7995/@36.6893,43.7995,14z?hl=en","Maplink2")</f>
        <v>Maplink2</v>
      </c>
      <c r="AY1910" s="88" t="str">
        <f>HYPERLINK("http://www.bing.com/maps/?lvl=14&amp;sty=h&amp;cp=36.6893~43.7995&amp;sp=point.36.6893_43.7995","Maplink3")</f>
        <v>Maplink3</v>
      </c>
      <c r="AZ1910" s="76"/>
    </row>
    <row r="1911" spans="1:52" x14ac:dyDescent="0.25">
      <c r="A1911" s="86">
        <v>24580</v>
      </c>
      <c r="B1911" s="87" t="s">
        <v>24</v>
      </c>
      <c r="C1911" s="87" t="s">
        <v>3641</v>
      </c>
      <c r="D1911" s="87" t="s">
        <v>3685</v>
      </c>
      <c r="E1911" s="87" t="s">
        <v>3686</v>
      </c>
      <c r="F1911" s="87">
        <v>36.618042221899998</v>
      </c>
      <c r="G1911" s="87">
        <v>43.701202648900001</v>
      </c>
      <c r="H1911" s="86">
        <v>722</v>
      </c>
      <c r="I1911" s="86">
        <v>4332</v>
      </c>
      <c r="J1911" s="87"/>
      <c r="K1911" s="87"/>
      <c r="L1911" s="87"/>
      <c r="M1911" s="87"/>
      <c r="N1911" s="87"/>
      <c r="O1911" s="87"/>
      <c r="P1911" s="87"/>
      <c r="Q1911" s="87"/>
      <c r="R1911" s="87"/>
      <c r="S1911" s="87"/>
      <c r="T1911" s="87"/>
      <c r="U1911" s="87"/>
      <c r="V1911" s="87">
        <v>722</v>
      </c>
      <c r="W1911" s="87"/>
      <c r="X1911" s="87"/>
      <c r="Y1911" s="87"/>
      <c r="Z1911" s="87"/>
      <c r="AA1911" s="87"/>
      <c r="AB1911" s="87"/>
      <c r="AC1911" s="87">
        <v>344</v>
      </c>
      <c r="AD1911" s="87"/>
      <c r="AE1911" s="87"/>
      <c r="AF1911" s="87"/>
      <c r="AG1911" s="87"/>
      <c r="AH1911" s="87">
        <v>378</v>
      </c>
      <c r="AI1911" s="87"/>
      <c r="AJ1911" s="87"/>
      <c r="AK1911" s="87"/>
      <c r="AL1911" s="87"/>
      <c r="AM1911" s="87"/>
      <c r="AN1911" s="87"/>
      <c r="AO1911" s="87">
        <v>200</v>
      </c>
      <c r="AP1911" s="87">
        <v>502</v>
      </c>
      <c r="AQ1911" s="87"/>
      <c r="AR1911" s="87"/>
      <c r="AS1911" s="87"/>
      <c r="AT1911" s="87"/>
      <c r="AU1911" s="87">
        <v>20</v>
      </c>
      <c r="AV1911" s="87"/>
      <c r="AW1911" s="88" t="str">
        <f>HYPERLINK("http://www.openstreetmap.org/?mlat=36.618&amp;mlon=43.7012&amp;zoom=12#map=12/36.618/43.7012","Maplink1")</f>
        <v>Maplink1</v>
      </c>
      <c r="AX1911" s="88" t="str">
        <f>HYPERLINK("https://www.google.iq/maps/search/+36.618,43.7012/@36.618,43.7012,14z?hl=en","Maplink2")</f>
        <v>Maplink2</v>
      </c>
      <c r="AY1911" s="88" t="str">
        <f>HYPERLINK("http://www.bing.com/maps/?lvl=14&amp;sty=h&amp;cp=36.618~43.7012&amp;sp=point.36.618_43.7012","Maplink3")</f>
        <v>Maplink3</v>
      </c>
      <c r="AZ1911" s="76"/>
    </row>
    <row r="1912" spans="1:52" x14ac:dyDescent="0.25">
      <c r="A1912" s="86">
        <v>29627</v>
      </c>
      <c r="B1912" s="87" t="s">
        <v>24</v>
      </c>
      <c r="C1912" s="87" t="s">
        <v>3641</v>
      </c>
      <c r="D1912" s="87" t="s">
        <v>3687</v>
      </c>
      <c r="E1912" s="87" t="s">
        <v>3688</v>
      </c>
      <c r="F1912" s="87">
        <v>36.652903570900001</v>
      </c>
      <c r="G1912" s="87">
        <v>43.726130002700003</v>
      </c>
      <c r="H1912" s="86">
        <v>16</v>
      </c>
      <c r="I1912" s="86">
        <v>96</v>
      </c>
      <c r="J1912" s="87"/>
      <c r="K1912" s="87"/>
      <c r="L1912" s="87"/>
      <c r="M1912" s="87"/>
      <c r="N1912" s="87"/>
      <c r="O1912" s="87"/>
      <c r="P1912" s="87"/>
      <c r="Q1912" s="87"/>
      <c r="R1912" s="87"/>
      <c r="S1912" s="87"/>
      <c r="T1912" s="87"/>
      <c r="U1912" s="87"/>
      <c r="V1912" s="87">
        <v>16</v>
      </c>
      <c r="W1912" s="87"/>
      <c r="X1912" s="87"/>
      <c r="Y1912" s="87"/>
      <c r="Z1912" s="87"/>
      <c r="AA1912" s="87"/>
      <c r="AB1912" s="87"/>
      <c r="AC1912" s="87"/>
      <c r="AD1912" s="87"/>
      <c r="AE1912" s="87"/>
      <c r="AF1912" s="87"/>
      <c r="AG1912" s="87"/>
      <c r="AH1912" s="87">
        <v>16</v>
      </c>
      <c r="AI1912" s="87"/>
      <c r="AJ1912" s="87"/>
      <c r="AK1912" s="87"/>
      <c r="AL1912" s="87"/>
      <c r="AM1912" s="87"/>
      <c r="AN1912" s="87"/>
      <c r="AO1912" s="87">
        <v>1</v>
      </c>
      <c r="AP1912" s="87">
        <v>15</v>
      </c>
      <c r="AQ1912" s="87"/>
      <c r="AR1912" s="87"/>
      <c r="AS1912" s="87"/>
      <c r="AT1912" s="87"/>
      <c r="AU1912" s="87"/>
      <c r="AV1912" s="87"/>
      <c r="AW1912" s="88" t="str">
        <f>HYPERLINK("http://www.openstreetmap.org/?mlat=36.6529&amp;mlon=43.7261&amp;zoom=12#map=12/36.6529/43.7261","Maplink1")</f>
        <v>Maplink1</v>
      </c>
      <c r="AX1912" s="88" t="str">
        <f>HYPERLINK("https://www.google.iq/maps/search/+36.6529,43.7261/@36.6529,43.7261,14z?hl=en","Maplink2")</f>
        <v>Maplink2</v>
      </c>
      <c r="AY1912" s="88" t="str">
        <f>HYPERLINK("http://www.bing.com/maps/?lvl=14&amp;sty=h&amp;cp=36.6529~43.7261&amp;sp=point.36.6529_43.7261","Maplink3")</f>
        <v>Maplink3</v>
      </c>
      <c r="AZ1912" s="76"/>
    </row>
    <row r="1913" spans="1:52" x14ac:dyDescent="0.25">
      <c r="A1913" s="86">
        <v>33475</v>
      </c>
      <c r="B1913" s="87" t="s">
        <v>24</v>
      </c>
      <c r="C1913" s="87" t="s">
        <v>3641</v>
      </c>
      <c r="D1913" s="87" t="s">
        <v>3689</v>
      </c>
      <c r="E1913" s="87" t="s">
        <v>3690</v>
      </c>
      <c r="F1913" s="87">
        <v>36.233543026699998</v>
      </c>
      <c r="G1913" s="87">
        <v>43.607992836199998</v>
      </c>
      <c r="H1913" s="86">
        <v>48</v>
      </c>
      <c r="I1913" s="86">
        <v>288</v>
      </c>
      <c r="J1913" s="87"/>
      <c r="K1913" s="87"/>
      <c r="L1913" s="87"/>
      <c r="M1913" s="87"/>
      <c r="N1913" s="87"/>
      <c r="O1913" s="87"/>
      <c r="P1913" s="87"/>
      <c r="Q1913" s="87"/>
      <c r="R1913" s="87">
        <v>1</v>
      </c>
      <c r="S1913" s="87"/>
      <c r="T1913" s="87"/>
      <c r="U1913" s="87"/>
      <c r="V1913" s="87">
        <v>47</v>
      </c>
      <c r="W1913" s="87"/>
      <c r="X1913" s="87"/>
      <c r="Y1913" s="87"/>
      <c r="Z1913" s="87"/>
      <c r="AA1913" s="87"/>
      <c r="AB1913" s="87"/>
      <c r="AC1913" s="87">
        <v>41</v>
      </c>
      <c r="AD1913" s="87"/>
      <c r="AE1913" s="87"/>
      <c r="AF1913" s="87"/>
      <c r="AG1913" s="87"/>
      <c r="AH1913" s="87">
        <v>5</v>
      </c>
      <c r="AI1913" s="87"/>
      <c r="AJ1913" s="87"/>
      <c r="AK1913" s="87">
        <v>2</v>
      </c>
      <c r="AL1913" s="87"/>
      <c r="AM1913" s="87"/>
      <c r="AN1913" s="87"/>
      <c r="AO1913" s="87"/>
      <c r="AP1913" s="87">
        <v>47</v>
      </c>
      <c r="AQ1913" s="87"/>
      <c r="AR1913" s="87"/>
      <c r="AS1913" s="87"/>
      <c r="AT1913" s="87"/>
      <c r="AU1913" s="87">
        <v>1</v>
      </c>
      <c r="AV1913" s="87"/>
      <c r="AW1913" s="88" t="str">
        <f>HYPERLINK("http://www.openstreetmap.org/?mlat=36.2335&amp;mlon=43.608&amp;zoom=12#map=12/36.2335/43.608","Maplink1")</f>
        <v>Maplink1</v>
      </c>
      <c r="AX1913" s="88" t="str">
        <f>HYPERLINK("https://www.google.iq/maps/search/+36.2335,43.608/@36.2335,43.608,14z?hl=en","Maplink2")</f>
        <v>Maplink2</v>
      </c>
      <c r="AY1913" s="88" t="str">
        <f>HYPERLINK("http://www.bing.com/maps/?lvl=14&amp;sty=h&amp;cp=36.2335~43.608&amp;sp=point.36.2335_43.608","Maplink3")</f>
        <v>Maplink3</v>
      </c>
      <c r="AZ1913" s="76"/>
    </row>
    <row r="1914" spans="1:52" x14ac:dyDescent="0.25">
      <c r="A1914" s="86">
        <v>8780</v>
      </c>
      <c r="B1914" s="87" t="s">
        <v>24</v>
      </c>
      <c r="C1914" s="87" t="s">
        <v>3641</v>
      </c>
      <c r="D1914" s="87" t="s">
        <v>3691</v>
      </c>
      <c r="E1914" s="87" t="s">
        <v>3692</v>
      </c>
      <c r="F1914" s="87">
        <v>36.488301090900002</v>
      </c>
      <c r="G1914" s="87">
        <v>43.661973881599998</v>
      </c>
      <c r="H1914" s="86">
        <v>21</v>
      </c>
      <c r="I1914" s="86">
        <v>126</v>
      </c>
      <c r="J1914" s="87"/>
      <c r="K1914" s="87"/>
      <c r="L1914" s="87"/>
      <c r="M1914" s="87"/>
      <c r="N1914" s="87"/>
      <c r="O1914" s="87"/>
      <c r="P1914" s="87"/>
      <c r="Q1914" s="87"/>
      <c r="R1914" s="87"/>
      <c r="S1914" s="87"/>
      <c r="T1914" s="87"/>
      <c r="U1914" s="87"/>
      <c r="V1914" s="87">
        <v>21</v>
      </c>
      <c r="W1914" s="87"/>
      <c r="X1914" s="87"/>
      <c r="Y1914" s="87"/>
      <c r="Z1914" s="87"/>
      <c r="AA1914" s="87"/>
      <c r="AB1914" s="87"/>
      <c r="AC1914" s="87">
        <v>11</v>
      </c>
      <c r="AD1914" s="87"/>
      <c r="AE1914" s="87"/>
      <c r="AF1914" s="87"/>
      <c r="AG1914" s="87"/>
      <c r="AH1914" s="87"/>
      <c r="AI1914" s="87"/>
      <c r="AJ1914" s="87"/>
      <c r="AK1914" s="87">
        <v>10</v>
      </c>
      <c r="AL1914" s="87"/>
      <c r="AM1914" s="87"/>
      <c r="AN1914" s="87"/>
      <c r="AO1914" s="87">
        <v>21</v>
      </c>
      <c r="AP1914" s="87"/>
      <c r="AQ1914" s="87"/>
      <c r="AR1914" s="87"/>
      <c r="AS1914" s="87"/>
      <c r="AT1914" s="87"/>
      <c r="AU1914" s="87"/>
      <c r="AV1914" s="87"/>
      <c r="AW1914" s="88" t="str">
        <f>HYPERLINK("http://www.openstreetmap.org/?mlat=36.4883&amp;mlon=43.662&amp;zoom=12#map=12/36.4883/43.662","Maplink1")</f>
        <v>Maplink1</v>
      </c>
      <c r="AX1914" s="88" t="str">
        <f>HYPERLINK("https://www.google.iq/maps/search/+36.4883,43.662/@36.4883,43.662,14z?hl=en","Maplink2")</f>
        <v>Maplink2</v>
      </c>
      <c r="AY1914" s="88" t="str">
        <f>HYPERLINK("http://www.bing.com/maps/?lvl=14&amp;sty=h&amp;cp=36.4883~43.662&amp;sp=point.36.4883_43.662","Maplink3")</f>
        <v>Maplink3</v>
      </c>
      <c r="AZ1914" s="76"/>
    </row>
    <row r="1915" spans="1:52" x14ac:dyDescent="0.25">
      <c r="A1915" s="86">
        <v>18162</v>
      </c>
      <c r="B1915" s="87" t="s">
        <v>24</v>
      </c>
      <c r="C1915" s="87" t="s">
        <v>3641</v>
      </c>
      <c r="D1915" s="87" t="s">
        <v>3693</v>
      </c>
      <c r="E1915" s="87" t="s">
        <v>3694</v>
      </c>
      <c r="F1915" s="87">
        <v>36.513255338900002</v>
      </c>
      <c r="G1915" s="87">
        <v>43.571851777100001</v>
      </c>
      <c r="H1915" s="86">
        <v>7</v>
      </c>
      <c r="I1915" s="86">
        <v>42</v>
      </c>
      <c r="J1915" s="87"/>
      <c r="K1915" s="87"/>
      <c r="L1915" s="87"/>
      <c r="M1915" s="87"/>
      <c r="N1915" s="87"/>
      <c r="O1915" s="87"/>
      <c r="P1915" s="87"/>
      <c r="Q1915" s="87"/>
      <c r="R1915" s="87"/>
      <c r="S1915" s="87"/>
      <c r="T1915" s="87"/>
      <c r="U1915" s="87"/>
      <c r="V1915" s="87">
        <v>7</v>
      </c>
      <c r="W1915" s="87"/>
      <c r="X1915" s="87"/>
      <c r="Y1915" s="87"/>
      <c r="Z1915" s="87"/>
      <c r="AA1915" s="87"/>
      <c r="AB1915" s="87"/>
      <c r="AC1915" s="87"/>
      <c r="AD1915" s="87"/>
      <c r="AE1915" s="87"/>
      <c r="AF1915" s="87"/>
      <c r="AG1915" s="87"/>
      <c r="AH1915" s="87">
        <v>7</v>
      </c>
      <c r="AI1915" s="87"/>
      <c r="AJ1915" s="87"/>
      <c r="AK1915" s="87"/>
      <c r="AL1915" s="87"/>
      <c r="AM1915" s="87"/>
      <c r="AN1915" s="87"/>
      <c r="AO1915" s="87">
        <v>2</v>
      </c>
      <c r="AP1915" s="87">
        <v>5</v>
      </c>
      <c r="AQ1915" s="87"/>
      <c r="AR1915" s="87"/>
      <c r="AS1915" s="87"/>
      <c r="AT1915" s="87"/>
      <c r="AU1915" s="87"/>
      <c r="AV1915" s="87"/>
      <c r="AW1915" s="88" t="str">
        <f>HYPERLINK("http://www.openstreetmap.org/?mlat=36.5133&amp;mlon=43.5719&amp;zoom=12#map=12/36.5133/43.5719","Maplink1")</f>
        <v>Maplink1</v>
      </c>
      <c r="AX1915" s="88" t="str">
        <f>HYPERLINK("https://www.google.iq/maps/search/+36.5133,43.5719/@36.5133,43.5719,14z?hl=en","Maplink2")</f>
        <v>Maplink2</v>
      </c>
      <c r="AY1915" s="88" t="str">
        <f>HYPERLINK("http://www.bing.com/maps/?lvl=14&amp;sty=h&amp;cp=36.5133~43.5719&amp;sp=point.36.5133_43.5719","Maplink3")</f>
        <v>Maplink3</v>
      </c>
      <c r="AZ1915" s="76"/>
    </row>
    <row r="1916" spans="1:52" x14ac:dyDescent="0.25">
      <c r="A1916" s="86">
        <v>17147</v>
      </c>
      <c r="B1916" s="87" t="s">
        <v>24</v>
      </c>
      <c r="C1916" s="87" t="s">
        <v>3641</v>
      </c>
      <c r="D1916" s="87" t="s">
        <v>3695</v>
      </c>
      <c r="E1916" s="87" t="s">
        <v>3696</v>
      </c>
      <c r="F1916" s="87">
        <v>36.495019068700003</v>
      </c>
      <c r="G1916" s="87">
        <v>43.622671458799999</v>
      </c>
      <c r="H1916" s="86">
        <v>17</v>
      </c>
      <c r="I1916" s="86">
        <v>102</v>
      </c>
      <c r="J1916" s="87"/>
      <c r="K1916" s="87"/>
      <c r="L1916" s="87"/>
      <c r="M1916" s="87"/>
      <c r="N1916" s="87"/>
      <c r="O1916" s="87"/>
      <c r="P1916" s="87"/>
      <c r="Q1916" s="87"/>
      <c r="R1916" s="87"/>
      <c r="S1916" s="87"/>
      <c r="T1916" s="87"/>
      <c r="U1916" s="87"/>
      <c r="V1916" s="87">
        <v>17</v>
      </c>
      <c r="W1916" s="87"/>
      <c r="X1916" s="87"/>
      <c r="Y1916" s="87"/>
      <c r="Z1916" s="87"/>
      <c r="AA1916" s="87"/>
      <c r="AB1916" s="87"/>
      <c r="AC1916" s="87">
        <v>5</v>
      </c>
      <c r="AD1916" s="87"/>
      <c r="AE1916" s="87"/>
      <c r="AF1916" s="87"/>
      <c r="AG1916" s="87"/>
      <c r="AH1916" s="87">
        <v>12</v>
      </c>
      <c r="AI1916" s="87"/>
      <c r="AJ1916" s="87"/>
      <c r="AK1916" s="87"/>
      <c r="AL1916" s="87"/>
      <c r="AM1916" s="87"/>
      <c r="AN1916" s="87"/>
      <c r="AO1916" s="87">
        <v>2</v>
      </c>
      <c r="AP1916" s="87">
        <v>15</v>
      </c>
      <c r="AQ1916" s="87"/>
      <c r="AR1916" s="87"/>
      <c r="AS1916" s="87"/>
      <c r="AT1916" s="87"/>
      <c r="AU1916" s="87"/>
      <c r="AV1916" s="87"/>
      <c r="AW1916" s="88" t="str">
        <f>HYPERLINK("http://www.openstreetmap.org/?mlat=36.495&amp;mlon=43.6227&amp;zoom=12#map=12/36.495/43.6227","Maplink1")</f>
        <v>Maplink1</v>
      </c>
      <c r="AX1916" s="88" t="str">
        <f>HYPERLINK("https://www.google.iq/maps/search/+36.495,43.6227/@36.495,43.6227,14z?hl=en","Maplink2")</f>
        <v>Maplink2</v>
      </c>
      <c r="AY1916" s="88" t="str">
        <f>HYPERLINK("http://www.bing.com/maps/?lvl=14&amp;sty=h&amp;cp=36.495~43.6227&amp;sp=point.36.495_43.6227","Maplink3")</f>
        <v>Maplink3</v>
      </c>
      <c r="AZ1916" s="76"/>
    </row>
    <row r="1917" spans="1:52" x14ac:dyDescent="0.25">
      <c r="A1917" s="86">
        <v>17703</v>
      </c>
      <c r="B1917" s="87" t="s">
        <v>24</v>
      </c>
      <c r="C1917" s="87" t="s">
        <v>3697</v>
      </c>
      <c r="D1917" s="87" t="s">
        <v>3698</v>
      </c>
      <c r="E1917" s="87" t="s">
        <v>3699</v>
      </c>
      <c r="F1917" s="87">
        <v>36.046880000000002</v>
      </c>
      <c r="G1917" s="87">
        <v>41.714586599999997</v>
      </c>
      <c r="H1917" s="86">
        <v>1098</v>
      </c>
      <c r="I1917" s="86">
        <v>6588</v>
      </c>
      <c r="J1917" s="87"/>
      <c r="K1917" s="87"/>
      <c r="L1917" s="87"/>
      <c r="M1917" s="87"/>
      <c r="N1917" s="87"/>
      <c r="O1917" s="87"/>
      <c r="P1917" s="87"/>
      <c r="Q1917" s="87"/>
      <c r="R1917" s="87"/>
      <c r="S1917" s="87"/>
      <c r="T1917" s="87"/>
      <c r="U1917" s="87"/>
      <c r="V1917" s="87">
        <v>1098</v>
      </c>
      <c r="W1917" s="87"/>
      <c r="X1917" s="87"/>
      <c r="Y1917" s="87"/>
      <c r="Z1917" s="87"/>
      <c r="AA1917" s="87"/>
      <c r="AB1917" s="87"/>
      <c r="AC1917" s="87">
        <v>655</v>
      </c>
      <c r="AD1917" s="87"/>
      <c r="AE1917" s="87">
        <v>143</v>
      </c>
      <c r="AF1917" s="87"/>
      <c r="AG1917" s="87"/>
      <c r="AH1917" s="87">
        <v>290</v>
      </c>
      <c r="AI1917" s="87"/>
      <c r="AJ1917" s="87"/>
      <c r="AK1917" s="87"/>
      <c r="AL1917" s="87">
        <v>10</v>
      </c>
      <c r="AM1917" s="87"/>
      <c r="AN1917" s="87"/>
      <c r="AO1917" s="87"/>
      <c r="AP1917" s="87"/>
      <c r="AQ1917" s="87"/>
      <c r="AR1917" s="87"/>
      <c r="AS1917" s="87"/>
      <c r="AT1917" s="87">
        <v>1098</v>
      </c>
      <c r="AU1917" s="87"/>
      <c r="AV1917" s="87"/>
      <c r="AW1917" s="88" t="str">
        <f>HYPERLINK("http://www.openstreetmap.org/?mlat=36.0469&amp;mlon=41.7146&amp;zoom=12#map=12/36.0469/41.7146","Maplink1")</f>
        <v>Maplink1</v>
      </c>
      <c r="AX1917" s="88" t="str">
        <f>HYPERLINK("https://www.google.iq/maps/search/+36.0469,41.7146/@36.0469,41.7146,14z?hl=en","Maplink2")</f>
        <v>Maplink2</v>
      </c>
      <c r="AY1917" s="88" t="str">
        <f>HYPERLINK("http://www.bing.com/maps/?lvl=14&amp;sty=h&amp;cp=36.0469~41.7146&amp;sp=point.36.0469_41.7146","Maplink3")</f>
        <v>Maplink3</v>
      </c>
      <c r="AZ1917" s="76"/>
    </row>
    <row r="1918" spans="1:52" x14ac:dyDescent="0.25">
      <c r="A1918" s="86">
        <v>17995</v>
      </c>
      <c r="B1918" s="87" t="s">
        <v>24</v>
      </c>
      <c r="C1918" s="87" t="s">
        <v>3700</v>
      </c>
      <c r="D1918" s="87" t="s">
        <v>3701</v>
      </c>
      <c r="E1918" s="87" t="s">
        <v>3702</v>
      </c>
      <c r="F1918" s="87">
        <v>36.027476217999997</v>
      </c>
      <c r="G1918" s="87">
        <v>43.406684910000003</v>
      </c>
      <c r="H1918" s="86">
        <v>3</v>
      </c>
      <c r="I1918" s="86">
        <v>18</v>
      </c>
      <c r="J1918" s="87"/>
      <c r="K1918" s="87"/>
      <c r="L1918" s="87"/>
      <c r="M1918" s="87"/>
      <c r="N1918" s="87"/>
      <c r="O1918" s="87"/>
      <c r="P1918" s="87"/>
      <c r="Q1918" s="87"/>
      <c r="R1918" s="87"/>
      <c r="S1918" s="87"/>
      <c r="T1918" s="87"/>
      <c r="U1918" s="87"/>
      <c r="V1918" s="87">
        <v>3</v>
      </c>
      <c r="W1918" s="87"/>
      <c r="X1918" s="87"/>
      <c r="Y1918" s="87"/>
      <c r="Z1918" s="87"/>
      <c r="AA1918" s="87"/>
      <c r="AB1918" s="87"/>
      <c r="AC1918" s="87">
        <v>3</v>
      </c>
      <c r="AD1918" s="87"/>
      <c r="AE1918" s="87"/>
      <c r="AF1918" s="87"/>
      <c r="AG1918" s="87"/>
      <c r="AH1918" s="87"/>
      <c r="AI1918" s="87"/>
      <c r="AJ1918" s="87"/>
      <c r="AK1918" s="87"/>
      <c r="AL1918" s="87"/>
      <c r="AM1918" s="87"/>
      <c r="AN1918" s="87"/>
      <c r="AO1918" s="87"/>
      <c r="AP1918" s="87"/>
      <c r="AQ1918" s="87"/>
      <c r="AR1918" s="87"/>
      <c r="AS1918" s="87"/>
      <c r="AT1918" s="87">
        <v>3</v>
      </c>
      <c r="AU1918" s="87"/>
      <c r="AV1918" s="87"/>
      <c r="AW1918" s="88" t="str">
        <f>HYPERLINK("http://www.openstreetmap.org/?mlat=36.0275&amp;mlon=43.4067&amp;zoom=12#map=12/36.0275/43.4067","Maplink1")</f>
        <v>Maplink1</v>
      </c>
      <c r="AX1918" s="88" t="str">
        <f>HYPERLINK("https://www.google.iq/maps/search/+36.0275,43.4067/@36.0275,43.4067,14z?hl=en","Maplink2")</f>
        <v>Maplink2</v>
      </c>
      <c r="AY1918" s="88" t="str">
        <f>HYPERLINK("http://www.bing.com/maps/?lvl=14&amp;sty=h&amp;cp=36.0275~43.4067&amp;sp=point.36.0275_43.4067","Maplink3")</f>
        <v>Maplink3</v>
      </c>
      <c r="AZ1918" s="76"/>
    </row>
    <row r="1919" spans="1:52" x14ac:dyDescent="0.25">
      <c r="A1919" s="86">
        <v>17903</v>
      </c>
      <c r="B1919" s="87" t="s">
        <v>24</v>
      </c>
      <c r="C1919" s="87" t="s">
        <v>3700</v>
      </c>
      <c r="D1919" s="87" t="s">
        <v>3703</v>
      </c>
      <c r="E1919" s="87" t="s">
        <v>3704</v>
      </c>
      <c r="F1919" s="87">
        <v>36.1446720243</v>
      </c>
      <c r="G1919" s="87">
        <v>43.310966591400003</v>
      </c>
      <c r="H1919" s="86">
        <v>25</v>
      </c>
      <c r="I1919" s="86">
        <v>150</v>
      </c>
      <c r="J1919" s="87"/>
      <c r="K1919" s="87"/>
      <c r="L1919" s="87"/>
      <c r="M1919" s="87"/>
      <c r="N1919" s="87"/>
      <c r="O1919" s="87"/>
      <c r="P1919" s="87"/>
      <c r="Q1919" s="87"/>
      <c r="R1919" s="87"/>
      <c r="S1919" s="87"/>
      <c r="T1919" s="87"/>
      <c r="U1919" s="87"/>
      <c r="V1919" s="87">
        <v>25</v>
      </c>
      <c r="W1919" s="87"/>
      <c r="X1919" s="87"/>
      <c r="Y1919" s="87"/>
      <c r="Z1919" s="87"/>
      <c r="AA1919" s="87"/>
      <c r="AB1919" s="87"/>
      <c r="AC1919" s="87">
        <v>25</v>
      </c>
      <c r="AD1919" s="87"/>
      <c r="AE1919" s="87"/>
      <c r="AF1919" s="87"/>
      <c r="AG1919" s="87"/>
      <c r="AH1919" s="87"/>
      <c r="AI1919" s="87"/>
      <c r="AJ1919" s="87"/>
      <c r="AK1919" s="87"/>
      <c r="AL1919" s="87"/>
      <c r="AM1919" s="87"/>
      <c r="AN1919" s="87"/>
      <c r="AO1919" s="87"/>
      <c r="AP1919" s="87"/>
      <c r="AQ1919" s="87"/>
      <c r="AR1919" s="87"/>
      <c r="AS1919" s="87"/>
      <c r="AT1919" s="87">
        <v>25</v>
      </c>
      <c r="AU1919" s="87"/>
      <c r="AV1919" s="87"/>
      <c r="AW1919" s="88" t="str">
        <f>HYPERLINK("http://www.openstreetmap.org/?mlat=36.1447&amp;mlon=43.311&amp;zoom=12#map=12/36.1447/43.311","Maplink1")</f>
        <v>Maplink1</v>
      </c>
      <c r="AX1919" s="88" t="str">
        <f>HYPERLINK("https://www.google.iq/maps/search/+36.1447,43.311/@36.1447,43.311,14z?hl=en","Maplink2")</f>
        <v>Maplink2</v>
      </c>
      <c r="AY1919" s="88" t="str">
        <f>HYPERLINK("http://www.bing.com/maps/?lvl=14&amp;sty=h&amp;cp=36.1447~43.311&amp;sp=point.36.1447_43.311","Maplink3")</f>
        <v>Maplink3</v>
      </c>
      <c r="AZ1919" s="76"/>
    </row>
    <row r="1920" spans="1:52" x14ac:dyDescent="0.25">
      <c r="A1920" s="86">
        <v>31774</v>
      </c>
      <c r="B1920" s="87" t="s">
        <v>24</v>
      </c>
      <c r="C1920" s="87" t="s">
        <v>3700</v>
      </c>
      <c r="D1920" s="87" t="s">
        <v>3705</v>
      </c>
      <c r="E1920" s="87" t="s">
        <v>3706</v>
      </c>
      <c r="F1920" s="87">
        <v>36.158410310699999</v>
      </c>
      <c r="G1920" s="87">
        <v>43.3282816432</v>
      </c>
      <c r="H1920" s="86">
        <v>650</v>
      </c>
      <c r="I1920" s="86">
        <v>3900</v>
      </c>
      <c r="J1920" s="87"/>
      <c r="K1920" s="87"/>
      <c r="L1920" s="87"/>
      <c r="M1920" s="87"/>
      <c r="N1920" s="87"/>
      <c r="O1920" s="87"/>
      <c r="P1920" s="87"/>
      <c r="Q1920" s="87"/>
      <c r="R1920" s="87"/>
      <c r="S1920" s="87"/>
      <c r="T1920" s="87"/>
      <c r="U1920" s="87"/>
      <c r="V1920" s="87">
        <v>650</v>
      </c>
      <c r="W1920" s="87"/>
      <c r="X1920" s="87"/>
      <c r="Y1920" s="87"/>
      <c r="Z1920" s="87"/>
      <c r="AA1920" s="87"/>
      <c r="AB1920" s="87">
        <v>650</v>
      </c>
      <c r="AC1920" s="87"/>
      <c r="AD1920" s="87"/>
      <c r="AE1920" s="87"/>
      <c r="AF1920" s="87"/>
      <c r="AG1920" s="87"/>
      <c r="AH1920" s="87"/>
      <c r="AI1920" s="87"/>
      <c r="AJ1920" s="87"/>
      <c r="AK1920" s="87"/>
      <c r="AL1920" s="87"/>
      <c r="AM1920" s="87"/>
      <c r="AN1920" s="87"/>
      <c r="AO1920" s="87"/>
      <c r="AP1920" s="87"/>
      <c r="AQ1920" s="87"/>
      <c r="AR1920" s="87"/>
      <c r="AS1920" s="87"/>
      <c r="AT1920" s="87">
        <v>590</v>
      </c>
      <c r="AU1920" s="87">
        <v>50</v>
      </c>
      <c r="AV1920" s="87">
        <v>10</v>
      </c>
      <c r="AW1920" s="88" t="str">
        <f>HYPERLINK("http://www.openstreetmap.org/?mlat=36.1584&amp;mlon=43.3283&amp;zoom=12#map=12/36.1584/43.3283","Maplink1")</f>
        <v>Maplink1</v>
      </c>
      <c r="AX1920" s="88" t="str">
        <f>HYPERLINK("https://www.google.iq/maps/search/+36.1584,43.3283/@36.1584,43.3283,14z?hl=en","Maplink2")</f>
        <v>Maplink2</v>
      </c>
      <c r="AY1920" s="88" t="str">
        <f>HYPERLINK("http://www.bing.com/maps/?lvl=14&amp;sty=h&amp;cp=36.1584~43.3283&amp;sp=point.36.1584_43.3283","Maplink3")</f>
        <v>Maplink3</v>
      </c>
      <c r="AZ1920" s="76"/>
    </row>
    <row r="1921" spans="1:52" x14ac:dyDescent="0.25">
      <c r="A1921" s="86">
        <v>31781</v>
      </c>
      <c r="B1921" s="87" t="s">
        <v>24</v>
      </c>
      <c r="C1921" s="87" t="s">
        <v>3700</v>
      </c>
      <c r="D1921" s="87" t="s">
        <v>3707</v>
      </c>
      <c r="E1921" s="87" t="s">
        <v>3708</v>
      </c>
      <c r="F1921" s="87">
        <v>36.153402207900001</v>
      </c>
      <c r="G1921" s="87">
        <v>43.334382717700002</v>
      </c>
      <c r="H1921" s="86">
        <v>2700</v>
      </c>
      <c r="I1921" s="86">
        <v>16200</v>
      </c>
      <c r="J1921" s="87"/>
      <c r="K1921" s="87"/>
      <c r="L1921" s="87"/>
      <c r="M1921" s="87"/>
      <c r="N1921" s="87"/>
      <c r="O1921" s="87"/>
      <c r="P1921" s="87"/>
      <c r="Q1921" s="87"/>
      <c r="R1921" s="87"/>
      <c r="S1921" s="87"/>
      <c r="T1921" s="87"/>
      <c r="U1921" s="87"/>
      <c r="V1921" s="87">
        <v>2700</v>
      </c>
      <c r="W1921" s="87"/>
      <c r="X1921" s="87"/>
      <c r="Y1921" s="87"/>
      <c r="Z1921" s="87"/>
      <c r="AA1921" s="87"/>
      <c r="AB1921" s="87">
        <v>2700</v>
      </c>
      <c r="AC1921" s="87"/>
      <c r="AD1921" s="87"/>
      <c r="AE1921" s="87"/>
      <c r="AF1921" s="87"/>
      <c r="AG1921" s="87"/>
      <c r="AH1921" s="87"/>
      <c r="AI1921" s="87"/>
      <c r="AJ1921" s="87"/>
      <c r="AK1921" s="87"/>
      <c r="AL1921" s="87"/>
      <c r="AM1921" s="87"/>
      <c r="AN1921" s="87"/>
      <c r="AO1921" s="87"/>
      <c r="AP1921" s="87"/>
      <c r="AQ1921" s="87"/>
      <c r="AR1921" s="87"/>
      <c r="AS1921" s="87"/>
      <c r="AT1921" s="87">
        <v>2635</v>
      </c>
      <c r="AU1921" s="87">
        <v>50</v>
      </c>
      <c r="AV1921" s="87">
        <v>15</v>
      </c>
      <c r="AW1921" s="88" t="str">
        <f>HYPERLINK("http://www.openstreetmap.org/?mlat=36.1534&amp;mlon=43.3344&amp;zoom=12#map=12/36.1534/43.3344","Maplink1")</f>
        <v>Maplink1</v>
      </c>
      <c r="AX1921" s="88" t="str">
        <f>HYPERLINK("https://www.google.iq/maps/search/+36.1534,43.3344/@36.1534,43.3344,14z?hl=en","Maplink2")</f>
        <v>Maplink2</v>
      </c>
      <c r="AY1921" s="88" t="str">
        <f>HYPERLINK("http://www.bing.com/maps/?lvl=14&amp;sty=h&amp;cp=36.1534~43.3344&amp;sp=point.36.1534_43.3344","Maplink3")</f>
        <v>Maplink3</v>
      </c>
      <c r="AZ1921" s="76"/>
    </row>
    <row r="1922" spans="1:52" x14ac:dyDescent="0.25">
      <c r="A1922" s="86">
        <v>31744</v>
      </c>
      <c r="B1922" s="87" t="s">
        <v>24</v>
      </c>
      <c r="C1922" s="87" t="s">
        <v>3700</v>
      </c>
      <c r="D1922" s="87" t="s">
        <v>3709</v>
      </c>
      <c r="E1922" s="87" t="s">
        <v>3710</v>
      </c>
      <c r="F1922" s="87">
        <v>36.309607679499997</v>
      </c>
      <c r="G1922" s="87">
        <v>43.525921415399999</v>
      </c>
      <c r="H1922" s="86">
        <v>950</v>
      </c>
      <c r="I1922" s="86">
        <v>5700</v>
      </c>
      <c r="J1922" s="87">
        <v>3</v>
      </c>
      <c r="K1922" s="87"/>
      <c r="L1922" s="87"/>
      <c r="M1922" s="87"/>
      <c r="N1922" s="87"/>
      <c r="O1922" s="87"/>
      <c r="P1922" s="87"/>
      <c r="Q1922" s="87"/>
      <c r="R1922" s="87">
        <v>7</v>
      </c>
      <c r="S1922" s="87"/>
      <c r="T1922" s="87"/>
      <c r="U1922" s="87"/>
      <c r="V1922" s="87">
        <v>920</v>
      </c>
      <c r="W1922" s="87"/>
      <c r="X1922" s="87">
        <v>20</v>
      </c>
      <c r="Y1922" s="87"/>
      <c r="Z1922" s="87"/>
      <c r="AA1922" s="87"/>
      <c r="AB1922" s="87">
        <v>950</v>
      </c>
      <c r="AC1922" s="87"/>
      <c r="AD1922" s="87"/>
      <c r="AE1922" s="87"/>
      <c r="AF1922" s="87"/>
      <c r="AG1922" s="87"/>
      <c r="AH1922" s="87"/>
      <c r="AI1922" s="87"/>
      <c r="AJ1922" s="87"/>
      <c r="AK1922" s="87"/>
      <c r="AL1922" s="87"/>
      <c r="AM1922" s="87"/>
      <c r="AN1922" s="87"/>
      <c r="AO1922" s="87"/>
      <c r="AP1922" s="87"/>
      <c r="AQ1922" s="87"/>
      <c r="AR1922" s="87"/>
      <c r="AS1922" s="87"/>
      <c r="AT1922" s="87">
        <v>730</v>
      </c>
      <c r="AU1922" s="87">
        <v>220</v>
      </c>
      <c r="AV1922" s="87"/>
      <c r="AW1922" s="88" t="str">
        <f>HYPERLINK("http://www.openstreetmap.org/?mlat=36.3096&amp;mlon=43.5259&amp;zoom=12#map=12/36.3096/43.5259","Maplink1")</f>
        <v>Maplink1</v>
      </c>
      <c r="AX1922" s="88" t="str">
        <f>HYPERLINK("https://www.google.iq/maps/search/+36.3096,43.5259/@36.3096,43.5259,14z?hl=en","Maplink2")</f>
        <v>Maplink2</v>
      </c>
      <c r="AY1922" s="88" t="str">
        <f>HYPERLINK("http://www.bing.com/maps/?lvl=14&amp;sty=h&amp;cp=36.3096~43.5259&amp;sp=point.36.3096_43.5259","Maplink3")</f>
        <v>Maplink3</v>
      </c>
      <c r="AZ1922" s="76"/>
    </row>
    <row r="1923" spans="1:52" x14ac:dyDescent="0.25">
      <c r="A1923" s="86">
        <v>29647</v>
      </c>
      <c r="B1923" s="87" t="s">
        <v>24</v>
      </c>
      <c r="C1923" s="87" t="s">
        <v>3700</v>
      </c>
      <c r="D1923" s="87" t="s">
        <v>3711</v>
      </c>
      <c r="E1923" s="87" t="s">
        <v>3712</v>
      </c>
      <c r="F1923" s="87">
        <v>36.324045125700003</v>
      </c>
      <c r="G1923" s="87">
        <v>43.536174543400001</v>
      </c>
      <c r="H1923" s="86">
        <v>1250</v>
      </c>
      <c r="I1923" s="86">
        <v>7500</v>
      </c>
      <c r="J1923" s="87"/>
      <c r="K1923" s="87"/>
      <c r="L1923" s="87"/>
      <c r="M1923" s="87"/>
      <c r="N1923" s="87"/>
      <c r="O1923" s="87"/>
      <c r="P1923" s="87"/>
      <c r="Q1923" s="87"/>
      <c r="R1923" s="87">
        <v>10</v>
      </c>
      <c r="S1923" s="87"/>
      <c r="T1923" s="87"/>
      <c r="U1923" s="87"/>
      <c r="V1923" s="87">
        <v>1220</v>
      </c>
      <c r="W1923" s="87"/>
      <c r="X1923" s="87">
        <v>20</v>
      </c>
      <c r="Y1923" s="87"/>
      <c r="Z1923" s="87"/>
      <c r="AA1923" s="87"/>
      <c r="AB1923" s="87">
        <v>1250</v>
      </c>
      <c r="AC1923" s="87"/>
      <c r="AD1923" s="87"/>
      <c r="AE1923" s="87"/>
      <c r="AF1923" s="87"/>
      <c r="AG1923" s="87"/>
      <c r="AH1923" s="87"/>
      <c r="AI1923" s="87"/>
      <c r="AJ1923" s="87"/>
      <c r="AK1923" s="87"/>
      <c r="AL1923" s="87"/>
      <c r="AM1923" s="87"/>
      <c r="AN1923" s="87"/>
      <c r="AO1923" s="87"/>
      <c r="AP1923" s="87"/>
      <c r="AQ1923" s="87"/>
      <c r="AR1923" s="87"/>
      <c r="AS1923" s="87"/>
      <c r="AT1923" s="87">
        <v>1040</v>
      </c>
      <c r="AU1923" s="87">
        <v>190</v>
      </c>
      <c r="AV1923" s="87">
        <v>20</v>
      </c>
      <c r="AW1923" s="88" t="str">
        <f>HYPERLINK("http://www.openstreetmap.org/?mlat=36.324&amp;mlon=43.5362&amp;zoom=12#map=12/36.324/43.5362","Maplink1")</f>
        <v>Maplink1</v>
      </c>
      <c r="AX1923" s="88" t="str">
        <f>HYPERLINK("https://www.google.iq/maps/search/+36.324,43.5362/@36.324,43.5362,14z?hl=en","Maplink2")</f>
        <v>Maplink2</v>
      </c>
      <c r="AY1923" s="88" t="str">
        <f>HYPERLINK("http://www.bing.com/maps/?lvl=14&amp;sty=h&amp;cp=36.324~43.5362&amp;sp=point.36.324_43.5362","Maplink3")</f>
        <v>Maplink3</v>
      </c>
      <c r="AZ1923" s="76"/>
    </row>
    <row r="1924" spans="1:52" x14ac:dyDescent="0.25">
      <c r="A1924" s="86">
        <v>29643</v>
      </c>
      <c r="B1924" s="87" t="s">
        <v>24</v>
      </c>
      <c r="C1924" s="87" t="s">
        <v>3700</v>
      </c>
      <c r="D1924" s="87" t="s">
        <v>3713</v>
      </c>
      <c r="E1924" s="87" t="s">
        <v>3714</v>
      </c>
      <c r="F1924" s="87">
        <v>36.035616149900001</v>
      </c>
      <c r="G1924" s="87">
        <v>43.434817668599997</v>
      </c>
      <c r="H1924" s="86">
        <v>5</v>
      </c>
      <c r="I1924" s="86">
        <v>30</v>
      </c>
      <c r="J1924" s="87"/>
      <c r="K1924" s="87"/>
      <c r="L1924" s="87"/>
      <c r="M1924" s="87"/>
      <c r="N1924" s="87"/>
      <c r="O1924" s="87"/>
      <c r="P1924" s="87"/>
      <c r="Q1924" s="87"/>
      <c r="R1924" s="87"/>
      <c r="S1924" s="87"/>
      <c r="T1924" s="87"/>
      <c r="U1924" s="87"/>
      <c r="V1924" s="87">
        <v>5</v>
      </c>
      <c r="W1924" s="87"/>
      <c r="X1924" s="87"/>
      <c r="Y1924" s="87"/>
      <c r="Z1924" s="87"/>
      <c r="AA1924" s="87"/>
      <c r="AB1924" s="87"/>
      <c r="AC1924" s="87">
        <v>5</v>
      </c>
      <c r="AD1924" s="87"/>
      <c r="AE1924" s="87"/>
      <c r="AF1924" s="87"/>
      <c r="AG1924" s="87"/>
      <c r="AH1924" s="87"/>
      <c r="AI1924" s="87"/>
      <c r="AJ1924" s="87"/>
      <c r="AK1924" s="87"/>
      <c r="AL1924" s="87"/>
      <c r="AM1924" s="87"/>
      <c r="AN1924" s="87"/>
      <c r="AO1924" s="87"/>
      <c r="AP1924" s="87"/>
      <c r="AQ1924" s="87"/>
      <c r="AR1924" s="87"/>
      <c r="AS1924" s="87"/>
      <c r="AT1924" s="87">
        <v>5</v>
      </c>
      <c r="AU1924" s="87"/>
      <c r="AV1924" s="87"/>
      <c r="AW1924" s="88" t="str">
        <f>HYPERLINK("http://www.openstreetmap.org/?mlat=36.0356&amp;mlon=43.4348&amp;zoom=12#map=12/36.0356/43.4348","Maplink1")</f>
        <v>Maplink1</v>
      </c>
      <c r="AX1924" s="88" t="str">
        <f>HYPERLINK("https://www.google.iq/maps/search/+36.0356,43.4348/@36.0356,43.4348,14z?hl=en","Maplink2")</f>
        <v>Maplink2</v>
      </c>
      <c r="AY1924" s="88" t="str">
        <f>HYPERLINK("http://www.bing.com/maps/?lvl=14&amp;sty=h&amp;cp=36.0356~43.4348&amp;sp=point.36.0356_43.4348","Maplink3")</f>
        <v>Maplink3</v>
      </c>
      <c r="AZ1924" s="76"/>
    </row>
    <row r="1925" spans="1:52" x14ac:dyDescent="0.25">
      <c r="A1925" s="86">
        <v>29645</v>
      </c>
      <c r="B1925" s="87" t="s">
        <v>24</v>
      </c>
      <c r="C1925" s="87" t="s">
        <v>3700</v>
      </c>
      <c r="D1925" s="87" t="s">
        <v>3715</v>
      </c>
      <c r="E1925" s="87" t="s">
        <v>3716</v>
      </c>
      <c r="F1925" s="87">
        <v>36.305763622000001</v>
      </c>
      <c r="G1925" s="87">
        <v>43.546076947899998</v>
      </c>
      <c r="H1925" s="86">
        <v>1236</v>
      </c>
      <c r="I1925" s="86">
        <v>7416</v>
      </c>
      <c r="J1925" s="87">
        <v>4</v>
      </c>
      <c r="K1925" s="87"/>
      <c r="L1925" s="87"/>
      <c r="M1925" s="87"/>
      <c r="N1925" s="87"/>
      <c r="O1925" s="87"/>
      <c r="P1925" s="87"/>
      <c r="Q1925" s="87"/>
      <c r="R1925" s="87"/>
      <c r="S1925" s="87"/>
      <c r="T1925" s="87"/>
      <c r="U1925" s="87"/>
      <c r="V1925" s="87">
        <v>1229</v>
      </c>
      <c r="W1925" s="87"/>
      <c r="X1925" s="87">
        <v>3</v>
      </c>
      <c r="Y1925" s="87"/>
      <c r="Z1925" s="87"/>
      <c r="AA1925" s="87"/>
      <c r="AB1925" s="87">
        <v>1236</v>
      </c>
      <c r="AC1925" s="87"/>
      <c r="AD1925" s="87"/>
      <c r="AE1925" s="87"/>
      <c r="AF1925" s="87"/>
      <c r="AG1925" s="87"/>
      <c r="AH1925" s="87"/>
      <c r="AI1925" s="87"/>
      <c r="AJ1925" s="87"/>
      <c r="AK1925" s="87"/>
      <c r="AL1925" s="87"/>
      <c r="AM1925" s="87"/>
      <c r="AN1925" s="87"/>
      <c r="AO1925" s="87"/>
      <c r="AP1925" s="87"/>
      <c r="AQ1925" s="87"/>
      <c r="AR1925" s="87"/>
      <c r="AS1925" s="87"/>
      <c r="AT1925" s="87">
        <v>1016</v>
      </c>
      <c r="AU1925" s="87">
        <v>200</v>
      </c>
      <c r="AV1925" s="87">
        <v>20</v>
      </c>
      <c r="AW1925" s="88" t="str">
        <f>HYPERLINK("http://www.openstreetmap.org/?mlat=36.3058&amp;mlon=43.5461&amp;zoom=12#map=12/36.3058/43.5461","Maplink1")</f>
        <v>Maplink1</v>
      </c>
      <c r="AX1925" s="88" t="str">
        <f>HYPERLINK("https://www.google.iq/maps/search/+36.3058,43.5461/@36.3058,43.5461,14z?hl=en","Maplink2")</f>
        <v>Maplink2</v>
      </c>
      <c r="AY1925" s="88" t="str">
        <f>HYPERLINK("http://www.bing.com/maps/?lvl=14&amp;sty=h&amp;cp=36.3058~43.5461&amp;sp=point.36.3058_43.5461","Maplink3")</f>
        <v>Maplink3</v>
      </c>
      <c r="AZ1925" s="76"/>
    </row>
    <row r="1926" spans="1:52" x14ac:dyDescent="0.25">
      <c r="A1926" s="86">
        <v>18251</v>
      </c>
      <c r="B1926" s="87" t="s">
        <v>24</v>
      </c>
      <c r="C1926" s="87" t="s">
        <v>3717</v>
      </c>
      <c r="D1926" s="87" t="s">
        <v>3718</v>
      </c>
      <c r="E1926" s="87" t="s">
        <v>3719</v>
      </c>
      <c r="F1926" s="87">
        <v>36.664052961000003</v>
      </c>
      <c r="G1926" s="87">
        <v>43.268486275999997</v>
      </c>
      <c r="H1926" s="86">
        <v>12</v>
      </c>
      <c r="I1926" s="86">
        <v>72</v>
      </c>
      <c r="J1926" s="87"/>
      <c r="K1926" s="87"/>
      <c r="L1926" s="87"/>
      <c r="M1926" s="87"/>
      <c r="N1926" s="87"/>
      <c r="O1926" s="87"/>
      <c r="P1926" s="87"/>
      <c r="Q1926" s="87"/>
      <c r="R1926" s="87"/>
      <c r="S1926" s="87"/>
      <c r="T1926" s="87"/>
      <c r="U1926" s="87"/>
      <c r="V1926" s="87">
        <v>12</v>
      </c>
      <c r="W1926" s="87"/>
      <c r="X1926" s="87"/>
      <c r="Y1926" s="87"/>
      <c r="Z1926" s="87"/>
      <c r="AA1926" s="87"/>
      <c r="AB1926" s="87"/>
      <c r="AC1926" s="87"/>
      <c r="AD1926" s="87"/>
      <c r="AE1926" s="87"/>
      <c r="AF1926" s="87"/>
      <c r="AG1926" s="87"/>
      <c r="AH1926" s="87"/>
      <c r="AI1926" s="87"/>
      <c r="AJ1926" s="87"/>
      <c r="AK1926" s="87">
        <v>12</v>
      </c>
      <c r="AL1926" s="87"/>
      <c r="AM1926" s="87"/>
      <c r="AN1926" s="87"/>
      <c r="AO1926" s="87"/>
      <c r="AP1926" s="87">
        <v>12</v>
      </c>
      <c r="AQ1926" s="87"/>
      <c r="AR1926" s="87"/>
      <c r="AS1926" s="87"/>
      <c r="AT1926" s="87"/>
      <c r="AU1926" s="87"/>
      <c r="AV1926" s="87"/>
      <c r="AW1926" s="88" t="str">
        <f>HYPERLINK("http://www.openstreetmap.org/?mlat=36.6641&amp;mlon=43.2685&amp;zoom=12#map=12/36.6641/43.2685","Maplink1")</f>
        <v>Maplink1</v>
      </c>
      <c r="AX1926" s="88" t="str">
        <f>HYPERLINK("https://www.google.iq/maps/search/+36.6641,43.2685/@36.6641,43.2685,14z?hl=en","Maplink2")</f>
        <v>Maplink2</v>
      </c>
      <c r="AY1926" s="88" t="str">
        <f>HYPERLINK("http://www.bing.com/maps/?lvl=14&amp;sty=h&amp;cp=36.6641~43.2685&amp;sp=point.36.6641_43.2685","Maplink3")</f>
        <v>Maplink3</v>
      </c>
      <c r="AZ1926" s="76"/>
    </row>
    <row r="1927" spans="1:52" x14ac:dyDescent="0.25">
      <c r="A1927" s="86">
        <v>17338</v>
      </c>
      <c r="B1927" s="87" t="s">
        <v>24</v>
      </c>
      <c r="C1927" s="87" t="s">
        <v>3717</v>
      </c>
      <c r="D1927" s="87" t="s">
        <v>3720</v>
      </c>
      <c r="E1927" s="87" t="s">
        <v>3721</v>
      </c>
      <c r="F1927" s="87">
        <v>36.837796602200001</v>
      </c>
      <c r="G1927" s="87">
        <v>43.333733866700001</v>
      </c>
      <c r="H1927" s="86">
        <v>89</v>
      </c>
      <c r="I1927" s="86">
        <v>534</v>
      </c>
      <c r="J1927" s="87"/>
      <c r="K1927" s="87"/>
      <c r="L1927" s="87"/>
      <c r="M1927" s="87"/>
      <c r="N1927" s="87"/>
      <c r="O1927" s="87"/>
      <c r="P1927" s="87"/>
      <c r="Q1927" s="87"/>
      <c r="R1927" s="87"/>
      <c r="S1927" s="87"/>
      <c r="T1927" s="87"/>
      <c r="U1927" s="87"/>
      <c r="V1927" s="87">
        <v>89</v>
      </c>
      <c r="W1927" s="87"/>
      <c r="X1927" s="87"/>
      <c r="Y1927" s="87"/>
      <c r="Z1927" s="87"/>
      <c r="AA1927" s="87"/>
      <c r="AB1927" s="87"/>
      <c r="AC1927" s="87">
        <v>52</v>
      </c>
      <c r="AD1927" s="87"/>
      <c r="AE1927" s="87"/>
      <c r="AF1927" s="87"/>
      <c r="AG1927" s="87"/>
      <c r="AH1927" s="87">
        <v>17</v>
      </c>
      <c r="AI1927" s="87"/>
      <c r="AJ1927" s="87"/>
      <c r="AK1927" s="87"/>
      <c r="AL1927" s="87">
        <v>20</v>
      </c>
      <c r="AM1927" s="87"/>
      <c r="AN1927" s="87"/>
      <c r="AO1927" s="87">
        <v>53</v>
      </c>
      <c r="AP1927" s="87">
        <v>36</v>
      </c>
      <c r="AQ1927" s="87"/>
      <c r="AR1927" s="87"/>
      <c r="AS1927" s="87"/>
      <c r="AT1927" s="87"/>
      <c r="AU1927" s="87"/>
      <c r="AV1927" s="87"/>
      <c r="AW1927" s="88" t="str">
        <f>HYPERLINK("http://www.openstreetmap.org/?mlat=36.8378&amp;mlon=43.3337&amp;zoom=12#map=12/36.8378/43.3337","Maplink1")</f>
        <v>Maplink1</v>
      </c>
      <c r="AX1927" s="88" t="str">
        <f>HYPERLINK("https://www.google.iq/maps/search/+36.8378,43.3337/@36.8378,43.3337,14z?hl=en","Maplink2")</f>
        <v>Maplink2</v>
      </c>
      <c r="AY1927" s="88" t="str">
        <f>HYPERLINK("http://www.bing.com/maps/?lvl=14&amp;sty=h&amp;cp=36.8378~43.3337&amp;sp=point.36.8378_43.3337","Maplink3")</f>
        <v>Maplink3</v>
      </c>
      <c r="AZ1927" s="76"/>
    </row>
    <row r="1928" spans="1:52" x14ac:dyDescent="0.25">
      <c r="A1928" s="86">
        <v>17752</v>
      </c>
      <c r="B1928" s="87" t="s">
        <v>24</v>
      </c>
      <c r="C1928" s="87" t="s">
        <v>3717</v>
      </c>
      <c r="D1928" s="87" t="s">
        <v>3722</v>
      </c>
      <c r="E1928" s="87" t="s">
        <v>3723</v>
      </c>
      <c r="F1928" s="87">
        <v>36.723429837700003</v>
      </c>
      <c r="G1928" s="87">
        <v>43.2520512595</v>
      </c>
      <c r="H1928" s="86">
        <v>698</v>
      </c>
      <c r="I1928" s="86">
        <v>4188</v>
      </c>
      <c r="J1928" s="87"/>
      <c r="K1928" s="87"/>
      <c r="L1928" s="87"/>
      <c r="M1928" s="87"/>
      <c r="N1928" s="87"/>
      <c r="O1928" s="87"/>
      <c r="P1928" s="87"/>
      <c r="Q1928" s="87"/>
      <c r="R1928" s="87"/>
      <c r="S1928" s="87"/>
      <c r="T1928" s="87"/>
      <c r="U1928" s="87"/>
      <c r="V1928" s="87">
        <v>698</v>
      </c>
      <c r="W1928" s="87"/>
      <c r="X1928" s="87"/>
      <c r="Y1928" s="87"/>
      <c r="Z1928" s="87"/>
      <c r="AA1928" s="87"/>
      <c r="AB1928" s="87"/>
      <c r="AC1928" s="87">
        <v>286</v>
      </c>
      <c r="AD1928" s="87"/>
      <c r="AE1928" s="87"/>
      <c r="AF1928" s="87"/>
      <c r="AG1928" s="87"/>
      <c r="AH1928" s="87">
        <v>185</v>
      </c>
      <c r="AI1928" s="87"/>
      <c r="AJ1928" s="87"/>
      <c r="AK1928" s="87">
        <v>210</v>
      </c>
      <c r="AL1928" s="87">
        <v>17</v>
      </c>
      <c r="AM1928" s="87"/>
      <c r="AN1928" s="87"/>
      <c r="AO1928" s="87">
        <v>12</v>
      </c>
      <c r="AP1928" s="87">
        <v>679</v>
      </c>
      <c r="AQ1928" s="87"/>
      <c r="AR1928" s="87"/>
      <c r="AS1928" s="87"/>
      <c r="AT1928" s="87"/>
      <c r="AU1928" s="87">
        <v>7</v>
      </c>
      <c r="AV1928" s="87"/>
      <c r="AW1928" s="88" t="str">
        <f>HYPERLINK("http://www.openstreetmap.org/?mlat=36.7234&amp;mlon=43.2521&amp;zoom=12#map=12/36.7234/43.2521","Maplink1")</f>
        <v>Maplink1</v>
      </c>
      <c r="AX1928" s="88" t="str">
        <f>HYPERLINK("https://www.google.iq/maps/search/+36.7234,43.2521/@36.7234,43.2521,14z?hl=en","Maplink2")</f>
        <v>Maplink2</v>
      </c>
      <c r="AY1928" s="88" t="str">
        <f>HYPERLINK("http://www.bing.com/maps/?lvl=14&amp;sty=h&amp;cp=36.7234~43.2521&amp;sp=point.36.7234_43.2521","Maplink3")</f>
        <v>Maplink3</v>
      </c>
      <c r="AZ1928" s="76"/>
    </row>
    <row r="1929" spans="1:52" x14ac:dyDescent="0.25">
      <c r="A1929" s="86">
        <v>18294</v>
      </c>
      <c r="B1929" s="87" t="s">
        <v>24</v>
      </c>
      <c r="C1929" s="87" t="s">
        <v>3717</v>
      </c>
      <c r="D1929" s="87" t="s">
        <v>3724</v>
      </c>
      <c r="E1929" s="87" t="s">
        <v>3725</v>
      </c>
      <c r="F1929" s="87">
        <v>36.704415126400001</v>
      </c>
      <c r="G1929" s="87">
        <v>43.321157484399997</v>
      </c>
      <c r="H1929" s="86">
        <v>69</v>
      </c>
      <c r="I1929" s="86">
        <v>414</v>
      </c>
      <c r="J1929" s="87"/>
      <c r="K1929" s="87"/>
      <c r="L1929" s="87"/>
      <c r="M1929" s="87"/>
      <c r="N1929" s="87"/>
      <c r="O1929" s="87"/>
      <c r="P1929" s="87"/>
      <c r="Q1929" s="87"/>
      <c r="R1929" s="87"/>
      <c r="S1929" s="87"/>
      <c r="T1929" s="87"/>
      <c r="U1929" s="87"/>
      <c r="V1929" s="87">
        <v>69</v>
      </c>
      <c r="W1929" s="87"/>
      <c r="X1929" s="87"/>
      <c r="Y1929" s="87"/>
      <c r="Z1929" s="87"/>
      <c r="AA1929" s="87"/>
      <c r="AB1929" s="87"/>
      <c r="AC1929" s="87">
        <v>16</v>
      </c>
      <c r="AD1929" s="87"/>
      <c r="AE1929" s="87"/>
      <c r="AF1929" s="87"/>
      <c r="AG1929" s="87"/>
      <c r="AH1929" s="87">
        <v>1</v>
      </c>
      <c r="AI1929" s="87"/>
      <c r="AJ1929" s="87"/>
      <c r="AK1929" s="87">
        <v>52</v>
      </c>
      <c r="AL1929" s="87"/>
      <c r="AM1929" s="87"/>
      <c r="AN1929" s="87"/>
      <c r="AO1929" s="87"/>
      <c r="AP1929" s="87">
        <v>69</v>
      </c>
      <c r="AQ1929" s="87"/>
      <c r="AR1929" s="87"/>
      <c r="AS1929" s="87"/>
      <c r="AT1929" s="87"/>
      <c r="AU1929" s="87"/>
      <c r="AV1929" s="87"/>
      <c r="AW1929" s="88" t="str">
        <f>HYPERLINK("http://www.openstreetmap.org/?mlat=36.7044&amp;mlon=43.3212&amp;zoom=12#map=12/36.7044/43.3212","Maplink1")</f>
        <v>Maplink1</v>
      </c>
      <c r="AX1929" s="88" t="str">
        <f>HYPERLINK("https://www.google.iq/maps/search/+36.7044,43.3212/@36.7044,43.3212,14z?hl=en","Maplink2")</f>
        <v>Maplink2</v>
      </c>
      <c r="AY1929" s="88" t="str">
        <f>HYPERLINK("http://www.bing.com/maps/?lvl=14&amp;sty=h&amp;cp=36.7044~43.3212&amp;sp=point.36.7044_43.3212","Maplink3")</f>
        <v>Maplink3</v>
      </c>
      <c r="AZ1929" s="76"/>
    </row>
    <row r="1930" spans="1:52" x14ac:dyDescent="0.25">
      <c r="A1930" s="86">
        <v>18265</v>
      </c>
      <c r="B1930" s="87" t="s">
        <v>24</v>
      </c>
      <c r="C1930" s="87" t="s">
        <v>3717</v>
      </c>
      <c r="D1930" s="87" t="s">
        <v>3726</v>
      </c>
      <c r="E1930" s="87" t="s">
        <v>3727</v>
      </c>
      <c r="F1930" s="87">
        <v>36.650020043399998</v>
      </c>
      <c r="G1930" s="87">
        <v>43.381298436500003</v>
      </c>
      <c r="H1930" s="86">
        <v>22</v>
      </c>
      <c r="I1930" s="86">
        <v>132</v>
      </c>
      <c r="J1930" s="87"/>
      <c r="K1930" s="87"/>
      <c r="L1930" s="87"/>
      <c r="M1930" s="87"/>
      <c r="N1930" s="87"/>
      <c r="O1930" s="87"/>
      <c r="P1930" s="87"/>
      <c r="Q1930" s="87"/>
      <c r="R1930" s="87"/>
      <c r="S1930" s="87"/>
      <c r="T1930" s="87"/>
      <c r="U1930" s="87"/>
      <c r="V1930" s="87">
        <v>22</v>
      </c>
      <c r="W1930" s="87"/>
      <c r="X1930" s="87"/>
      <c r="Y1930" s="87"/>
      <c r="Z1930" s="87"/>
      <c r="AA1930" s="87"/>
      <c r="AB1930" s="87"/>
      <c r="AC1930" s="87">
        <v>1</v>
      </c>
      <c r="AD1930" s="87"/>
      <c r="AE1930" s="87"/>
      <c r="AF1930" s="87"/>
      <c r="AG1930" s="87"/>
      <c r="AH1930" s="87"/>
      <c r="AI1930" s="87"/>
      <c r="AJ1930" s="87"/>
      <c r="AK1930" s="87">
        <v>21</v>
      </c>
      <c r="AL1930" s="87"/>
      <c r="AM1930" s="87"/>
      <c r="AN1930" s="87"/>
      <c r="AO1930" s="87"/>
      <c r="AP1930" s="87">
        <v>22</v>
      </c>
      <c r="AQ1930" s="87"/>
      <c r="AR1930" s="87"/>
      <c r="AS1930" s="87"/>
      <c r="AT1930" s="87"/>
      <c r="AU1930" s="87"/>
      <c r="AV1930" s="87"/>
      <c r="AW1930" s="88" t="str">
        <f>HYPERLINK("http://www.openstreetmap.org/?mlat=36.65&amp;mlon=43.3813&amp;zoom=12#map=12/36.65/43.3813","Maplink1")</f>
        <v>Maplink1</v>
      </c>
      <c r="AX1930" s="88" t="str">
        <f>HYPERLINK("https://www.google.iq/maps/search/+36.65,43.3813/@36.65,43.3813,14z?hl=en","Maplink2")</f>
        <v>Maplink2</v>
      </c>
      <c r="AY1930" s="88" t="str">
        <f>HYPERLINK("http://www.bing.com/maps/?lvl=14&amp;sty=h&amp;cp=36.65~43.3813&amp;sp=point.36.65_43.3813","Maplink3")</f>
        <v>Maplink3</v>
      </c>
      <c r="AZ1930" s="76"/>
    </row>
    <row r="1931" spans="1:52" x14ac:dyDescent="0.25">
      <c r="A1931" s="86">
        <v>21008</v>
      </c>
      <c r="B1931" s="87" t="s">
        <v>24</v>
      </c>
      <c r="C1931" s="87" t="s">
        <v>3717</v>
      </c>
      <c r="D1931" s="87" t="s">
        <v>3728</v>
      </c>
      <c r="E1931" s="87" t="s">
        <v>3729</v>
      </c>
      <c r="F1931" s="87">
        <v>36.640665069199997</v>
      </c>
      <c r="G1931" s="87">
        <v>43.524863528099999</v>
      </c>
      <c r="H1931" s="86">
        <v>183</v>
      </c>
      <c r="I1931" s="86">
        <v>1098</v>
      </c>
      <c r="J1931" s="87">
        <v>1</v>
      </c>
      <c r="K1931" s="87"/>
      <c r="L1931" s="87"/>
      <c r="M1931" s="87"/>
      <c r="N1931" s="87"/>
      <c r="O1931" s="87"/>
      <c r="P1931" s="87"/>
      <c r="Q1931" s="87"/>
      <c r="R1931" s="87"/>
      <c r="S1931" s="87"/>
      <c r="T1931" s="87"/>
      <c r="U1931" s="87"/>
      <c r="V1931" s="87">
        <v>182</v>
      </c>
      <c r="W1931" s="87"/>
      <c r="X1931" s="87"/>
      <c r="Y1931" s="87"/>
      <c r="Z1931" s="87"/>
      <c r="AA1931" s="87"/>
      <c r="AB1931" s="87"/>
      <c r="AC1931" s="87">
        <v>58</v>
      </c>
      <c r="AD1931" s="87"/>
      <c r="AE1931" s="87"/>
      <c r="AF1931" s="87"/>
      <c r="AG1931" s="87"/>
      <c r="AH1931" s="87">
        <v>103</v>
      </c>
      <c r="AI1931" s="87"/>
      <c r="AJ1931" s="87"/>
      <c r="AK1931" s="87">
        <v>3</v>
      </c>
      <c r="AL1931" s="87">
        <v>19</v>
      </c>
      <c r="AM1931" s="87"/>
      <c r="AN1931" s="87">
        <v>1</v>
      </c>
      <c r="AO1931" s="87">
        <v>117</v>
      </c>
      <c r="AP1931" s="87">
        <v>65</v>
      </c>
      <c r="AQ1931" s="87"/>
      <c r="AR1931" s="87"/>
      <c r="AS1931" s="87"/>
      <c r="AT1931" s="87"/>
      <c r="AU1931" s="87"/>
      <c r="AV1931" s="87"/>
      <c r="AW1931" s="88" t="str">
        <f>HYPERLINK("http://www.openstreetmap.org/?mlat=36.6407&amp;mlon=43.5249&amp;zoom=12#map=12/36.6407/43.5249","Maplink1")</f>
        <v>Maplink1</v>
      </c>
      <c r="AX1931" s="88" t="str">
        <f>HYPERLINK("https://www.google.iq/maps/search/+36.6407,43.5249/@36.6407,43.5249,14z?hl=en","Maplink2")</f>
        <v>Maplink2</v>
      </c>
      <c r="AY1931" s="88" t="str">
        <f>HYPERLINK("http://www.bing.com/maps/?lvl=14&amp;sty=h&amp;cp=36.6407~43.5249&amp;sp=point.36.6407_43.5249","Maplink3")</f>
        <v>Maplink3</v>
      </c>
      <c r="AZ1931" s="76"/>
    </row>
    <row r="1932" spans="1:52" x14ac:dyDescent="0.25">
      <c r="A1932" s="86">
        <v>18246</v>
      </c>
      <c r="B1932" s="87" t="s">
        <v>24</v>
      </c>
      <c r="C1932" s="87" t="s">
        <v>3717</v>
      </c>
      <c r="D1932" s="87" t="s">
        <v>3730</v>
      </c>
      <c r="E1932" s="87" t="s">
        <v>3731</v>
      </c>
      <c r="F1932" s="87">
        <v>36.660635172100001</v>
      </c>
      <c r="G1932" s="87">
        <v>43.301753225200002</v>
      </c>
      <c r="H1932" s="86">
        <v>2</v>
      </c>
      <c r="I1932" s="86">
        <v>12</v>
      </c>
      <c r="J1932" s="87"/>
      <c r="K1932" s="87"/>
      <c r="L1932" s="87"/>
      <c r="M1932" s="87"/>
      <c r="N1932" s="87"/>
      <c r="O1932" s="87"/>
      <c r="P1932" s="87"/>
      <c r="Q1932" s="87"/>
      <c r="R1932" s="87"/>
      <c r="S1932" s="87"/>
      <c r="T1932" s="87"/>
      <c r="U1932" s="87"/>
      <c r="V1932" s="87">
        <v>2</v>
      </c>
      <c r="W1932" s="87"/>
      <c r="X1932" s="87"/>
      <c r="Y1932" s="87"/>
      <c r="Z1932" s="87"/>
      <c r="AA1932" s="87"/>
      <c r="AB1932" s="87"/>
      <c r="AC1932" s="87">
        <v>2</v>
      </c>
      <c r="AD1932" s="87"/>
      <c r="AE1932" s="87"/>
      <c r="AF1932" s="87"/>
      <c r="AG1932" s="87"/>
      <c r="AH1932" s="87"/>
      <c r="AI1932" s="87"/>
      <c r="AJ1932" s="87"/>
      <c r="AK1932" s="87"/>
      <c r="AL1932" s="87"/>
      <c r="AM1932" s="87"/>
      <c r="AN1932" s="87"/>
      <c r="AO1932" s="87"/>
      <c r="AP1932" s="87">
        <v>2</v>
      </c>
      <c r="AQ1932" s="87"/>
      <c r="AR1932" s="87"/>
      <c r="AS1932" s="87"/>
      <c r="AT1932" s="87"/>
      <c r="AU1932" s="87"/>
      <c r="AV1932" s="87"/>
      <c r="AW1932" s="88" t="str">
        <f>HYPERLINK("http://www.openstreetmap.org/?mlat=36.6606&amp;mlon=43.3018&amp;zoom=12#map=12/36.6606/43.3018","Maplink1")</f>
        <v>Maplink1</v>
      </c>
      <c r="AX1932" s="88" t="str">
        <f>HYPERLINK("https://www.google.iq/maps/search/+36.6606,43.3018/@36.6606,43.3018,14z?hl=en","Maplink2")</f>
        <v>Maplink2</v>
      </c>
      <c r="AY1932" s="88" t="str">
        <f>HYPERLINK("http://www.bing.com/maps/?lvl=14&amp;sty=h&amp;cp=36.6606~43.3018&amp;sp=point.36.6606_43.3018","Maplink3")</f>
        <v>Maplink3</v>
      </c>
      <c r="AZ1932" s="76"/>
    </row>
    <row r="1933" spans="1:52" x14ac:dyDescent="0.25">
      <c r="A1933" s="86">
        <v>25945</v>
      </c>
      <c r="B1933" s="87" t="s">
        <v>24</v>
      </c>
      <c r="C1933" s="87" t="s">
        <v>3717</v>
      </c>
      <c r="D1933" s="87" t="s">
        <v>3732</v>
      </c>
      <c r="E1933" s="87" t="s">
        <v>3733</v>
      </c>
      <c r="F1933" s="87">
        <v>36.714843601799998</v>
      </c>
      <c r="G1933" s="87">
        <v>43.294486213200003</v>
      </c>
      <c r="H1933" s="86">
        <v>128</v>
      </c>
      <c r="I1933" s="86">
        <v>768</v>
      </c>
      <c r="J1933" s="87"/>
      <c r="K1933" s="87"/>
      <c r="L1933" s="87"/>
      <c r="M1933" s="87"/>
      <c r="N1933" s="87"/>
      <c r="O1933" s="87"/>
      <c r="P1933" s="87"/>
      <c r="Q1933" s="87"/>
      <c r="R1933" s="87"/>
      <c r="S1933" s="87"/>
      <c r="T1933" s="87"/>
      <c r="U1933" s="87"/>
      <c r="V1933" s="87">
        <v>128</v>
      </c>
      <c r="W1933" s="87"/>
      <c r="X1933" s="87"/>
      <c r="Y1933" s="87"/>
      <c r="Z1933" s="87"/>
      <c r="AA1933" s="87"/>
      <c r="AB1933" s="87"/>
      <c r="AC1933" s="87">
        <v>33</v>
      </c>
      <c r="AD1933" s="87"/>
      <c r="AE1933" s="87"/>
      <c r="AF1933" s="87"/>
      <c r="AG1933" s="87"/>
      <c r="AH1933" s="87">
        <v>5</v>
      </c>
      <c r="AI1933" s="87"/>
      <c r="AJ1933" s="87"/>
      <c r="AK1933" s="87">
        <v>90</v>
      </c>
      <c r="AL1933" s="87"/>
      <c r="AM1933" s="87"/>
      <c r="AN1933" s="87"/>
      <c r="AO1933" s="87"/>
      <c r="AP1933" s="87">
        <v>128</v>
      </c>
      <c r="AQ1933" s="87"/>
      <c r="AR1933" s="87"/>
      <c r="AS1933" s="87"/>
      <c r="AT1933" s="87"/>
      <c r="AU1933" s="87"/>
      <c r="AV1933" s="87"/>
      <c r="AW1933" s="88" t="str">
        <f>HYPERLINK("http://www.openstreetmap.org/?mlat=36.7148&amp;mlon=43.2945&amp;zoom=12#map=12/36.7148/43.2945","Maplink1")</f>
        <v>Maplink1</v>
      </c>
      <c r="AX1933" s="88" t="str">
        <f>HYPERLINK("https://www.google.iq/maps/search/+36.7148,43.2945/@36.7148,43.2945,14z?hl=en","Maplink2")</f>
        <v>Maplink2</v>
      </c>
      <c r="AY1933" s="88" t="str">
        <f>HYPERLINK("http://www.bing.com/maps/?lvl=14&amp;sty=h&amp;cp=36.7148~43.2945&amp;sp=point.36.7148_43.2945","Maplink3")</f>
        <v>Maplink3</v>
      </c>
      <c r="AZ1933" s="76"/>
    </row>
    <row r="1934" spans="1:52" x14ac:dyDescent="0.25">
      <c r="A1934" s="86">
        <v>24796</v>
      </c>
      <c r="B1934" s="87" t="s">
        <v>24</v>
      </c>
      <c r="C1934" s="87" t="s">
        <v>3717</v>
      </c>
      <c r="D1934" s="87" t="s">
        <v>3734</v>
      </c>
      <c r="E1934" s="87" t="s">
        <v>3735</v>
      </c>
      <c r="F1934" s="87">
        <v>36.722407823099999</v>
      </c>
      <c r="G1934" s="87">
        <v>43.267286379700003</v>
      </c>
      <c r="H1934" s="86">
        <v>2739</v>
      </c>
      <c r="I1934" s="86">
        <v>16434</v>
      </c>
      <c r="J1934" s="87"/>
      <c r="K1934" s="87"/>
      <c r="L1934" s="87"/>
      <c r="M1934" s="87"/>
      <c r="N1934" s="87"/>
      <c r="O1934" s="87"/>
      <c r="P1934" s="87"/>
      <c r="Q1934" s="87"/>
      <c r="R1934" s="87"/>
      <c r="S1934" s="87"/>
      <c r="T1934" s="87"/>
      <c r="U1934" s="87"/>
      <c r="V1934" s="87">
        <v>2739</v>
      </c>
      <c r="W1934" s="87"/>
      <c r="X1934" s="87"/>
      <c r="Y1934" s="87"/>
      <c r="Z1934" s="87"/>
      <c r="AA1934" s="87"/>
      <c r="AB1934" s="87">
        <v>2739</v>
      </c>
      <c r="AC1934" s="87"/>
      <c r="AD1934" s="87"/>
      <c r="AE1934" s="87"/>
      <c r="AF1934" s="87"/>
      <c r="AG1934" s="87"/>
      <c r="AH1934" s="87"/>
      <c r="AI1934" s="87"/>
      <c r="AJ1934" s="87"/>
      <c r="AK1934" s="87"/>
      <c r="AL1934" s="87"/>
      <c r="AM1934" s="87"/>
      <c r="AN1934" s="87"/>
      <c r="AO1934" s="87"/>
      <c r="AP1934" s="87">
        <v>2719</v>
      </c>
      <c r="AQ1934" s="87"/>
      <c r="AR1934" s="87"/>
      <c r="AS1934" s="87"/>
      <c r="AT1934" s="87"/>
      <c r="AU1934" s="87">
        <v>20</v>
      </c>
      <c r="AV1934" s="87"/>
      <c r="AW1934" s="88" t="str">
        <f>HYPERLINK("http://www.openstreetmap.org/?mlat=36.7224&amp;mlon=43.2673&amp;zoom=12#map=12/36.7224/43.2673","Maplink1")</f>
        <v>Maplink1</v>
      </c>
      <c r="AX1934" s="88" t="str">
        <f>HYPERLINK("https://www.google.iq/maps/search/+36.7224,43.2673/@36.7224,43.2673,14z?hl=en","Maplink2")</f>
        <v>Maplink2</v>
      </c>
      <c r="AY1934" s="88" t="str">
        <f>HYPERLINK("http://www.bing.com/maps/?lvl=14&amp;sty=h&amp;cp=36.7224~43.2673&amp;sp=point.36.7224_43.2673","Maplink3")</f>
        <v>Maplink3</v>
      </c>
      <c r="AZ1934" s="76"/>
    </row>
    <row r="1935" spans="1:52" x14ac:dyDescent="0.25">
      <c r="A1935" s="86">
        <v>18058</v>
      </c>
      <c r="B1935" s="87" t="s">
        <v>24</v>
      </c>
      <c r="C1935" s="87" t="s">
        <v>3717</v>
      </c>
      <c r="D1935" s="87" t="s">
        <v>3736</v>
      </c>
      <c r="E1935" s="87" t="s">
        <v>3737</v>
      </c>
      <c r="F1935" s="87">
        <v>36.588096791200002</v>
      </c>
      <c r="G1935" s="87">
        <v>43.526276012399997</v>
      </c>
      <c r="H1935" s="86">
        <v>274</v>
      </c>
      <c r="I1935" s="86">
        <v>1644</v>
      </c>
      <c r="J1935" s="87"/>
      <c r="K1935" s="87"/>
      <c r="L1935" s="87"/>
      <c r="M1935" s="87"/>
      <c r="N1935" s="87"/>
      <c r="O1935" s="87"/>
      <c r="P1935" s="87"/>
      <c r="Q1935" s="87"/>
      <c r="R1935" s="87"/>
      <c r="S1935" s="87"/>
      <c r="T1935" s="87"/>
      <c r="U1935" s="87"/>
      <c r="V1935" s="87">
        <v>274</v>
      </c>
      <c r="W1935" s="87"/>
      <c r="X1935" s="87"/>
      <c r="Y1935" s="87"/>
      <c r="Z1935" s="87"/>
      <c r="AA1935" s="87"/>
      <c r="AB1935" s="87"/>
      <c r="AC1935" s="87">
        <v>30</v>
      </c>
      <c r="AD1935" s="87"/>
      <c r="AE1935" s="87"/>
      <c r="AF1935" s="87"/>
      <c r="AG1935" s="87"/>
      <c r="AH1935" s="87">
        <v>244</v>
      </c>
      <c r="AI1935" s="87"/>
      <c r="AJ1935" s="87"/>
      <c r="AK1935" s="87"/>
      <c r="AL1935" s="87"/>
      <c r="AM1935" s="87"/>
      <c r="AN1935" s="87"/>
      <c r="AO1935" s="87">
        <v>230</v>
      </c>
      <c r="AP1935" s="87">
        <v>43</v>
      </c>
      <c r="AQ1935" s="87"/>
      <c r="AR1935" s="87"/>
      <c r="AS1935" s="87"/>
      <c r="AT1935" s="87"/>
      <c r="AU1935" s="87">
        <v>1</v>
      </c>
      <c r="AV1935" s="87"/>
      <c r="AW1935" s="88" t="str">
        <f>HYPERLINK("http://www.openstreetmap.org/?mlat=36.5881&amp;mlon=43.5263&amp;zoom=12#map=12/36.5881/43.5263","Maplink1")</f>
        <v>Maplink1</v>
      </c>
      <c r="AX1935" s="88" t="str">
        <f>HYPERLINK("https://www.google.iq/maps/search/+36.5881,43.5263/@36.5881,43.5263,14z?hl=en","Maplink2")</f>
        <v>Maplink2</v>
      </c>
      <c r="AY1935" s="88" t="str">
        <f>HYPERLINK("http://www.bing.com/maps/?lvl=14&amp;sty=h&amp;cp=36.5881~43.5263&amp;sp=point.36.5881_43.5263","Maplink3")</f>
        <v>Maplink3</v>
      </c>
      <c r="AZ1935" s="76"/>
    </row>
    <row r="1936" spans="1:52" x14ac:dyDescent="0.25">
      <c r="A1936" s="86">
        <v>18213</v>
      </c>
      <c r="B1936" s="87" t="s">
        <v>24</v>
      </c>
      <c r="C1936" s="87" t="s">
        <v>3717</v>
      </c>
      <c r="D1936" s="87" t="s">
        <v>3738</v>
      </c>
      <c r="E1936" s="87" t="s">
        <v>3739</v>
      </c>
      <c r="F1936" s="87">
        <v>36.772176060500001</v>
      </c>
      <c r="G1936" s="87">
        <v>43.304198970800002</v>
      </c>
      <c r="H1936" s="86">
        <v>5</v>
      </c>
      <c r="I1936" s="86">
        <v>30</v>
      </c>
      <c r="J1936" s="87"/>
      <c r="K1936" s="87"/>
      <c r="L1936" s="87"/>
      <c r="M1936" s="87"/>
      <c r="N1936" s="87"/>
      <c r="O1936" s="87"/>
      <c r="P1936" s="87"/>
      <c r="Q1936" s="87"/>
      <c r="R1936" s="87"/>
      <c r="S1936" s="87"/>
      <c r="T1936" s="87"/>
      <c r="U1936" s="87"/>
      <c r="V1936" s="87">
        <v>5</v>
      </c>
      <c r="W1936" s="87"/>
      <c r="X1936" s="87"/>
      <c r="Y1936" s="87"/>
      <c r="Z1936" s="87"/>
      <c r="AA1936" s="87"/>
      <c r="AB1936" s="87"/>
      <c r="AC1936" s="87"/>
      <c r="AD1936" s="87"/>
      <c r="AE1936" s="87"/>
      <c r="AF1936" s="87"/>
      <c r="AG1936" s="87">
        <v>5</v>
      </c>
      <c r="AH1936" s="87"/>
      <c r="AI1936" s="87"/>
      <c r="AJ1936" s="87"/>
      <c r="AK1936" s="87"/>
      <c r="AL1936" s="87"/>
      <c r="AM1936" s="87"/>
      <c r="AN1936" s="87"/>
      <c r="AO1936" s="87"/>
      <c r="AP1936" s="87">
        <v>5</v>
      </c>
      <c r="AQ1936" s="87"/>
      <c r="AR1936" s="87"/>
      <c r="AS1936" s="87"/>
      <c r="AT1936" s="87"/>
      <c r="AU1936" s="87"/>
      <c r="AV1936" s="87"/>
      <c r="AW1936" s="88" t="str">
        <f>HYPERLINK("http://www.openstreetmap.org/?mlat=36.7722&amp;mlon=43.3042&amp;zoom=12#map=12/36.7722/43.3042","Maplink1")</f>
        <v>Maplink1</v>
      </c>
      <c r="AX1936" s="88" t="str">
        <f>HYPERLINK("https://www.google.iq/maps/search/+36.7722,43.3042/@36.7722,43.3042,14z?hl=en","Maplink2")</f>
        <v>Maplink2</v>
      </c>
      <c r="AY1936" s="88" t="str">
        <f>HYPERLINK("http://www.bing.com/maps/?lvl=14&amp;sty=h&amp;cp=36.7722~43.3042&amp;sp=point.36.7722_43.3042","Maplink3")</f>
        <v>Maplink3</v>
      </c>
      <c r="AZ1936" s="76"/>
    </row>
    <row r="1937" spans="1:52" x14ac:dyDescent="0.25">
      <c r="A1937" s="86">
        <v>17535</v>
      </c>
      <c r="B1937" s="87" t="s">
        <v>24</v>
      </c>
      <c r="C1937" s="87" t="s">
        <v>3717</v>
      </c>
      <c r="D1937" s="87" t="s">
        <v>3740</v>
      </c>
      <c r="E1937" s="87" t="s">
        <v>3741</v>
      </c>
      <c r="F1937" s="87">
        <v>36.646669615900002</v>
      </c>
      <c r="G1937" s="87">
        <v>43.414726434999999</v>
      </c>
      <c r="H1937" s="86">
        <v>235</v>
      </c>
      <c r="I1937" s="86">
        <v>1410</v>
      </c>
      <c r="J1937" s="87"/>
      <c r="K1937" s="87"/>
      <c r="L1937" s="87"/>
      <c r="M1937" s="87"/>
      <c r="N1937" s="87"/>
      <c r="O1937" s="87"/>
      <c r="P1937" s="87"/>
      <c r="Q1937" s="87"/>
      <c r="R1937" s="87"/>
      <c r="S1937" s="87"/>
      <c r="T1937" s="87"/>
      <c r="U1937" s="87"/>
      <c r="V1937" s="87">
        <v>235</v>
      </c>
      <c r="W1937" s="87"/>
      <c r="X1937" s="87"/>
      <c r="Y1937" s="87"/>
      <c r="Z1937" s="87"/>
      <c r="AA1937" s="87"/>
      <c r="AB1937" s="87"/>
      <c r="AC1937" s="87">
        <v>142</v>
      </c>
      <c r="AD1937" s="87"/>
      <c r="AE1937" s="87"/>
      <c r="AF1937" s="87"/>
      <c r="AG1937" s="87"/>
      <c r="AH1937" s="87">
        <v>17</v>
      </c>
      <c r="AI1937" s="87"/>
      <c r="AJ1937" s="87"/>
      <c r="AK1937" s="87">
        <v>76</v>
      </c>
      <c r="AL1937" s="87"/>
      <c r="AM1937" s="87"/>
      <c r="AN1937" s="87"/>
      <c r="AO1937" s="87"/>
      <c r="AP1937" s="87">
        <v>235</v>
      </c>
      <c r="AQ1937" s="87"/>
      <c r="AR1937" s="87"/>
      <c r="AS1937" s="87"/>
      <c r="AT1937" s="87"/>
      <c r="AU1937" s="87"/>
      <c r="AV1937" s="87"/>
      <c r="AW1937" s="88" t="str">
        <f>HYPERLINK("http://www.openstreetmap.org/?mlat=36.6467&amp;mlon=43.4147&amp;zoom=12#map=12/36.6467/43.4147","Maplink1")</f>
        <v>Maplink1</v>
      </c>
      <c r="AX1937" s="88" t="str">
        <f>HYPERLINK("https://www.google.iq/maps/search/+36.6467,43.4147/@36.6467,43.4147,14z?hl=en","Maplink2")</f>
        <v>Maplink2</v>
      </c>
      <c r="AY1937" s="88" t="str">
        <f>HYPERLINK("http://www.bing.com/maps/?lvl=14&amp;sty=h&amp;cp=36.6467~43.4147&amp;sp=point.36.6467_43.4147","Maplink3")</f>
        <v>Maplink3</v>
      </c>
      <c r="AZ1937" s="76"/>
    </row>
    <row r="1938" spans="1:52" x14ac:dyDescent="0.25">
      <c r="A1938" s="86">
        <v>17532</v>
      </c>
      <c r="B1938" s="87" t="s">
        <v>24</v>
      </c>
      <c r="C1938" s="87" t="s">
        <v>3717</v>
      </c>
      <c r="D1938" s="87" t="s">
        <v>3742</v>
      </c>
      <c r="E1938" s="87" t="s">
        <v>3743</v>
      </c>
      <c r="F1938" s="87">
        <v>36.666266191200002</v>
      </c>
      <c r="G1938" s="87">
        <v>43.424491633700001</v>
      </c>
      <c r="H1938" s="86">
        <v>18</v>
      </c>
      <c r="I1938" s="86">
        <v>108</v>
      </c>
      <c r="J1938" s="87"/>
      <c r="K1938" s="87"/>
      <c r="L1938" s="87"/>
      <c r="M1938" s="87"/>
      <c r="N1938" s="87"/>
      <c r="O1938" s="87"/>
      <c r="P1938" s="87"/>
      <c r="Q1938" s="87"/>
      <c r="R1938" s="87"/>
      <c r="S1938" s="87"/>
      <c r="T1938" s="87"/>
      <c r="U1938" s="87"/>
      <c r="V1938" s="87">
        <v>18</v>
      </c>
      <c r="W1938" s="87"/>
      <c r="X1938" s="87"/>
      <c r="Y1938" s="87"/>
      <c r="Z1938" s="87"/>
      <c r="AA1938" s="87"/>
      <c r="AB1938" s="87"/>
      <c r="AC1938" s="87">
        <v>5</v>
      </c>
      <c r="AD1938" s="87"/>
      <c r="AE1938" s="87"/>
      <c r="AF1938" s="87"/>
      <c r="AG1938" s="87"/>
      <c r="AH1938" s="87"/>
      <c r="AI1938" s="87"/>
      <c r="AJ1938" s="87"/>
      <c r="AK1938" s="87">
        <v>13</v>
      </c>
      <c r="AL1938" s="87"/>
      <c r="AM1938" s="87"/>
      <c r="AN1938" s="87"/>
      <c r="AO1938" s="87"/>
      <c r="AP1938" s="87">
        <v>18</v>
      </c>
      <c r="AQ1938" s="87"/>
      <c r="AR1938" s="87"/>
      <c r="AS1938" s="87"/>
      <c r="AT1938" s="87"/>
      <c r="AU1938" s="87"/>
      <c r="AV1938" s="87"/>
      <c r="AW1938" s="88" t="str">
        <f>HYPERLINK("http://www.openstreetmap.org/?mlat=36.6663&amp;mlon=43.4245&amp;zoom=12#map=12/36.6663/43.4245","Maplink1")</f>
        <v>Maplink1</v>
      </c>
      <c r="AX1938" s="88" t="str">
        <f>HYPERLINK("https://www.google.iq/maps/search/+36.6663,43.4245/@36.6663,43.4245,14z?hl=en","Maplink2")</f>
        <v>Maplink2</v>
      </c>
      <c r="AY1938" s="88" t="str">
        <f>HYPERLINK("http://www.bing.com/maps/?lvl=14&amp;sty=h&amp;cp=36.6663~43.4245&amp;sp=point.36.6663_43.4245","Maplink3")</f>
        <v>Maplink3</v>
      </c>
      <c r="AZ1938" s="76"/>
    </row>
    <row r="1939" spans="1:52" x14ac:dyDescent="0.25">
      <c r="A1939" s="86">
        <v>27230</v>
      </c>
      <c r="B1939" s="87" t="s">
        <v>24</v>
      </c>
      <c r="C1939" s="87" t="s">
        <v>3717</v>
      </c>
      <c r="D1939" s="87" t="s">
        <v>3744</v>
      </c>
      <c r="E1939" s="87" t="s">
        <v>3745</v>
      </c>
      <c r="F1939" s="87">
        <v>36.671295965200002</v>
      </c>
      <c r="G1939" s="87">
        <v>43.435032932799999</v>
      </c>
      <c r="H1939" s="86">
        <v>1742</v>
      </c>
      <c r="I1939" s="86">
        <v>10452</v>
      </c>
      <c r="J1939" s="87"/>
      <c r="K1939" s="87"/>
      <c r="L1939" s="87"/>
      <c r="M1939" s="87"/>
      <c r="N1939" s="87"/>
      <c r="O1939" s="87"/>
      <c r="P1939" s="87"/>
      <c r="Q1939" s="87"/>
      <c r="R1939" s="87"/>
      <c r="S1939" s="87"/>
      <c r="T1939" s="87"/>
      <c r="U1939" s="87"/>
      <c r="V1939" s="87">
        <v>1742</v>
      </c>
      <c r="W1939" s="87"/>
      <c r="X1939" s="87"/>
      <c r="Y1939" s="87"/>
      <c r="Z1939" s="87"/>
      <c r="AA1939" s="87"/>
      <c r="AB1939" s="87">
        <v>1742</v>
      </c>
      <c r="AC1939" s="87"/>
      <c r="AD1939" s="87"/>
      <c r="AE1939" s="87"/>
      <c r="AF1939" s="87"/>
      <c r="AG1939" s="87"/>
      <c r="AH1939" s="87"/>
      <c r="AI1939" s="87"/>
      <c r="AJ1939" s="87"/>
      <c r="AK1939" s="87"/>
      <c r="AL1939" s="87"/>
      <c r="AM1939" s="87"/>
      <c r="AN1939" s="87"/>
      <c r="AO1939" s="87"/>
      <c r="AP1939" s="87">
        <v>1742</v>
      </c>
      <c r="AQ1939" s="87"/>
      <c r="AR1939" s="87"/>
      <c r="AS1939" s="87"/>
      <c r="AT1939" s="87"/>
      <c r="AU1939" s="87"/>
      <c r="AV1939" s="87"/>
      <c r="AW1939" s="88" t="str">
        <f>HYPERLINK("http://www.openstreetmap.org/?mlat=36.6713&amp;mlon=43.435&amp;zoom=12#map=12/36.6713/43.435","Maplink1")</f>
        <v>Maplink1</v>
      </c>
      <c r="AX1939" s="88" t="str">
        <f>HYPERLINK("https://www.google.iq/maps/search/+36.6713,43.435/@36.6713,43.435,14z?hl=en","Maplink2")</f>
        <v>Maplink2</v>
      </c>
      <c r="AY1939" s="88" t="str">
        <f>HYPERLINK("http://www.bing.com/maps/?lvl=14&amp;sty=h&amp;cp=36.6713~43.435&amp;sp=point.36.6713_43.435","Maplink3")</f>
        <v>Maplink3</v>
      </c>
      <c r="AZ1939" s="76"/>
    </row>
    <row r="1940" spans="1:52" x14ac:dyDescent="0.25">
      <c r="A1940" s="86">
        <v>16949</v>
      </c>
      <c r="B1940" s="87" t="s">
        <v>24</v>
      </c>
      <c r="C1940" s="87" t="s">
        <v>3717</v>
      </c>
      <c r="D1940" s="87" t="s">
        <v>3746</v>
      </c>
      <c r="E1940" s="87" t="s">
        <v>3747</v>
      </c>
      <c r="F1940" s="87">
        <v>36.805776100999999</v>
      </c>
      <c r="G1940" s="87">
        <v>43.512640046199998</v>
      </c>
      <c r="H1940" s="86">
        <v>7</v>
      </c>
      <c r="I1940" s="86">
        <v>42</v>
      </c>
      <c r="J1940" s="87"/>
      <c r="K1940" s="87"/>
      <c r="L1940" s="87"/>
      <c r="M1940" s="87"/>
      <c r="N1940" s="87"/>
      <c r="O1940" s="87"/>
      <c r="P1940" s="87"/>
      <c r="Q1940" s="87"/>
      <c r="R1940" s="87"/>
      <c r="S1940" s="87"/>
      <c r="T1940" s="87"/>
      <c r="U1940" s="87"/>
      <c r="V1940" s="87">
        <v>7</v>
      </c>
      <c r="W1940" s="87"/>
      <c r="X1940" s="87"/>
      <c r="Y1940" s="87"/>
      <c r="Z1940" s="87"/>
      <c r="AA1940" s="87"/>
      <c r="AB1940" s="87"/>
      <c r="AC1940" s="87">
        <v>7</v>
      </c>
      <c r="AD1940" s="87"/>
      <c r="AE1940" s="87"/>
      <c r="AF1940" s="87"/>
      <c r="AG1940" s="87"/>
      <c r="AH1940" s="87"/>
      <c r="AI1940" s="87"/>
      <c r="AJ1940" s="87"/>
      <c r="AK1940" s="87"/>
      <c r="AL1940" s="87"/>
      <c r="AM1940" s="87"/>
      <c r="AN1940" s="87"/>
      <c r="AO1940" s="87"/>
      <c r="AP1940" s="87">
        <v>7</v>
      </c>
      <c r="AQ1940" s="87"/>
      <c r="AR1940" s="87"/>
      <c r="AS1940" s="87"/>
      <c r="AT1940" s="87"/>
      <c r="AU1940" s="87"/>
      <c r="AV1940" s="87"/>
      <c r="AW1940" s="88" t="str">
        <f>HYPERLINK("http://www.openstreetmap.org/?mlat=36.8058&amp;mlon=43.5126&amp;zoom=12#map=12/36.8058/43.5126","Maplink1")</f>
        <v>Maplink1</v>
      </c>
      <c r="AX1940" s="88" t="str">
        <f>HYPERLINK("https://www.google.iq/maps/search/+36.8058,43.5126/@36.8058,43.5126,14z?hl=en","Maplink2")</f>
        <v>Maplink2</v>
      </c>
      <c r="AY1940" s="88" t="str">
        <f>HYPERLINK("http://www.bing.com/maps/?lvl=14&amp;sty=h&amp;cp=36.8058~43.5126&amp;sp=point.36.8058_43.5126","Maplink3")</f>
        <v>Maplink3</v>
      </c>
      <c r="AZ1940" s="76"/>
    </row>
    <row r="1941" spans="1:52" x14ac:dyDescent="0.25">
      <c r="A1941" s="86">
        <v>18205</v>
      </c>
      <c r="B1941" s="87" t="s">
        <v>24</v>
      </c>
      <c r="C1941" s="87" t="s">
        <v>3717</v>
      </c>
      <c r="D1941" s="87" t="s">
        <v>3748</v>
      </c>
      <c r="E1941" s="87" t="s">
        <v>3749</v>
      </c>
      <c r="F1941" s="87">
        <v>36.603313461600003</v>
      </c>
      <c r="G1941" s="87">
        <v>43.502047063699997</v>
      </c>
      <c r="H1941" s="86">
        <v>1</v>
      </c>
      <c r="I1941" s="86">
        <v>6</v>
      </c>
      <c r="J1941" s="87"/>
      <c r="K1941" s="87"/>
      <c r="L1941" s="87"/>
      <c r="M1941" s="87"/>
      <c r="N1941" s="87"/>
      <c r="O1941" s="87"/>
      <c r="P1941" s="87"/>
      <c r="Q1941" s="87"/>
      <c r="R1941" s="87"/>
      <c r="S1941" s="87"/>
      <c r="T1941" s="87"/>
      <c r="U1941" s="87"/>
      <c r="V1941" s="87">
        <v>1</v>
      </c>
      <c r="W1941" s="87"/>
      <c r="X1941" s="87"/>
      <c r="Y1941" s="87"/>
      <c r="Z1941" s="87"/>
      <c r="AA1941" s="87"/>
      <c r="AB1941" s="87"/>
      <c r="AC1941" s="87"/>
      <c r="AD1941" s="87"/>
      <c r="AE1941" s="87"/>
      <c r="AF1941" s="87"/>
      <c r="AG1941" s="87"/>
      <c r="AH1941" s="87">
        <v>1</v>
      </c>
      <c r="AI1941" s="87"/>
      <c r="AJ1941" s="87"/>
      <c r="AK1941" s="87"/>
      <c r="AL1941" s="87"/>
      <c r="AM1941" s="87"/>
      <c r="AN1941" s="87"/>
      <c r="AO1941" s="87">
        <v>1</v>
      </c>
      <c r="AP1941" s="87"/>
      <c r="AQ1941" s="87"/>
      <c r="AR1941" s="87"/>
      <c r="AS1941" s="87"/>
      <c r="AT1941" s="87"/>
      <c r="AU1941" s="87"/>
      <c r="AV1941" s="87"/>
      <c r="AW1941" s="88" t="str">
        <f>HYPERLINK("http://www.openstreetmap.org/?mlat=36.6033&amp;mlon=43.502&amp;zoom=12#map=12/36.6033/43.502","Maplink1")</f>
        <v>Maplink1</v>
      </c>
      <c r="AX1941" s="88" t="str">
        <f>HYPERLINK("https://www.google.iq/maps/search/+36.6033,43.502/@36.6033,43.502,14z?hl=en","Maplink2")</f>
        <v>Maplink2</v>
      </c>
      <c r="AY1941" s="88" t="str">
        <f>HYPERLINK("http://www.bing.com/maps/?lvl=14&amp;sty=h&amp;cp=36.6033~43.502&amp;sp=point.36.6033_43.502","Maplink3")</f>
        <v>Maplink3</v>
      </c>
      <c r="AZ1941" s="76"/>
    </row>
    <row r="1942" spans="1:52" x14ac:dyDescent="0.25">
      <c r="A1942" s="86">
        <v>29672</v>
      </c>
      <c r="B1942" s="87" t="s">
        <v>24</v>
      </c>
      <c r="C1942" s="87" t="s">
        <v>3717</v>
      </c>
      <c r="D1942" s="87" t="s">
        <v>3750</v>
      </c>
      <c r="E1942" s="87" t="s">
        <v>3751</v>
      </c>
      <c r="F1942" s="87">
        <v>36.644053761800002</v>
      </c>
      <c r="G1942" s="87">
        <v>43.469186791699997</v>
      </c>
      <c r="H1942" s="86">
        <v>14</v>
      </c>
      <c r="I1942" s="86">
        <v>84</v>
      </c>
      <c r="J1942" s="87"/>
      <c r="K1942" s="87"/>
      <c r="L1942" s="87"/>
      <c r="M1942" s="87"/>
      <c r="N1942" s="87"/>
      <c r="O1942" s="87"/>
      <c r="P1942" s="87"/>
      <c r="Q1942" s="87"/>
      <c r="R1942" s="87"/>
      <c r="S1942" s="87"/>
      <c r="T1942" s="87"/>
      <c r="U1942" s="87"/>
      <c r="V1942" s="87">
        <v>14</v>
      </c>
      <c r="W1942" s="87"/>
      <c r="X1942" s="87"/>
      <c r="Y1942" s="87"/>
      <c r="Z1942" s="87"/>
      <c r="AA1942" s="87"/>
      <c r="AB1942" s="87"/>
      <c r="AC1942" s="87"/>
      <c r="AD1942" s="87"/>
      <c r="AE1942" s="87"/>
      <c r="AF1942" s="87"/>
      <c r="AG1942" s="87"/>
      <c r="AH1942" s="87">
        <v>8</v>
      </c>
      <c r="AI1942" s="87"/>
      <c r="AJ1942" s="87"/>
      <c r="AK1942" s="87">
        <v>6</v>
      </c>
      <c r="AL1942" s="87"/>
      <c r="AM1942" s="87"/>
      <c r="AN1942" s="87"/>
      <c r="AO1942" s="87"/>
      <c r="AP1942" s="87">
        <v>14</v>
      </c>
      <c r="AQ1942" s="87"/>
      <c r="AR1942" s="87"/>
      <c r="AS1942" s="87"/>
      <c r="AT1942" s="87"/>
      <c r="AU1942" s="87"/>
      <c r="AV1942" s="87"/>
      <c r="AW1942" s="88" t="str">
        <f>HYPERLINK("http://www.openstreetmap.org/?mlat=36.6441&amp;mlon=43.4692&amp;zoom=12#map=12/36.6441/43.4692","Maplink1")</f>
        <v>Maplink1</v>
      </c>
      <c r="AX1942" s="88" t="str">
        <f>HYPERLINK("https://www.google.iq/maps/search/+36.6441,43.4692/@36.6441,43.4692,14z?hl=en","Maplink2")</f>
        <v>Maplink2</v>
      </c>
      <c r="AY1942" s="88" t="str">
        <f>HYPERLINK("http://www.bing.com/maps/?lvl=14&amp;sty=h&amp;cp=36.6441~43.4692&amp;sp=point.36.6441_43.4692","Maplink3")</f>
        <v>Maplink3</v>
      </c>
      <c r="AZ1942" s="76"/>
    </row>
    <row r="1943" spans="1:52" x14ac:dyDescent="0.25">
      <c r="A1943" s="86">
        <v>18199</v>
      </c>
      <c r="B1943" s="87" t="s">
        <v>24</v>
      </c>
      <c r="C1943" s="87" t="s">
        <v>3717</v>
      </c>
      <c r="D1943" s="87" t="s">
        <v>3752</v>
      </c>
      <c r="E1943" s="87" t="s">
        <v>3753</v>
      </c>
      <c r="F1943" s="87">
        <v>36.699738858400003</v>
      </c>
      <c r="G1943" s="87">
        <v>43.597009370400002</v>
      </c>
      <c r="H1943" s="86">
        <v>336</v>
      </c>
      <c r="I1943" s="86">
        <v>2016</v>
      </c>
      <c r="J1943" s="87"/>
      <c r="K1943" s="87"/>
      <c r="L1943" s="87"/>
      <c r="M1943" s="87"/>
      <c r="N1943" s="87"/>
      <c r="O1943" s="87"/>
      <c r="P1943" s="87"/>
      <c r="Q1943" s="87"/>
      <c r="R1943" s="87"/>
      <c r="S1943" s="87"/>
      <c r="T1943" s="87"/>
      <c r="U1943" s="87"/>
      <c r="V1943" s="87">
        <v>336</v>
      </c>
      <c r="W1943" s="87"/>
      <c r="X1943" s="87"/>
      <c r="Y1943" s="87"/>
      <c r="Z1943" s="87"/>
      <c r="AA1943" s="87"/>
      <c r="AB1943" s="87"/>
      <c r="AC1943" s="87">
        <v>108</v>
      </c>
      <c r="AD1943" s="87"/>
      <c r="AE1943" s="87"/>
      <c r="AF1943" s="87"/>
      <c r="AG1943" s="87"/>
      <c r="AH1943" s="87">
        <v>154</v>
      </c>
      <c r="AI1943" s="87"/>
      <c r="AJ1943" s="87"/>
      <c r="AK1943" s="87">
        <v>29</v>
      </c>
      <c r="AL1943" s="87">
        <v>45</v>
      </c>
      <c r="AM1943" s="87"/>
      <c r="AN1943" s="87"/>
      <c r="AO1943" s="87">
        <v>208</v>
      </c>
      <c r="AP1943" s="87">
        <v>128</v>
      </c>
      <c r="AQ1943" s="87"/>
      <c r="AR1943" s="87"/>
      <c r="AS1943" s="87"/>
      <c r="AT1943" s="87"/>
      <c r="AU1943" s="87"/>
      <c r="AV1943" s="87"/>
      <c r="AW1943" s="88" t="str">
        <f>HYPERLINK("http://www.openstreetmap.org/?mlat=36.6997&amp;mlon=43.597&amp;zoom=12#map=12/36.6997/43.597","Maplink1")</f>
        <v>Maplink1</v>
      </c>
      <c r="AX1943" s="88" t="str">
        <f>HYPERLINK("https://www.google.iq/maps/search/+36.6997,43.597/@36.6997,43.597,14z?hl=en","Maplink2")</f>
        <v>Maplink2</v>
      </c>
      <c r="AY1943" s="88" t="str">
        <f>HYPERLINK("http://www.bing.com/maps/?lvl=14&amp;sty=h&amp;cp=36.6997~43.597&amp;sp=point.36.6997_43.597","Maplink3")</f>
        <v>Maplink3</v>
      </c>
      <c r="AZ1943" s="76"/>
    </row>
    <row r="1944" spans="1:52" x14ac:dyDescent="0.25">
      <c r="A1944" s="86">
        <v>25817</v>
      </c>
      <c r="B1944" s="87" t="s">
        <v>24</v>
      </c>
      <c r="C1944" s="87" t="s">
        <v>3717</v>
      </c>
      <c r="D1944" s="87" t="s">
        <v>3754</v>
      </c>
      <c r="E1944" s="87" t="s">
        <v>3755</v>
      </c>
      <c r="F1944" s="87">
        <v>36.670245455200003</v>
      </c>
      <c r="G1944" s="87">
        <v>43.342140945899999</v>
      </c>
      <c r="H1944" s="86">
        <v>842</v>
      </c>
      <c r="I1944" s="86">
        <v>5052</v>
      </c>
      <c r="J1944" s="87"/>
      <c r="K1944" s="87"/>
      <c r="L1944" s="87"/>
      <c r="M1944" s="87"/>
      <c r="N1944" s="87"/>
      <c r="O1944" s="87"/>
      <c r="P1944" s="87"/>
      <c r="Q1944" s="87"/>
      <c r="R1944" s="87"/>
      <c r="S1944" s="87"/>
      <c r="T1944" s="87"/>
      <c r="U1944" s="87"/>
      <c r="V1944" s="87">
        <v>842</v>
      </c>
      <c r="W1944" s="87"/>
      <c r="X1944" s="87"/>
      <c r="Y1944" s="87"/>
      <c r="Z1944" s="87"/>
      <c r="AA1944" s="87"/>
      <c r="AB1944" s="87">
        <v>842</v>
      </c>
      <c r="AC1944" s="87"/>
      <c r="AD1944" s="87"/>
      <c r="AE1944" s="87"/>
      <c r="AF1944" s="87"/>
      <c r="AG1944" s="87"/>
      <c r="AH1944" s="87"/>
      <c r="AI1944" s="87"/>
      <c r="AJ1944" s="87"/>
      <c r="AK1944" s="87"/>
      <c r="AL1944" s="87"/>
      <c r="AM1944" s="87"/>
      <c r="AN1944" s="87"/>
      <c r="AO1944" s="87"/>
      <c r="AP1944" s="87">
        <v>842</v>
      </c>
      <c r="AQ1944" s="87"/>
      <c r="AR1944" s="87"/>
      <c r="AS1944" s="87"/>
      <c r="AT1944" s="87"/>
      <c r="AU1944" s="87"/>
      <c r="AV1944" s="87"/>
      <c r="AW1944" s="88" t="str">
        <f>HYPERLINK("http://www.openstreetmap.org/?mlat=36.6702&amp;mlon=43.3421&amp;zoom=12#map=12/36.6702/43.3421","Maplink1")</f>
        <v>Maplink1</v>
      </c>
      <c r="AX1944" s="88" t="str">
        <f>HYPERLINK("https://www.google.iq/maps/search/+36.6702,43.3421/@36.6702,43.3421,14z?hl=en","Maplink2")</f>
        <v>Maplink2</v>
      </c>
      <c r="AY1944" s="88" t="str">
        <f>HYPERLINK("http://www.bing.com/maps/?lvl=14&amp;sty=h&amp;cp=36.6702~43.3421&amp;sp=point.36.6702_43.3421","Maplink3")</f>
        <v>Maplink3</v>
      </c>
      <c r="AZ1944" s="76"/>
    </row>
    <row r="1945" spans="1:52" x14ac:dyDescent="0.25">
      <c r="A1945" s="86">
        <v>17333</v>
      </c>
      <c r="B1945" s="87" t="s">
        <v>24</v>
      </c>
      <c r="C1945" s="87" t="s">
        <v>3717</v>
      </c>
      <c r="D1945" s="87" t="s">
        <v>3756</v>
      </c>
      <c r="E1945" s="87" t="s">
        <v>3757</v>
      </c>
      <c r="F1945" s="87">
        <v>36.685850324100002</v>
      </c>
      <c r="G1945" s="87">
        <v>43.347143257200003</v>
      </c>
      <c r="H1945" s="86">
        <v>1604</v>
      </c>
      <c r="I1945" s="86">
        <v>9624</v>
      </c>
      <c r="J1945" s="87"/>
      <c r="K1945" s="87"/>
      <c r="L1945" s="87"/>
      <c r="M1945" s="87"/>
      <c r="N1945" s="87"/>
      <c r="O1945" s="87"/>
      <c r="P1945" s="87"/>
      <c r="Q1945" s="87"/>
      <c r="R1945" s="87"/>
      <c r="S1945" s="87"/>
      <c r="T1945" s="87"/>
      <c r="U1945" s="87"/>
      <c r="V1945" s="87">
        <v>1604</v>
      </c>
      <c r="W1945" s="87"/>
      <c r="X1945" s="87"/>
      <c r="Y1945" s="87"/>
      <c r="Z1945" s="87"/>
      <c r="AA1945" s="87"/>
      <c r="AB1945" s="87"/>
      <c r="AC1945" s="87">
        <v>219</v>
      </c>
      <c r="AD1945" s="87"/>
      <c r="AE1945" s="87"/>
      <c r="AF1945" s="87"/>
      <c r="AG1945" s="87"/>
      <c r="AH1945" s="87">
        <v>805</v>
      </c>
      <c r="AI1945" s="87"/>
      <c r="AJ1945" s="87"/>
      <c r="AK1945" s="87">
        <v>310</v>
      </c>
      <c r="AL1945" s="87">
        <v>270</v>
      </c>
      <c r="AM1945" s="87"/>
      <c r="AN1945" s="87"/>
      <c r="AO1945" s="87">
        <v>731</v>
      </c>
      <c r="AP1945" s="87">
        <v>805</v>
      </c>
      <c r="AQ1945" s="87"/>
      <c r="AR1945" s="87"/>
      <c r="AS1945" s="87"/>
      <c r="AT1945" s="87">
        <v>10</v>
      </c>
      <c r="AU1945" s="87">
        <v>58</v>
      </c>
      <c r="AV1945" s="87"/>
      <c r="AW1945" s="88" t="str">
        <f>HYPERLINK("http://www.openstreetmap.org/?mlat=36.6859&amp;mlon=43.3471&amp;zoom=12#map=12/36.6859/43.3471","Maplink1")</f>
        <v>Maplink1</v>
      </c>
      <c r="AX1945" s="88" t="str">
        <f>HYPERLINK("https://www.google.iq/maps/search/+36.6859,43.3471/@36.6859,43.3471,14z?hl=en","Maplink2")</f>
        <v>Maplink2</v>
      </c>
      <c r="AY1945" s="88" t="str">
        <f>HYPERLINK("http://www.bing.com/maps/?lvl=14&amp;sty=h&amp;cp=36.6859~43.3471&amp;sp=point.36.6859_43.3471","Maplink3")</f>
        <v>Maplink3</v>
      </c>
      <c r="AZ1945" s="76"/>
    </row>
    <row r="1946" spans="1:52" x14ac:dyDescent="0.25">
      <c r="A1946" s="86">
        <v>18220</v>
      </c>
      <c r="B1946" s="87" t="s">
        <v>24</v>
      </c>
      <c r="C1946" s="87" t="s">
        <v>3717</v>
      </c>
      <c r="D1946" s="87" t="s">
        <v>3758</v>
      </c>
      <c r="E1946" s="87" t="s">
        <v>3759</v>
      </c>
      <c r="F1946" s="87">
        <v>36.592232305300001</v>
      </c>
      <c r="G1946" s="87">
        <v>43.482506723</v>
      </c>
      <c r="H1946" s="86">
        <v>12</v>
      </c>
      <c r="I1946" s="86">
        <v>72</v>
      </c>
      <c r="J1946" s="87"/>
      <c r="K1946" s="87"/>
      <c r="L1946" s="87"/>
      <c r="M1946" s="87"/>
      <c r="N1946" s="87"/>
      <c r="O1946" s="87"/>
      <c r="P1946" s="87"/>
      <c r="Q1946" s="87"/>
      <c r="R1946" s="87"/>
      <c r="S1946" s="87"/>
      <c r="T1946" s="87"/>
      <c r="U1946" s="87"/>
      <c r="V1946" s="87">
        <v>12</v>
      </c>
      <c r="W1946" s="87"/>
      <c r="X1946" s="87"/>
      <c r="Y1946" s="87"/>
      <c r="Z1946" s="87"/>
      <c r="AA1946" s="87"/>
      <c r="AB1946" s="87"/>
      <c r="AC1946" s="87"/>
      <c r="AD1946" s="87"/>
      <c r="AE1946" s="87"/>
      <c r="AF1946" s="87"/>
      <c r="AG1946" s="87"/>
      <c r="AH1946" s="87"/>
      <c r="AI1946" s="87"/>
      <c r="AJ1946" s="87"/>
      <c r="AK1946" s="87">
        <v>12</v>
      </c>
      <c r="AL1946" s="87"/>
      <c r="AM1946" s="87"/>
      <c r="AN1946" s="87"/>
      <c r="AO1946" s="87"/>
      <c r="AP1946" s="87">
        <v>12</v>
      </c>
      <c r="AQ1946" s="87"/>
      <c r="AR1946" s="87"/>
      <c r="AS1946" s="87"/>
      <c r="AT1946" s="87"/>
      <c r="AU1946" s="87"/>
      <c r="AV1946" s="87"/>
      <c r="AW1946" s="88" t="str">
        <f>HYPERLINK("http://www.openstreetmap.org/?mlat=36.5922&amp;mlon=43.4825&amp;zoom=12#map=12/36.5922/43.4825","Maplink1")</f>
        <v>Maplink1</v>
      </c>
      <c r="AX1946" s="88" t="str">
        <f>HYPERLINK("https://www.google.iq/maps/search/+36.5922,43.4825/@36.5922,43.4825,14z?hl=en","Maplink2")</f>
        <v>Maplink2</v>
      </c>
      <c r="AY1946" s="88" t="str">
        <f>HYPERLINK("http://www.bing.com/maps/?lvl=14&amp;sty=h&amp;cp=36.5922~43.4825&amp;sp=point.36.5922_43.4825","Maplink3")</f>
        <v>Maplink3</v>
      </c>
      <c r="AZ1946" s="76"/>
    </row>
    <row r="1947" spans="1:52" x14ac:dyDescent="0.25">
      <c r="A1947" s="86">
        <v>17981</v>
      </c>
      <c r="B1947" s="87" t="s">
        <v>24</v>
      </c>
      <c r="C1947" s="87" t="s">
        <v>3717</v>
      </c>
      <c r="D1947" s="87" t="s">
        <v>3760</v>
      </c>
      <c r="E1947" s="87" t="s">
        <v>3761</v>
      </c>
      <c r="F1947" s="87">
        <v>36.572701171399999</v>
      </c>
      <c r="G1947" s="87">
        <v>43.369649381599999</v>
      </c>
      <c r="H1947" s="86">
        <v>50</v>
      </c>
      <c r="I1947" s="86">
        <v>300</v>
      </c>
      <c r="J1947" s="87"/>
      <c r="K1947" s="87"/>
      <c r="L1947" s="87"/>
      <c r="M1947" s="87"/>
      <c r="N1947" s="87"/>
      <c r="O1947" s="87"/>
      <c r="P1947" s="87"/>
      <c r="Q1947" s="87"/>
      <c r="R1947" s="87"/>
      <c r="S1947" s="87"/>
      <c r="T1947" s="87"/>
      <c r="U1947" s="87"/>
      <c r="V1947" s="87">
        <v>50</v>
      </c>
      <c r="W1947" s="87"/>
      <c r="X1947" s="87"/>
      <c r="Y1947" s="87"/>
      <c r="Z1947" s="87"/>
      <c r="AA1947" s="87"/>
      <c r="AB1947" s="87"/>
      <c r="AC1947" s="87">
        <v>22</v>
      </c>
      <c r="AD1947" s="87"/>
      <c r="AE1947" s="87"/>
      <c r="AF1947" s="87"/>
      <c r="AG1947" s="87"/>
      <c r="AH1947" s="87"/>
      <c r="AI1947" s="87"/>
      <c r="AJ1947" s="87"/>
      <c r="AK1947" s="87"/>
      <c r="AL1947" s="87">
        <v>28</v>
      </c>
      <c r="AM1947" s="87"/>
      <c r="AN1947" s="87"/>
      <c r="AO1947" s="87">
        <v>47</v>
      </c>
      <c r="AP1947" s="87">
        <v>3</v>
      </c>
      <c r="AQ1947" s="87"/>
      <c r="AR1947" s="87"/>
      <c r="AS1947" s="87"/>
      <c r="AT1947" s="87"/>
      <c r="AU1947" s="87"/>
      <c r="AV1947" s="87"/>
      <c r="AW1947" s="88" t="str">
        <f>HYPERLINK("http://www.openstreetmap.org/?mlat=36.5727&amp;mlon=43.3696&amp;zoom=12#map=12/36.5727/43.3696","Maplink1")</f>
        <v>Maplink1</v>
      </c>
      <c r="AX1947" s="88" t="str">
        <f>HYPERLINK("https://www.google.iq/maps/search/+36.5727,43.3696/@36.5727,43.3696,14z?hl=en","Maplink2")</f>
        <v>Maplink2</v>
      </c>
      <c r="AY1947" s="88" t="str">
        <f>HYPERLINK("http://www.bing.com/maps/?lvl=14&amp;sty=h&amp;cp=36.5727~43.3696&amp;sp=point.36.5727_43.3696","Maplink3")</f>
        <v>Maplink3</v>
      </c>
      <c r="AZ1947" s="76"/>
    </row>
    <row r="1948" spans="1:52" x14ac:dyDescent="0.25">
      <c r="A1948" s="86">
        <v>33114</v>
      </c>
      <c r="B1948" s="87" t="s">
        <v>24</v>
      </c>
      <c r="C1948" s="87" t="s">
        <v>3762</v>
      </c>
      <c r="D1948" s="87" t="s">
        <v>3763</v>
      </c>
      <c r="E1948" s="87" t="s">
        <v>3764</v>
      </c>
      <c r="F1948" s="87">
        <v>35.7873010263</v>
      </c>
      <c r="G1948" s="87">
        <v>42.999642929799997</v>
      </c>
      <c r="H1948" s="86">
        <v>10</v>
      </c>
      <c r="I1948" s="86">
        <v>60</v>
      </c>
      <c r="J1948" s="87"/>
      <c r="K1948" s="87"/>
      <c r="L1948" s="87"/>
      <c r="M1948" s="87"/>
      <c r="N1948" s="87"/>
      <c r="O1948" s="87"/>
      <c r="P1948" s="87"/>
      <c r="Q1948" s="87"/>
      <c r="R1948" s="87"/>
      <c r="S1948" s="87"/>
      <c r="T1948" s="87"/>
      <c r="U1948" s="87"/>
      <c r="V1948" s="87">
        <v>10</v>
      </c>
      <c r="W1948" s="87"/>
      <c r="X1948" s="87"/>
      <c r="Y1948" s="87"/>
      <c r="Z1948" s="87"/>
      <c r="AA1948" s="87"/>
      <c r="AB1948" s="87"/>
      <c r="AC1948" s="87">
        <v>10</v>
      </c>
      <c r="AD1948" s="87"/>
      <c r="AE1948" s="87"/>
      <c r="AF1948" s="87"/>
      <c r="AG1948" s="87"/>
      <c r="AH1948" s="87"/>
      <c r="AI1948" s="87"/>
      <c r="AJ1948" s="87"/>
      <c r="AK1948" s="87"/>
      <c r="AL1948" s="87"/>
      <c r="AM1948" s="87"/>
      <c r="AN1948" s="87"/>
      <c r="AO1948" s="87"/>
      <c r="AP1948" s="87"/>
      <c r="AQ1948" s="87"/>
      <c r="AR1948" s="87"/>
      <c r="AS1948" s="87">
        <v>10</v>
      </c>
      <c r="AT1948" s="87"/>
      <c r="AU1948" s="87"/>
      <c r="AV1948" s="87"/>
      <c r="AW1948" s="88" t="str">
        <f>HYPERLINK("http://www.openstreetmap.org/?mlat=35.7873&amp;mlon=42.9996&amp;zoom=12#map=12/35.7873/42.9996","Maplink1")</f>
        <v>Maplink1</v>
      </c>
      <c r="AX1948" s="88" t="str">
        <f>HYPERLINK("https://www.google.iq/maps/search/+35.7873,42.9996/@35.7873,42.9996,14z?hl=en","Maplink2")</f>
        <v>Maplink2</v>
      </c>
      <c r="AY1948" s="88" t="str">
        <f>HYPERLINK("http://www.bing.com/maps/?lvl=14&amp;sty=h&amp;cp=35.7873~42.9996&amp;sp=point.35.7873_42.9996","Maplink3")</f>
        <v>Maplink3</v>
      </c>
      <c r="AZ1948" s="76"/>
    </row>
    <row r="1949" spans="1:52" x14ac:dyDescent="0.25">
      <c r="A1949" s="86">
        <v>33163</v>
      </c>
      <c r="B1949" s="87" t="s">
        <v>24</v>
      </c>
      <c r="C1949" s="87" t="s">
        <v>3762</v>
      </c>
      <c r="D1949" s="87" t="s">
        <v>3765</v>
      </c>
      <c r="E1949" s="87" t="s">
        <v>3766</v>
      </c>
      <c r="F1949" s="87">
        <v>35.717048188699998</v>
      </c>
      <c r="G1949" s="87">
        <v>42.976920223299999</v>
      </c>
      <c r="H1949" s="86">
        <v>4</v>
      </c>
      <c r="I1949" s="86">
        <v>24</v>
      </c>
      <c r="J1949" s="87"/>
      <c r="K1949" s="87"/>
      <c r="L1949" s="87"/>
      <c r="M1949" s="87"/>
      <c r="N1949" s="87"/>
      <c r="O1949" s="87"/>
      <c r="P1949" s="87"/>
      <c r="Q1949" s="87"/>
      <c r="R1949" s="87"/>
      <c r="S1949" s="87"/>
      <c r="T1949" s="87"/>
      <c r="U1949" s="87"/>
      <c r="V1949" s="87">
        <v>4</v>
      </c>
      <c r="W1949" s="87"/>
      <c r="X1949" s="87"/>
      <c r="Y1949" s="87"/>
      <c r="Z1949" s="87"/>
      <c r="AA1949" s="87"/>
      <c r="AB1949" s="87"/>
      <c r="AC1949" s="87">
        <v>4</v>
      </c>
      <c r="AD1949" s="87"/>
      <c r="AE1949" s="87"/>
      <c r="AF1949" s="87"/>
      <c r="AG1949" s="87"/>
      <c r="AH1949" s="87"/>
      <c r="AI1949" s="87"/>
      <c r="AJ1949" s="87"/>
      <c r="AK1949" s="87"/>
      <c r="AL1949" s="87"/>
      <c r="AM1949" s="87"/>
      <c r="AN1949" s="87"/>
      <c r="AO1949" s="87"/>
      <c r="AP1949" s="87"/>
      <c r="AQ1949" s="87"/>
      <c r="AR1949" s="87"/>
      <c r="AS1949" s="87"/>
      <c r="AT1949" s="87">
        <v>4</v>
      </c>
      <c r="AU1949" s="87"/>
      <c r="AV1949" s="87"/>
      <c r="AW1949" s="88" t="str">
        <f>HYPERLINK("http://www.openstreetmap.org/?mlat=35.717&amp;mlon=42.9769&amp;zoom=12#map=12/35.717/42.9769","Maplink1")</f>
        <v>Maplink1</v>
      </c>
      <c r="AX1949" s="88" t="str">
        <f>HYPERLINK("https://www.google.iq/maps/search/+35.717,42.9769/@35.717,42.9769,14z?hl=en","Maplink2")</f>
        <v>Maplink2</v>
      </c>
      <c r="AY1949" s="88" t="str">
        <f>HYPERLINK("http://www.bing.com/maps/?lvl=14&amp;sty=h&amp;cp=35.717~42.9769&amp;sp=point.35.717_42.9769","Maplink3")</f>
        <v>Maplink3</v>
      </c>
      <c r="AZ1949" s="76"/>
    </row>
    <row r="1950" spans="1:52" x14ac:dyDescent="0.25">
      <c r="A1950" s="86">
        <v>23416</v>
      </c>
      <c r="B1950" s="87" t="s">
        <v>24</v>
      </c>
      <c r="C1950" s="87" t="s">
        <v>3762</v>
      </c>
      <c r="D1950" s="87" t="s">
        <v>3767</v>
      </c>
      <c r="E1950" s="87" t="s">
        <v>3768</v>
      </c>
      <c r="F1950" s="87">
        <v>36.0072820201</v>
      </c>
      <c r="G1950" s="87">
        <v>42.604857957100002</v>
      </c>
      <c r="H1950" s="86">
        <v>3</v>
      </c>
      <c r="I1950" s="86">
        <v>18</v>
      </c>
      <c r="J1950" s="87"/>
      <c r="K1950" s="87"/>
      <c r="L1950" s="87"/>
      <c r="M1950" s="87"/>
      <c r="N1950" s="87"/>
      <c r="O1950" s="87"/>
      <c r="P1950" s="87"/>
      <c r="Q1950" s="87"/>
      <c r="R1950" s="87"/>
      <c r="S1950" s="87"/>
      <c r="T1950" s="87"/>
      <c r="U1950" s="87"/>
      <c r="V1950" s="87">
        <v>3</v>
      </c>
      <c r="W1950" s="87"/>
      <c r="X1950" s="87"/>
      <c r="Y1950" s="87"/>
      <c r="Z1950" s="87"/>
      <c r="AA1950" s="87"/>
      <c r="AB1950" s="87"/>
      <c r="AC1950" s="87">
        <v>3</v>
      </c>
      <c r="AD1950" s="87"/>
      <c r="AE1950" s="87"/>
      <c r="AF1950" s="87"/>
      <c r="AG1950" s="87"/>
      <c r="AH1950" s="87"/>
      <c r="AI1950" s="87"/>
      <c r="AJ1950" s="87"/>
      <c r="AK1950" s="87"/>
      <c r="AL1950" s="87"/>
      <c r="AM1950" s="87"/>
      <c r="AN1950" s="87"/>
      <c r="AO1950" s="87"/>
      <c r="AP1950" s="87"/>
      <c r="AQ1950" s="87"/>
      <c r="AR1950" s="87"/>
      <c r="AS1950" s="87"/>
      <c r="AT1950" s="87"/>
      <c r="AU1950" s="87">
        <v>3</v>
      </c>
      <c r="AV1950" s="87"/>
      <c r="AW1950" s="88" t="str">
        <f>HYPERLINK("http://www.openstreetmap.org/?mlat=36.0073&amp;mlon=42.6049&amp;zoom=12#map=12/36.0073/42.6049","Maplink1")</f>
        <v>Maplink1</v>
      </c>
      <c r="AX1950" s="88" t="str">
        <f>HYPERLINK("https://www.google.iq/maps/search/+36.0073,42.6049/@36.0073,42.6049,14z?hl=en","Maplink2")</f>
        <v>Maplink2</v>
      </c>
      <c r="AY1950" s="88" t="str">
        <f>HYPERLINK("http://www.bing.com/maps/?lvl=14&amp;sty=h&amp;cp=36.0073~42.6049&amp;sp=point.36.0073_42.6049","Maplink3")</f>
        <v>Maplink3</v>
      </c>
      <c r="AZ1950" s="76"/>
    </row>
    <row r="1951" spans="1:52" x14ac:dyDescent="0.25">
      <c r="A1951" s="86">
        <v>33165</v>
      </c>
      <c r="B1951" s="87" t="s">
        <v>24</v>
      </c>
      <c r="C1951" s="87" t="s">
        <v>3762</v>
      </c>
      <c r="D1951" s="87" t="s">
        <v>3769</v>
      </c>
      <c r="E1951" s="87" t="s">
        <v>3770</v>
      </c>
      <c r="F1951" s="87">
        <v>35.660388492999999</v>
      </c>
      <c r="G1951" s="87">
        <v>42.979572662800003</v>
      </c>
      <c r="H1951" s="86">
        <v>4</v>
      </c>
      <c r="I1951" s="86">
        <v>24</v>
      </c>
      <c r="J1951" s="87">
        <v>4</v>
      </c>
      <c r="K1951" s="87"/>
      <c r="L1951" s="87"/>
      <c r="M1951" s="87"/>
      <c r="N1951" s="87"/>
      <c r="O1951" s="87"/>
      <c r="P1951" s="87"/>
      <c r="Q1951" s="87"/>
      <c r="R1951" s="87"/>
      <c r="S1951" s="87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87"/>
      <c r="AE1951" s="87"/>
      <c r="AF1951" s="87"/>
      <c r="AG1951" s="87"/>
      <c r="AH1951" s="87">
        <v>4</v>
      </c>
      <c r="AI1951" s="87"/>
      <c r="AJ1951" s="87"/>
      <c r="AK1951" s="87"/>
      <c r="AL1951" s="87"/>
      <c r="AM1951" s="87"/>
      <c r="AN1951" s="87"/>
      <c r="AO1951" s="87"/>
      <c r="AP1951" s="87"/>
      <c r="AQ1951" s="87"/>
      <c r="AR1951" s="87">
        <v>4</v>
      </c>
      <c r="AS1951" s="87"/>
      <c r="AT1951" s="87"/>
      <c r="AU1951" s="87"/>
      <c r="AV1951" s="87"/>
      <c r="AW1951" s="88" t="str">
        <f>HYPERLINK("http://www.openstreetmap.org/?mlat=35.6604&amp;mlon=42.9796&amp;zoom=12#map=12/35.6604/42.9796","Maplink1")</f>
        <v>Maplink1</v>
      </c>
      <c r="AX1951" s="88" t="str">
        <f>HYPERLINK("https://www.google.iq/maps/search/+35.6604,42.9796/@35.6604,42.9796,14z?hl=en","Maplink2")</f>
        <v>Maplink2</v>
      </c>
      <c r="AY1951" s="88" t="str">
        <f>HYPERLINK("http://www.bing.com/maps/?lvl=14&amp;sty=h&amp;cp=35.6604~42.9796&amp;sp=point.35.6604_42.9796","Maplink3")</f>
        <v>Maplink3</v>
      </c>
      <c r="AZ1951" s="76"/>
    </row>
    <row r="1952" spans="1:52" x14ac:dyDescent="0.25">
      <c r="A1952" s="86">
        <v>17126</v>
      </c>
      <c r="B1952" s="87" t="s">
        <v>24</v>
      </c>
      <c r="C1952" s="87" t="s">
        <v>3762</v>
      </c>
      <c r="D1952" s="87" t="s">
        <v>3771</v>
      </c>
      <c r="E1952" s="87" t="s">
        <v>3772</v>
      </c>
      <c r="F1952" s="87">
        <v>35.577225135600003</v>
      </c>
      <c r="G1952" s="87">
        <v>42.731852087199997</v>
      </c>
      <c r="H1952" s="86">
        <v>20</v>
      </c>
      <c r="I1952" s="86">
        <v>120</v>
      </c>
      <c r="J1952" s="87"/>
      <c r="K1952" s="87"/>
      <c r="L1952" s="87"/>
      <c r="M1952" s="87"/>
      <c r="N1952" s="87"/>
      <c r="O1952" s="87"/>
      <c r="P1952" s="87"/>
      <c r="Q1952" s="87"/>
      <c r="R1952" s="87"/>
      <c r="S1952" s="87"/>
      <c r="T1952" s="87"/>
      <c r="U1952" s="87"/>
      <c r="V1952" s="87">
        <v>20</v>
      </c>
      <c r="W1952" s="87"/>
      <c r="X1952" s="87"/>
      <c r="Y1952" s="87"/>
      <c r="Z1952" s="87"/>
      <c r="AA1952" s="87"/>
      <c r="AB1952" s="87"/>
      <c r="AC1952" s="87">
        <v>3</v>
      </c>
      <c r="AD1952" s="87"/>
      <c r="AE1952" s="87"/>
      <c r="AF1952" s="87"/>
      <c r="AG1952" s="87"/>
      <c r="AH1952" s="87">
        <v>17</v>
      </c>
      <c r="AI1952" s="87"/>
      <c r="AJ1952" s="87"/>
      <c r="AK1952" s="87"/>
      <c r="AL1952" s="87"/>
      <c r="AM1952" s="87"/>
      <c r="AN1952" s="87"/>
      <c r="AO1952" s="87"/>
      <c r="AP1952" s="87"/>
      <c r="AQ1952" s="87"/>
      <c r="AR1952" s="87"/>
      <c r="AS1952" s="87"/>
      <c r="AT1952" s="87">
        <v>20</v>
      </c>
      <c r="AU1952" s="87"/>
      <c r="AV1952" s="87"/>
      <c r="AW1952" s="88" t="str">
        <f>HYPERLINK("http://www.openstreetmap.org/?mlat=35.5772&amp;mlon=42.7319&amp;zoom=12#map=12/35.5772/42.7319","Maplink1")</f>
        <v>Maplink1</v>
      </c>
      <c r="AX1952" s="88" t="str">
        <f>HYPERLINK("https://www.google.iq/maps/search/+35.5772,42.7319/@35.5772,42.7319,14z?hl=en","Maplink2")</f>
        <v>Maplink2</v>
      </c>
      <c r="AY1952" s="88" t="str">
        <f>HYPERLINK("http://www.bing.com/maps/?lvl=14&amp;sty=h&amp;cp=35.5772~42.7319&amp;sp=point.35.5772_42.7319","Maplink3")</f>
        <v>Maplink3</v>
      </c>
      <c r="AZ1952" s="76"/>
    </row>
    <row r="1953" spans="1:52" x14ac:dyDescent="0.25">
      <c r="A1953" s="86">
        <v>33116</v>
      </c>
      <c r="B1953" s="87" t="s">
        <v>24</v>
      </c>
      <c r="C1953" s="87" t="s">
        <v>3762</v>
      </c>
      <c r="D1953" s="87" t="s">
        <v>3773</v>
      </c>
      <c r="E1953" s="87" t="s">
        <v>3774</v>
      </c>
      <c r="F1953" s="87">
        <v>35.773459821899998</v>
      </c>
      <c r="G1953" s="87">
        <v>42.971920511500002</v>
      </c>
      <c r="H1953" s="86">
        <v>5</v>
      </c>
      <c r="I1953" s="86">
        <v>30</v>
      </c>
      <c r="J1953" s="87"/>
      <c r="K1953" s="87"/>
      <c r="L1953" s="87"/>
      <c r="M1953" s="87"/>
      <c r="N1953" s="87"/>
      <c r="O1953" s="87"/>
      <c r="P1953" s="87"/>
      <c r="Q1953" s="87"/>
      <c r="R1953" s="87"/>
      <c r="S1953" s="87"/>
      <c r="T1953" s="87"/>
      <c r="U1953" s="87"/>
      <c r="V1953" s="87">
        <v>5</v>
      </c>
      <c r="W1953" s="87"/>
      <c r="X1953" s="87"/>
      <c r="Y1953" s="87"/>
      <c r="Z1953" s="87"/>
      <c r="AA1953" s="87"/>
      <c r="AB1953" s="87"/>
      <c r="AC1953" s="87"/>
      <c r="AD1953" s="87"/>
      <c r="AE1953" s="87"/>
      <c r="AF1953" s="87"/>
      <c r="AG1953" s="87"/>
      <c r="AH1953" s="87">
        <v>5</v>
      </c>
      <c r="AI1953" s="87"/>
      <c r="AJ1953" s="87"/>
      <c r="AK1953" s="87"/>
      <c r="AL1953" s="87"/>
      <c r="AM1953" s="87"/>
      <c r="AN1953" s="87"/>
      <c r="AO1953" s="87"/>
      <c r="AP1953" s="87"/>
      <c r="AQ1953" s="87"/>
      <c r="AR1953" s="87"/>
      <c r="AS1953" s="87"/>
      <c r="AT1953" s="87">
        <v>5</v>
      </c>
      <c r="AU1953" s="87"/>
      <c r="AV1953" s="87"/>
      <c r="AW1953" s="88" t="str">
        <f>HYPERLINK("http://www.openstreetmap.org/?mlat=35.7735&amp;mlon=42.9719&amp;zoom=12#map=12/35.7735/42.9719","Maplink1")</f>
        <v>Maplink1</v>
      </c>
      <c r="AX1953" s="88" t="str">
        <f>HYPERLINK("https://www.google.iq/maps/search/+35.7735,42.9719/@35.7735,42.9719,14z?hl=en","Maplink2")</f>
        <v>Maplink2</v>
      </c>
      <c r="AY1953" s="88" t="str">
        <f>HYPERLINK("http://www.bing.com/maps/?lvl=14&amp;sty=h&amp;cp=35.7735~42.9719&amp;sp=point.35.7735_42.9719","Maplink3")</f>
        <v>Maplink3</v>
      </c>
      <c r="AZ1953" s="76"/>
    </row>
    <row r="1954" spans="1:52" x14ac:dyDescent="0.25">
      <c r="A1954" s="86">
        <v>33164</v>
      </c>
      <c r="B1954" s="87" t="s">
        <v>24</v>
      </c>
      <c r="C1954" s="87" t="s">
        <v>3762</v>
      </c>
      <c r="D1954" s="87" t="s">
        <v>3775</v>
      </c>
      <c r="E1954" s="87" t="s">
        <v>3776</v>
      </c>
      <c r="F1954" s="87">
        <v>35.617021950900003</v>
      </c>
      <c r="G1954" s="87">
        <v>42.988970702099998</v>
      </c>
      <c r="H1954" s="86">
        <v>6</v>
      </c>
      <c r="I1954" s="86">
        <v>36</v>
      </c>
      <c r="J1954" s="87"/>
      <c r="K1954" s="87"/>
      <c r="L1954" s="87"/>
      <c r="M1954" s="87"/>
      <c r="N1954" s="87"/>
      <c r="O1954" s="87"/>
      <c r="P1954" s="87"/>
      <c r="Q1954" s="87"/>
      <c r="R1954" s="87"/>
      <c r="S1954" s="87"/>
      <c r="T1954" s="87"/>
      <c r="U1954" s="87"/>
      <c r="V1954" s="87">
        <v>6</v>
      </c>
      <c r="W1954" s="87"/>
      <c r="X1954" s="87"/>
      <c r="Y1954" s="87"/>
      <c r="Z1954" s="87"/>
      <c r="AA1954" s="87"/>
      <c r="AB1954" s="87"/>
      <c r="AC1954" s="87">
        <v>3</v>
      </c>
      <c r="AD1954" s="87"/>
      <c r="AE1954" s="87"/>
      <c r="AF1954" s="87"/>
      <c r="AG1954" s="87"/>
      <c r="AH1954" s="87">
        <v>3</v>
      </c>
      <c r="AI1954" s="87"/>
      <c r="AJ1954" s="87"/>
      <c r="AK1954" s="87"/>
      <c r="AL1954" s="87"/>
      <c r="AM1954" s="87"/>
      <c r="AN1954" s="87"/>
      <c r="AO1954" s="87"/>
      <c r="AP1954" s="87"/>
      <c r="AQ1954" s="87"/>
      <c r="AR1954" s="87"/>
      <c r="AS1954" s="87"/>
      <c r="AT1954" s="87">
        <v>6</v>
      </c>
      <c r="AU1954" s="87"/>
      <c r="AV1954" s="87"/>
      <c r="AW1954" s="88" t="str">
        <f>HYPERLINK("http://www.openstreetmap.org/?mlat=35.617&amp;mlon=42.989&amp;zoom=12#map=12/35.617/42.989","Maplink1")</f>
        <v>Maplink1</v>
      </c>
      <c r="AX1954" s="88" t="str">
        <f>HYPERLINK("https://www.google.iq/maps/search/+35.617,42.989/@35.617,42.989,14z?hl=en","Maplink2")</f>
        <v>Maplink2</v>
      </c>
      <c r="AY1954" s="88" t="str">
        <f>HYPERLINK("http://www.bing.com/maps/?lvl=14&amp;sty=h&amp;cp=35.617~42.989&amp;sp=point.35.617_42.989","Maplink3")</f>
        <v>Maplink3</v>
      </c>
      <c r="AZ1954" s="76"/>
    </row>
    <row r="1955" spans="1:52" x14ac:dyDescent="0.25">
      <c r="A1955" s="86">
        <v>27271</v>
      </c>
      <c r="B1955" s="87" t="s">
        <v>24</v>
      </c>
      <c r="C1955" s="87" t="s">
        <v>3762</v>
      </c>
      <c r="D1955" s="87" t="s">
        <v>3777</v>
      </c>
      <c r="E1955" s="87" t="s">
        <v>3778</v>
      </c>
      <c r="F1955" s="87">
        <v>35.946129834099999</v>
      </c>
      <c r="G1955" s="87">
        <v>42.571826101500001</v>
      </c>
      <c r="H1955" s="86">
        <v>157</v>
      </c>
      <c r="I1955" s="86">
        <v>942</v>
      </c>
      <c r="J1955" s="87"/>
      <c r="K1955" s="87"/>
      <c r="L1955" s="87"/>
      <c r="M1955" s="87"/>
      <c r="N1955" s="87"/>
      <c r="O1955" s="87"/>
      <c r="P1955" s="87"/>
      <c r="Q1955" s="87"/>
      <c r="R1955" s="87"/>
      <c r="S1955" s="87"/>
      <c r="T1955" s="87"/>
      <c r="U1955" s="87"/>
      <c r="V1955" s="87">
        <v>157</v>
      </c>
      <c r="W1955" s="87"/>
      <c r="X1955" s="87"/>
      <c r="Y1955" s="87"/>
      <c r="Z1955" s="87"/>
      <c r="AA1955" s="87"/>
      <c r="AB1955" s="87"/>
      <c r="AC1955" s="87"/>
      <c r="AD1955" s="87"/>
      <c r="AE1955" s="87"/>
      <c r="AF1955" s="87"/>
      <c r="AG1955" s="87"/>
      <c r="AH1955" s="87">
        <v>157</v>
      </c>
      <c r="AI1955" s="87"/>
      <c r="AJ1955" s="87"/>
      <c r="AK1955" s="87"/>
      <c r="AL1955" s="87"/>
      <c r="AM1955" s="87"/>
      <c r="AN1955" s="87"/>
      <c r="AO1955" s="87"/>
      <c r="AP1955" s="87"/>
      <c r="AQ1955" s="87"/>
      <c r="AR1955" s="87">
        <v>88</v>
      </c>
      <c r="AS1955" s="87"/>
      <c r="AT1955" s="87">
        <v>69</v>
      </c>
      <c r="AU1955" s="87"/>
      <c r="AV1955" s="87"/>
      <c r="AW1955" s="88" t="str">
        <f>HYPERLINK("http://www.openstreetmap.org/?mlat=35.9461&amp;mlon=42.5718&amp;zoom=12#map=12/35.9461/42.5718","Maplink1")</f>
        <v>Maplink1</v>
      </c>
      <c r="AX1955" s="88" t="str">
        <f>HYPERLINK("https://www.google.iq/maps/search/+35.9461,42.5718/@35.9461,42.5718,14z?hl=en","Maplink2")</f>
        <v>Maplink2</v>
      </c>
      <c r="AY1955" s="88" t="str">
        <f>HYPERLINK("http://www.bing.com/maps/?lvl=14&amp;sty=h&amp;cp=35.9461~42.5718&amp;sp=point.35.9461_42.5718","Maplink3")</f>
        <v>Maplink3</v>
      </c>
      <c r="AZ1955" s="76"/>
    </row>
    <row r="1956" spans="1:52" x14ac:dyDescent="0.25">
      <c r="A1956" s="86">
        <v>33115</v>
      </c>
      <c r="B1956" s="87" t="s">
        <v>24</v>
      </c>
      <c r="C1956" s="87" t="s">
        <v>3762</v>
      </c>
      <c r="D1956" s="87" t="s">
        <v>3779</v>
      </c>
      <c r="E1956" s="87" t="s">
        <v>3780</v>
      </c>
      <c r="F1956" s="87">
        <v>35.810360354399997</v>
      </c>
      <c r="G1956" s="87">
        <v>43.023024440599997</v>
      </c>
      <c r="H1956" s="86">
        <v>6</v>
      </c>
      <c r="I1956" s="86">
        <v>36</v>
      </c>
      <c r="J1956" s="87"/>
      <c r="K1956" s="87"/>
      <c r="L1956" s="87"/>
      <c r="M1956" s="87"/>
      <c r="N1956" s="87"/>
      <c r="O1956" s="87"/>
      <c r="P1956" s="87"/>
      <c r="Q1956" s="87"/>
      <c r="R1956" s="87"/>
      <c r="S1956" s="87"/>
      <c r="T1956" s="87"/>
      <c r="U1956" s="87"/>
      <c r="V1956" s="87">
        <v>6</v>
      </c>
      <c r="W1956" s="87"/>
      <c r="X1956" s="87"/>
      <c r="Y1956" s="87"/>
      <c r="Z1956" s="87"/>
      <c r="AA1956" s="87"/>
      <c r="AB1956" s="87"/>
      <c r="AC1956" s="87">
        <v>6</v>
      </c>
      <c r="AD1956" s="87"/>
      <c r="AE1956" s="87"/>
      <c r="AF1956" s="87"/>
      <c r="AG1956" s="87"/>
      <c r="AH1956" s="87"/>
      <c r="AI1956" s="87"/>
      <c r="AJ1956" s="87"/>
      <c r="AK1956" s="87"/>
      <c r="AL1956" s="87"/>
      <c r="AM1956" s="87"/>
      <c r="AN1956" s="87"/>
      <c r="AO1956" s="87"/>
      <c r="AP1956" s="87"/>
      <c r="AQ1956" s="87"/>
      <c r="AR1956" s="87"/>
      <c r="AS1956" s="87"/>
      <c r="AT1956" s="87">
        <v>6</v>
      </c>
      <c r="AU1956" s="87"/>
      <c r="AV1956" s="87"/>
      <c r="AW1956" s="88" t="str">
        <f>HYPERLINK("http://www.openstreetmap.org/?mlat=35.8104&amp;mlon=43.023&amp;zoom=12#map=12/35.8104/43.023","Maplink1")</f>
        <v>Maplink1</v>
      </c>
      <c r="AX1956" s="88" t="str">
        <f>HYPERLINK("https://www.google.iq/maps/search/+35.8104,43.023/@35.8104,43.023,14z?hl=en","Maplink2")</f>
        <v>Maplink2</v>
      </c>
      <c r="AY1956" s="88" t="str">
        <f>HYPERLINK("http://www.bing.com/maps/?lvl=14&amp;sty=h&amp;cp=35.8104~43.023&amp;sp=point.35.8104_43.023","Maplink3")</f>
        <v>Maplink3</v>
      </c>
      <c r="AZ1956" s="76"/>
    </row>
    <row r="1957" spans="1:52" x14ac:dyDescent="0.25">
      <c r="A1957" s="86">
        <v>32051</v>
      </c>
      <c r="B1957" s="87" t="s">
        <v>24</v>
      </c>
      <c r="C1957" s="87" t="s">
        <v>3781</v>
      </c>
      <c r="D1957" s="87" t="s">
        <v>3782</v>
      </c>
      <c r="E1957" s="87" t="s">
        <v>3783</v>
      </c>
      <c r="F1957" s="87">
        <v>36.184134999999998</v>
      </c>
      <c r="G1957" s="87">
        <v>43.037072271600003</v>
      </c>
      <c r="H1957" s="86">
        <v>1</v>
      </c>
      <c r="I1957" s="86">
        <v>6</v>
      </c>
      <c r="J1957" s="87"/>
      <c r="K1957" s="87"/>
      <c r="L1957" s="87"/>
      <c r="M1957" s="87"/>
      <c r="N1957" s="87"/>
      <c r="O1957" s="87"/>
      <c r="P1957" s="87"/>
      <c r="Q1957" s="87"/>
      <c r="R1957" s="87"/>
      <c r="S1957" s="87"/>
      <c r="T1957" s="87"/>
      <c r="U1957" s="87"/>
      <c r="V1957" s="87">
        <v>1</v>
      </c>
      <c r="W1957" s="87"/>
      <c r="X1957" s="87"/>
      <c r="Y1957" s="87"/>
      <c r="Z1957" s="87"/>
      <c r="AA1957" s="87"/>
      <c r="AB1957" s="87"/>
      <c r="AC1957" s="87">
        <v>1</v>
      </c>
      <c r="AD1957" s="87"/>
      <c r="AE1957" s="87"/>
      <c r="AF1957" s="87"/>
      <c r="AG1957" s="87"/>
      <c r="AH1957" s="87"/>
      <c r="AI1957" s="87"/>
      <c r="AJ1957" s="87"/>
      <c r="AK1957" s="87"/>
      <c r="AL1957" s="87"/>
      <c r="AM1957" s="87"/>
      <c r="AN1957" s="87"/>
      <c r="AO1957" s="87"/>
      <c r="AP1957" s="87"/>
      <c r="AQ1957" s="87"/>
      <c r="AR1957" s="87"/>
      <c r="AS1957" s="87"/>
      <c r="AT1957" s="87">
        <v>1</v>
      </c>
      <c r="AU1957" s="87"/>
      <c r="AV1957" s="87"/>
      <c r="AW1957" s="88" t="str">
        <f>HYPERLINK("http://www.openstreetmap.org/?mlat=36.1841&amp;mlon=43.0371&amp;zoom=12#map=12/36.1841/43.0371","Maplink1")</f>
        <v>Maplink1</v>
      </c>
      <c r="AX1957" s="88" t="str">
        <f>HYPERLINK("https://www.google.iq/maps/search/+36.1841,43.0371/@36.1841,43.0371,14z?hl=en","Maplink2")</f>
        <v>Maplink2</v>
      </c>
      <c r="AY1957" s="88" t="str">
        <f>HYPERLINK("http://www.bing.com/maps/?lvl=14&amp;sty=h&amp;cp=36.1841~43.0371&amp;sp=point.36.1841_43.0371","Maplink3")</f>
        <v>Maplink3</v>
      </c>
      <c r="AZ1957" s="76"/>
    </row>
    <row r="1958" spans="1:52" x14ac:dyDescent="0.25">
      <c r="A1958" s="86">
        <v>18001</v>
      </c>
      <c r="B1958" s="87" t="s">
        <v>24</v>
      </c>
      <c r="C1958" s="87" t="s">
        <v>3781</v>
      </c>
      <c r="D1958" s="87" t="s">
        <v>3784</v>
      </c>
      <c r="E1958" s="87" t="s">
        <v>3785</v>
      </c>
      <c r="F1958" s="87">
        <v>36.084716109200002</v>
      </c>
      <c r="G1958" s="87">
        <v>43.024217694000001</v>
      </c>
      <c r="H1958" s="86">
        <v>2</v>
      </c>
      <c r="I1958" s="86">
        <v>12</v>
      </c>
      <c r="J1958" s="87"/>
      <c r="K1958" s="87"/>
      <c r="L1958" s="87"/>
      <c r="M1958" s="87"/>
      <c r="N1958" s="87"/>
      <c r="O1958" s="87"/>
      <c r="P1958" s="87"/>
      <c r="Q1958" s="87"/>
      <c r="R1958" s="87"/>
      <c r="S1958" s="87"/>
      <c r="T1958" s="87"/>
      <c r="U1958" s="87"/>
      <c r="V1958" s="87">
        <v>2</v>
      </c>
      <c r="W1958" s="87"/>
      <c r="X1958" s="87"/>
      <c r="Y1958" s="87"/>
      <c r="Z1958" s="87"/>
      <c r="AA1958" s="87"/>
      <c r="AB1958" s="87"/>
      <c r="AC1958" s="87">
        <v>2</v>
      </c>
      <c r="AD1958" s="87"/>
      <c r="AE1958" s="87"/>
      <c r="AF1958" s="87"/>
      <c r="AG1958" s="87"/>
      <c r="AH1958" s="87"/>
      <c r="AI1958" s="87"/>
      <c r="AJ1958" s="87"/>
      <c r="AK1958" s="87"/>
      <c r="AL1958" s="87"/>
      <c r="AM1958" s="87"/>
      <c r="AN1958" s="87"/>
      <c r="AO1958" s="87"/>
      <c r="AP1958" s="87"/>
      <c r="AQ1958" s="87"/>
      <c r="AR1958" s="87"/>
      <c r="AS1958" s="87"/>
      <c r="AT1958" s="87">
        <v>2</v>
      </c>
      <c r="AU1958" s="87"/>
      <c r="AV1958" s="87"/>
      <c r="AW1958" s="88" t="str">
        <f>HYPERLINK("http://www.openstreetmap.org/?mlat=36.0847&amp;mlon=43.0242&amp;zoom=12#map=12/36.0847/43.0242","Maplink1")</f>
        <v>Maplink1</v>
      </c>
      <c r="AX1958" s="88" t="str">
        <f>HYPERLINK("https://www.google.iq/maps/search/+36.0847,43.0242/@36.0847,43.0242,14z?hl=en","Maplink2")</f>
        <v>Maplink2</v>
      </c>
      <c r="AY1958" s="88" t="str">
        <f>HYPERLINK("http://www.bing.com/maps/?lvl=14&amp;sty=h&amp;cp=36.0847~43.0242&amp;sp=point.36.0847_43.0242","Maplink3")</f>
        <v>Maplink3</v>
      </c>
      <c r="AZ1958" s="76"/>
    </row>
    <row r="1959" spans="1:52" x14ac:dyDescent="0.25">
      <c r="A1959" s="86">
        <v>17747</v>
      </c>
      <c r="B1959" s="87" t="s">
        <v>24</v>
      </c>
      <c r="C1959" s="87" t="s">
        <v>3781</v>
      </c>
      <c r="D1959" s="87" t="s">
        <v>3786</v>
      </c>
      <c r="E1959" s="87" t="s">
        <v>3787</v>
      </c>
      <c r="F1959" s="87">
        <v>36.12397</v>
      </c>
      <c r="G1959" s="87">
        <v>43.073706692199998</v>
      </c>
      <c r="H1959" s="86">
        <v>1</v>
      </c>
      <c r="I1959" s="86">
        <v>6</v>
      </c>
      <c r="J1959" s="87"/>
      <c r="K1959" s="87"/>
      <c r="L1959" s="87"/>
      <c r="M1959" s="87"/>
      <c r="N1959" s="87"/>
      <c r="O1959" s="87"/>
      <c r="P1959" s="87"/>
      <c r="Q1959" s="87"/>
      <c r="R1959" s="87"/>
      <c r="S1959" s="87"/>
      <c r="T1959" s="87"/>
      <c r="U1959" s="87"/>
      <c r="V1959" s="87">
        <v>1</v>
      </c>
      <c r="W1959" s="87"/>
      <c r="X1959" s="87"/>
      <c r="Y1959" s="87"/>
      <c r="Z1959" s="87"/>
      <c r="AA1959" s="87"/>
      <c r="AB1959" s="87"/>
      <c r="AC1959" s="87">
        <v>1</v>
      </c>
      <c r="AD1959" s="87"/>
      <c r="AE1959" s="87"/>
      <c r="AF1959" s="87"/>
      <c r="AG1959" s="87"/>
      <c r="AH1959" s="87"/>
      <c r="AI1959" s="87"/>
      <c r="AJ1959" s="87"/>
      <c r="AK1959" s="87"/>
      <c r="AL1959" s="87"/>
      <c r="AM1959" s="87"/>
      <c r="AN1959" s="87"/>
      <c r="AO1959" s="87"/>
      <c r="AP1959" s="87"/>
      <c r="AQ1959" s="87"/>
      <c r="AR1959" s="87"/>
      <c r="AS1959" s="87"/>
      <c r="AT1959" s="87">
        <v>1</v>
      </c>
      <c r="AU1959" s="87"/>
      <c r="AV1959" s="87"/>
      <c r="AW1959" s="88" t="str">
        <f>HYPERLINK("http://www.openstreetmap.org/?mlat=36.124&amp;mlon=43.0737&amp;zoom=12#map=12/36.124/43.0737","Maplink1")</f>
        <v>Maplink1</v>
      </c>
      <c r="AX1959" s="88" t="str">
        <f>HYPERLINK("https://www.google.iq/maps/search/+36.124,43.0737/@36.124,43.0737,14z?hl=en","Maplink2")</f>
        <v>Maplink2</v>
      </c>
      <c r="AY1959" s="88" t="str">
        <f>HYPERLINK("http://www.bing.com/maps/?lvl=14&amp;sty=h&amp;cp=36.124~43.0737&amp;sp=point.36.124_43.0737","Maplink3")</f>
        <v>Maplink3</v>
      </c>
      <c r="AZ1959" s="76"/>
    </row>
    <row r="1960" spans="1:52" x14ac:dyDescent="0.25">
      <c r="A1960" s="86">
        <v>23930</v>
      </c>
      <c r="B1960" s="87" t="s">
        <v>24</v>
      </c>
      <c r="C1960" s="87" t="s">
        <v>3781</v>
      </c>
      <c r="D1960" s="87" t="s">
        <v>3788</v>
      </c>
      <c r="E1960" s="87" t="s">
        <v>3789</v>
      </c>
      <c r="F1960" s="87">
        <v>35.711837043800003</v>
      </c>
      <c r="G1960" s="87">
        <v>43.305641544099998</v>
      </c>
      <c r="H1960" s="86">
        <v>7</v>
      </c>
      <c r="I1960" s="86">
        <v>42</v>
      </c>
      <c r="J1960" s="87"/>
      <c r="K1960" s="87"/>
      <c r="L1960" s="87"/>
      <c r="M1960" s="87"/>
      <c r="N1960" s="87"/>
      <c r="O1960" s="87"/>
      <c r="P1960" s="87"/>
      <c r="Q1960" s="87"/>
      <c r="R1960" s="87"/>
      <c r="S1960" s="87"/>
      <c r="T1960" s="87"/>
      <c r="U1960" s="87"/>
      <c r="V1960" s="87"/>
      <c r="W1960" s="87"/>
      <c r="X1960" s="87">
        <v>7</v>
      </c>
      <c r="Y1960" s="87"/>
      <c r="Z1960" s="87"/>
      <c r="AA1960" s="87"/>
      <c r="AB1960" s="87"/>
      <c r="AC1960" s="87"/>
      <c r="AD1960" s="87"/>
      <c r="AE1960" s="87"/>
      <c r="AF1960" s="87"/>
      <c r="AG1960" s="87"/>
      <c r="AH1960" s="87">
        <v>7</v>
      </c>
      <c r="AI1960" s="87"/>
      <c r="AJ1960" s="87"/>
      <c r="AK1960" s="87"/>
      <c r="AL1960" s="87"/>
      <c r="AM1960" s="87"/>
      <c r="AN1960" s="87"/>
      <c r="AO1960" s="87"/>
      <c r="AP1960" s="87"/>
      <c r="AQ1960" s="87"/>
      <c r="AR1960" s="87"/>
      <c r="AS1960" s="87">
        <v>7</v>
      </c>
      <c r="AT1960" s="87"/>
      <c r="AU1960" s="87"/>
      <c r="AV1960" s="87"/>
      <c r="AW1960" s="88" t="str">
        <f>HYPERLINK("http://www.openstreetmap.org/?mlat=35.7118&amp;mlon=43.3056&amp;zoom=12#map=12/35.7118/43.3056","Maplink1")</f>
        <v>Maplink1</v>
      </c>
      <c r="AX1960" s="88" t="str">
        <f>HYPERLINK("https://www.google.iq/maps/search/+35.7118,43.3056/@35.7118,43.3056,14z?hl=en","Maplink2")</f>
        <v>Maplink2</v>
      </c>
      <c r="AY1960" s="88" t="str">
        <f>HYPERLINK("http://www.bing.com/maps/?lvl=14&amp;sty=h&amp;cp=35.7118~43.3056&amp;sp=point.35.7118_43.3056","Maplink3")</f>
        <v>Maplink3</v>
      </c>
      <c r="AZ1960" s="76"/>
    </row>
    <row r="1961" spans="1:52" x14ac:dyDescent="0.25">
      <c r="A1961" s="86">
        <v>24549</v>
      </c>
      <c r="B1961" s="87" t="s">
        <v>24</v>
      </c>
      <c r="C1961" s="87" t="s">
        <v>3781</v>
      </c>
      <c r="D1961" s="87" t="s">
        <v>3790</v>
      </c>
      <c r="E1961" s="87" t="s">
        <v>3791</v>
      </c>
      <c r="F1961" s="87">
        <v>36.362400000000001</v>
      </c>
      <c r="G1961" s="87">
        <v>43.071599999999997</v>
      </c>
      <c r="H1961" s="86">
        <v>733</v>
      </c>
      <c r="I1961" s="86">
        <v>4398</v>
      </c>
      <c r="J1961" s="87"/>
      <c r="K1961" s="87"/>
      <c r="L1961" s="87"/>
      <c r="M1961" s="87"/>
      <c r="N1961" s="87"/>
      <c r="O1961" s="87"/>
      <c r="P1961" s="87"/>
      <c r="Q1961" s="87"/>
      <c r="R1961" s="87"/>
      <c r="S1961" s="87"/>
      <c r="T1961" s="87"/>
      <c r="U1961" s="87"/>
      <c r="V1961" s="87">
        <v>707</v>
      </c>
      <c r="W1961" s="87"/>
      <c r="X1961" s="87">
        <v>26</v>
      </c>
      <c r="Y1961" s="87"/>
      <c r="Z1961" s="87"/>
      <c r="AA1961" s="87"/>
      <c r="AB1961" s="87"/>
      <c r="AC1961" s="87">
        <v>55</v>
      </c>
      <c r="AD1961" s="87"/>
      <c r="AE1961" s="87">
        <v>81</v>
      </c>
      <c r="AF1961" s="87"/>
      <c r="AG1961" s="87">
        <v>25</v>
      </c>
      <c r="AH1961" s="87">
        <v>329</v>
      </c>
      <c r="AI1961" s="87"/>
      <c r="AJ1961" s="87">
        <v>31</v>
      </c>
      <c r="AK1961" s="87">
        <v>172</v>
      </c>
      <c r="AL1961" s="87"/>
      <c r="AM1961" s="87">
        <v>40</v>
      </c>
      <c r="AN1961" s="87"/>
      <c r="AO1961" s="87"/>
      <c r="AP1961" s="87">
        <v>37</v>
      </c>
      <c r="AQ1961" s="87">
        <v>243</v>
      </c>
      <c r="AR1961" s="87">
        <v>310</v>
      </c>
      <c r="AS1961" s="87">
        <v>143</v>
      </c>
      <c r="AT1961" s="87"/>
      <c r="AU1961" s="87"/>
      <c r="AV1961" s="87"/>
      <c r="AW1961" s="88" t="str">
        <f>HYPERLINK("http://www.openstreetmap.org/?mlat=36.3624&amp;mlon=43.0716&amp;zoom=12#map=12/36.3624/43.0716","Maplink1")</f>
        <v>Maplink1</v>
      </c>
      <c r="AX1961" s="88" t="str">
        <f>HYPERLINK("https://www.google.iq/maps/search/+36.3624,43.0716/@36.3624,43.0716,14z?hl=en","Maplink2")</f>
        <v>Maplink2</v>
      </c>
      <c r="AY1961" s="88" t="str">
        <f>HYPERLINK("http://www.bing.com/maps/?lvl=14&amp;sty=h&amp;cp=36.3624~43.0716&amp;sp=point.36.3624_43.0716","Maplink3")</f>
        <v>Maplink3</v>
      </c>
      <c r="AZ1961" s="76"/>
    </row>
    <row r="1962" spans="1:52" x14ac:dyDescent="0.25">
      <c r="A1962" s="86">
        <v>29701</v>
      </c>
      <c r="B1962" s="87" t="s">
        <v>24</v>
      </c>
      <c r="C1962" s="87" t="s">
        <v>3781</v>
      </c>
      <c r="D1962" s="87" t="s">
        <v>3792</v>
      </c>
      <c r="E1962" s="87" t="s">
        <v>3793</v>
      </c>
      <c r="F1962" s="87">
        <v>35.772315614699998</v>
      </c>
      <c r="G1962" s="87">
        <v>43.2846771408</v>
      </c>
      <c r="H1962" s="86">
        <v>28</v>
      </c>
      <c r="I1962" s="86">
        <v>168</v>
      </c>
      <c r="J1962" s="87"/>
      <c r="K1962" s="87"/>
      <c r="L1962" s="87"/>
      <c r="M1962" s="87"/>
      <c r="N1962" s="87"/>
      <c r="O1962" s="87"/>
      <c r="P1962" s="87"/>
      <c r="Q1962" s="87"/>
      <c r="R1962" s="87"/>
      <c r="S1962" s="87"/>
      <c r="T1962" s="87"/>
      <c r="U1962" s="87"/>
      <c r="V1962" s="87">
        <v>25</v>
      </c>
      <c r="W1962" s="87"/>
      <c r="X1962" s="87">
        <v>3</v>
      </c>
      <c r="Y1962" s="87"/>
      <c r="Z1962" s="87"/>
      <c r="AA1962" s="87"/>
      <c r="AB1962" s="87"/>
      <c r="AC1962" s="87"/>
      <c r="AD1962" s="87"/>
      <c r="AE1962" s="87"/>
      <c r="AF1962" s="87"/>
      <c r="AG1962" s="87"/>
      <c r="AH1962" s="87">
        <v>28</v>
      </c>
      <c r="AI1962" s="87"/>
      <c r="AJ1962" s="87"/>
      <c r="AK1962" s="87"/>
      <c r="AL1962" s="87"/>
      <c r="AM1962" s="87"/>
      <c r="AN1962" s="87"/>
      <c r="AO1962" s="87"/>
      <c r="AP1962" s="87"/>
      <c r="AQ1962" s="87"/>
      <c r="AR1962" s="87"/>
      <c r="AS1962" s="87"/>
      <c r="AT1962" s="87">
        <v>28</v>
      </c>
      <c r="AU1962" s="87"/>
      <c r="AV1962" s="87"/>
      <c r="AW1962" s="88" t="str">
        <f>HYPERLINK("http://www.openstreetmap.org/?mlat=35.7723&amp;mlon=43.2847&amp;zoom=12#map=12/35.7723/43.2847","Maplink1")</f>
        <v>Maplink1</v>
      </c>
      <c r="AX1962" s="88" t="str">
        <f>HYPERLINK("https://www.google.iq/maps/search/+35.7723,43.2847/@35.7723,43.2847,14z?hl=en","Maplink2")</f>
        <v>Maplink2</v>
      </c>
      <c r="AY1962" s="88" t="str">
        <f>HYPERLINK("http://www.bing.com/maps/?lvl=14&amp;sty=h&amp;cp=35.7723~43.2847&amp;sp=point.35.7723_43.2847","Maplink3")</f>
        <v>Maplink3</v>
      </c>
      <c r="AZ1962" s="76"/>
    </row>
    <row r="1963" spans="1:52" x14ac:dyDescent="0.25">
      <c r="A1963" s="86">
        <v>18361</v>
      </c>
      <c r="B1963" s="87" t="s">
        <v>24</v>
      </c>
      <c r="C1963" s="87" t="s">
        <v>3781</v>
      </c>
      <c r="D1963" s="87" t="s">
        <v>3794</v>
      </c>
      <c r="E1963" s="87" t="s">
        <v>3795</v>
      </c>
      <c r="F1963" s="87">
        <v>36.356439871399999</v>
      </c>
      <c r="G1963" s="87">
        <v>43.167073293800001</v>
      </c>
      <c r="H1963" s="86">
        <v>674</v>
      </c>
      <c r="I1963" s="86">
        <v>4044</v>
      </c>
      <c r="J1963" s="87"/>
      <c r="K1963" s="87"/>
      <c r="L1963" s="87"/>
      <c r="M1963" s="87"/>
      <c r="N1963" s="87"/>
      <c r="O1963" s="87"/>
      <c r="P1963" s="87"/>
      <c r="Q1963" s="87"/>
      <c r="R1963" s="87"/>
      <c r="S1963" s="87"/>
      <c r="T1963" s="87"/>
      <c r="U1963" s="87"/>
      <c r="V1963" s="87">
        <v>674</v>
      </c>
      <c r="W1963" s="87"/>
      <c r="X1963" s="87"/>
      <c r="Y1963" s="87"/>
      <c r="Z1963" s="87"/>
      <c r="AA1963" s="87"/>
      <c r="AB1963" s="87"/>
      <c r="AC1963" s="87">
        <v>30</v>
      </c>
      <c r="AD1963" s="87"/>
      <c r="AE1963" s="87"/>
      <c r="AF1963" s="87"/>
      <c r="AG1963" s="87"/>
      <c r="AH1963" s="87">
        <v>644</v>
      </c>
      <c r="AI1963" s="87"/>
      <c r="AJ1963" s="87"/>
      <c r="AK1963" s="87"/>
      <c r="AL1963" s="87"/>
      <c r="AM1963" s="87"/>
      <c r="AN1963" s="87"/>
      <c r="AO1963" s="87"/>
      <c r="AP1963" s="87">
        <v>120</v>
      </c>
      <c r="AQ1963" s="87"/>
      <c r="AR1963" s="87"/>
      <c r="AS1963" s="87"/>
      <c r="AT1963" s="87">
        <v>554</v>
      </c>
      <c r="AU1963" s="87"/>
      <c r="AV1963" s="87"/>
      <c r="AW1963" s="88" t="str">
        <f>HYPERLINK("http://www.openstreetmap.org/?mlat=36.3564&amp;mlon=43.1671&amp;zoom=12#map=12/36.3564/43.1671","Maplink1")</f>
        <v>Maplink1</v>
      </c>
      <c r="AX1963" s="88" t="str">
        <f>HYPERLINK("https://www.google.iq/maps/search/+36.3564,43.1671/@36.3564,43.1671,14z?hl=en","Maplink2")</f>
        <v>Maplink2</v>
      </c>
      <c r="AY1963" s="88" t="str">
        <f>HYPERLINK("http://www.bing.com/maps/?lvl=14&amp;sty=h&amp;cp=36.3564~43.1671&amp;sp=point.36.3564_43.1671","Maplink3")</f>
        <v>Maplink3</v>
      </c>
      <c r="AZ1963" s="76"/>
    </row>
    <row r="1964" spans="1:52" x14ac:dyDescent="0.25">
      <c r="A1964" s="86">
        <v>18377</v>
      </c>
      <c r="B1964" s="87" t="s">
        <v>24</v>
      </c>
      <c r="C1964" s="87" t="s">
        <v>3781</v>
      </c>
      <c r="D1964" s="87" t="s">
        <v>3796</v>
      </c>
      <c r="E1964" s="87" t="s">
        <v>3797</v>
      </c>
      <c r="F1964" s="87">
        <v>36.403236683000003</v>
      </c>
      <c r="G1964" s="87">
        <v>43.093517102600003</v>
      </c>
      <c r="H1964" s="86">
        <v>1560</v>
      </c>
      <c r="I1964" s="86">
        <v>9360</v>
      </c>
      <c r="J1964" s="87"/>
      <c r="K1964" s="87"/>
      <c r="L1964" s="87"/>
      <c r="M1964" s="87"/>
      <c r="N1964" s="87"/>
      <c r="O1964" s="87"/>
      <c r="P1964" s="87"/>
      <c r="Q1964" s="87"/>
      <c r="R1964" s="87"/>
      <c r="S1964" s="87"/>
      <c r="T1964" s="87"/>
      <c r="U1964" s="87"/>
      <c r="V1964" s="87">
        <v>1560</v>
      </c>
      <c r="W1964" s="87"/>
      <c r="X1964" s="87"/>
      <c r="Y1964" s="87"/>
      <c r="Z1964" s="87"/>
      <c r="AA1964" s="87"/>
      <c r="AB1964" s="87"/>
      <c r="AC1964" s="87">
        <v>18</v>
      </c>
      <c r="AD1964" s="87"/>
      <c r="AE1964" s="87"/>
      <c r="AF1964" s="87"/>
      <c r="AG1964" s="87"/>
      <c r="AH1964" s="87">
        <v>1510</v>
      </c>
      <c r="AI1964" s="87"/>
      <c r="AJ1964" s="87"/>
      <c r="AK1964" s="87">
        <v>32</v>
      </c>
      <c r="AL1964" s="87"/>
      <c r="AM1964" s="87"/>
      <c r="AN1964" s="87"/>
      <c r="AO1964" s="87"/>
      <c r="AP1964" s="87">
        <v>450</v>
      </c>
      <c r="AQ1964" s="87"/>
      <c r="AR1964" s="87"/>
      <c r="AS1964" s="87"/>
      <c r="AT1964" s="87">
        <v>1110</v>
      </c>
      <c r="AU1964" s="87"/>
      <c r="AV1964" s="87"/>
      <c r="AW1964" s="88" t="str">
        <f>HYPERLINK("http://www.openstreetmap.org/?mlat=36.4032&amp;mlon=43.0935&amp;zoom=12#map=12/36.4032/43.0935","Maplink1")</f>
        <v>Maplink1</v>
      </c>
      <c r="AX1964" s="88" t="str">
        <f>HYPERLINK("https://www.google.iq/maps/search/+36.4032,43.0935/@36.4032,43.0935,14z?hl=en","Maplink2")</f>
        <v>Maplink2</v>
      </c>
      <c r="AY1964" s="88" t="str">
        <f>HYPERLINK("http://www.bing.com/maps/?lvl=14&amp;sty=h&amp;cp=36.4032~43.0935&amp;sp=point.36.4032_43.0935","Maplink3")</f>
        <v>Maplink3</v>
      </c>
      <c r="AZ1964" s="76"/>
    </row>
    <row r="1965" spans="1:52" x14ac:dyDescent="0.25">
      <c r="A1965" s="86">
        <v>24617</v>
      </c>
      <c r="B1965" s="87" t="s">
        <v>24</v>
      </c>
      <c r="C1965" s="87" t="s">
        <v>3781</v>
      </c>
      <c r="D1965" s="87" t="s">
        <v>3798</v>
      </c>
      <c r="E1965" s="87" t="s">
        <v>3799</v>
      </c>
      <c r="F1965" s="87">
        <v>36.306155693800001</v>
      </c>
      <c r="G1965" s="87">
        <v>43.2062825199</v>
      </c>
      <c r="H1965" s="86">
        <v>30</v>
      </c>
      <c r="I1965" s="86">
        <v>180</v>
      </c>
      <c r="J1965" s="87"/>
      <c r="K1965" s="87"/>
      <c r="L1965" s="87"/>
      <c r="M1965" s="87"/>
      <c r="N1965" s="87"/>
      <c r="O1965" s="87"/>
      <c r="P1965" s="87"/>
      <c r="Q1965" s="87"/>
      <c r="R1965" s="87"/>
      <c r="S1965" s="87"/>
      <c r="T1965" s="87"/>
      <c r="U1965" s="87"/>
      <c r="V1965" s="87">
        <v>30</v>
      </c>
      <c r="W1965" s="87"/>
      <c r="X1965" s="87"/>
      <c r="Y1965" s="87"/>
      <c r="Z1965" s="87"/>
      <c r="AA1965" s="87"/>
      <c r="AB1965" s="87"/>
      <c r="AC1965" s="87">
        <v>3</v>
      </c>
      <c r="AD1965" s="87"/>
      <c r="AE1965" s="87"/>
      <c r="AF1965" s="87"/>
      <c r="AG1965" s="87"/>
      <c r="AH1965" s="87">
        <v>27</v>
      </c>
      <c r="AI1965" s="87"/>
      <c r="AJ1965" s="87"/>
      <c r="AK1965" s="87"/>
      <c r="AL1965" s="87"/>
      <c r="AM1965" s="87"/>
      <c r="AN1965" s="87"/>
      <c r="AO1965" s="87"/>
      <c r="AP1965" s="87">
        <v>7</v>
      </c>
      <c r="AQ1965" s="87"/>
      <c r="AR1965" s="87"/>
      <c r="AS1965" s="87"/>
      <c r="AT1965" s="87">
        <v>23</v>
      </c>
      <c r="AU1965" s="87"/>
      <c r="AV1965" s="87"/>
      <c r="AW1965" s="88" t="str">
        <f>HYPERLINK("http://www.openstreetmap.org/?mlat=36.3062&amp;mlon=43.2063&amp;zoom=12#map=12/36.3062/43.2063","Maplink1")</f>
        <v>Maplink1</v>
      </c>
      <c r="AX1965" s="88" t="str">
        <f>HYPERLINK("https://www.google.iq/maps/search/+36.3062,43.2063/@36.3062,43.2063,14z?hl=en","Maplink2")</f>
        <v>Maplink2</v>
      </c>
      <c r="AY1965" s="88" t="str">
        <f>HYPERLINK("http://www.bing.com/maps/?lvl=14&amp;sty=h&amp;cp=36.3062~43.2063&amp;sp=point.36.3062_43.2063","Maplink3")</f>
        <v>Maplink3</v>
      </c>
      <c r="AZ1965" s="76"/>
    </row>
    <row r="1966" spans="1:52" x14ac:dyDescent="0.25">
      <c r="A1966" s="86">
        <v>33289</v>
      </c>
      <c r="B1966" s="87" t="s">
        <v>24</v>
      </c>
      <c r="C1966" s="87" t="s">
        <v>3781</v>
      </c>
      <c r="D1966" s="87" t="s">
        <v>3800</v>
      </c>
      <c r="E1966" s="87" t="s">
        <v>3239</v>
      </c>
      <c r="F1966" s="87">
        <v>36.340528877799997</v>
      </c>
      <c r="G1966" s="87">
        <v>43.086808135699997</v>
      </c>
      <c r="H1966" s="86">
        <v>197</v>
      </c>
      <c r="I1966" s="86">
        <v>1182</v>
      </c>
      <c r="J1966" s="87"/>
      <c r="K1966" s="87"/>
      <c r="L1966" s="87"/>
      <c r="M1966" s="87"/>
      <c r="N1966" s="87"/>
      <c r="O1966" s="87"/>
      <c r="P1966" s="87"/>
      <c r="Q1966" s="87"/>
      <c r="R1966" s="87"/>
      <c r="S1966" s="87"/>
      <c r="T1966" s="87"/>
      <c r="U1966" s="87"/>
      <c r="V1966" s="87">
        <v>197</v>
      </c>
      <c r="W1966" s="87"/>
      <c r="X1966" s="87"/>
      <c r="Y1966" s="87"/>
      <c r="Z1966" s="87"/>
      <c r="AA1966" s="87"/>
      <c r="AB1966" s="87"/>
      <c r="AC1966" s="87"/>
      <c r="AD1966" s="87"/>
      <c r="AE1966" s="87"/>
      <c r="AF1966" s="87"/>
      <c r="AG1966" s="87"/>
      <c r="AH1966" s="87">
        <v>180</v>
      </c>
      <c r="AI1966" s="87">
        <v>17</v>
      </c>
      <c r="AJ1966" s="87"/>
      <c r="AK1966" s="87"/>
      <c r="AL1966" s="87"/>
      <c r="AM1966" s="87"/>
      <c r="AN1966" s="87"/>
      <c r="AO1966" s="87"/>
      <c r="AP1966" s="87"/>
      <c r="AQ1966" s="87"/>
      <c r="AR1966" s="87">
        <v>28</v>
      </c>
      <c r="AS1966" s="87"/>
      <c r="AT1966" s="87">
        <v>169</v>
      </c>
      <c r="AU1966" s="87"/>
      <c r="AV1966" s="87"/>
      <c r="AW1966" s="88" t="str">
        <f>HYPERLINK("http://www.openstreetmap.org/?mlat=36.3405&amp;mlon=43.0868&amp;zoom=12#map=12/36.3405/43.0868","Maplink1")</f>
        <v>Maplink1</v>
      </c>
      <c r="AX1966" s="88" t="str">
        <f>HYPERLINK("https://www.google.iq/maps/search/+36.3405,43.0868/@36.3405,43.0868,14z?hl=en","Maplink2")</f>
        <v>Maplink2</v>
      </c>
      <c r="AY1966" s="88" t="str">
        <f>HYPERLINK("http://www.bing.com/maps/?lvl=14&amp;sty=h&amp;cp=36.3405~43.0868&amp;sp=point.36.3405_43.0868","Maplink3")</f>
        <v>Maplink3</v>
      </c>
      <c r="AZ1966" s="76"/>
    </row>
    <row r="1967" spans="1:52" x14ac:dyDescent="0.25">
      <c r="A1967" s="86">
        <v>18356</v>
      </c>
      <c r="B1967" s="87" t="s">
        <v>24</v>
      </c>
      <c r="C1967" s="87" t="s">
        <v>3781</v>
      </c>
      <c r="D1967" s="87" t="s">
        <v>3801</v>
      </c>
      <c r="E1967" s="87" t="s">
        <v>2359</v>
      </c>
      <c r="F1967" s="87">
        <v>36.390944412300001</v>
      </c>
      <c r="G1967" s="87">
        <v>43.204468095899998</v>
      </c>
      <c r="H1967" s="86">
        <v>288</v>
      </c>
      <c r="I1967" s="86">
        <v>1728</v>
      </c>
      <c r="J1967" s="87"/>
      <c r="K1967" s="87"/>
      <c r="L1967" s="87"/>
      <c r="M1967" s="87"/>
      <c r="N1967" s="87"/>
      <c r="O1967" s="87"/>
      <c r="P1967" s="87"/>
      <c r="Q1967" s="87"/>
      <c r="R1967" s="87"/>
      <c r="S1967" s="87"/>
      <c r="T1967" s="87"/>
      <c r="U1967" s="87"/>
      <c r="V1967" s="87">
        <v>288</v>
      </c>
      <c r="W1967" s="87"/>
      <c r="X1967" s="87"/>
      <c r="Y1967" s="87"/>
      <c r="Z1967" s="87"/>
      <c r="AA1967" s="87"/>
      <c r="AB1967" s="87"/>
      <c r="AC1967" s="87">
        <v>15</v>
      </c>
      <c r="AD1967" s="87"/>
      <c r="AE1967" s="87"/>
      <c r="AF1967" s="87"/>
      <c r="AG1967" s="87"/>
      <c r="AH1967" s="87">
        <v>268</v>
      </c>
      <c r="AI1967" s="87"/>
      <c r="AJ1967" s="87"/>
      <c r="AK1967" s="87">
        <v>5</v>
      </c>
      <c r="AL1967" s="87"/>
      <c r="AM1967" s="87"/>
      <c r="AN1967" s="87"/>
      <c r="AO1967" s="87"/>
      <c r="AP1967" s="87">
        <v>69</v>
      </c>
      <c r="AQ1967" s="87"/>
      <c r="AR1967" s="87"/>
      <c r="AS1967" s="87"/>
      <c r="AT1967" s="87">
        <v>219</v>
      </c>
      <c r="AU1967" s="87"/>
      <c r="AV1967" s="87"/>
      <c r="AW1967" s="88" t="str">
        <f>HYPERLINK("http://www.openstreetmap.org/?mlat=36.3909&amp;mlon=43.2045&amp;zoom=12#map=12/36.3909/43.2045","Maplink1")</f>
        <v>Maplink1</v>
      </c>
      <c r="AX1967" s="88" t="str">
        <f>HYPERLINK("https://www.google.iq/maps/search/+36.3909,43.2045/@36.3909,43.2045,14z?hl=en","Maplink2")</f>
        <v>Maplink2</v>
      </c>
      <c r="AY1967" s="88" t="str">
        <f>HYPERLINK("http://www.bing.com/maps/?lvl=14&amp;sty=h&amp;cp=36.3909~43.2045&amp;sp=point.36.3909_43.2045","Maplink3")</f>
        <v>Maplink3</v>
      </c>
      <c r="AZ1967" s="76"/>
    </row>
    <row r="1968" spans="1:52" x14ac:dyDescent="0.25">
      <c r="A1968" s="86">
        <v>25066</v>
      </c>
      <c r="B1968" s="87" t="s">
        <v>24</v>
      </c>
      <c r="C1968" s="87" t="s">
        <v>3781</v>
      </c>
      <c r="D1968" s="87" t="s">
        <v>3802</v>
      </c>
      <c r="E1968" s="87" t="s">
        <v>3803</v>
      </c>
      <c r="F1968" s="87">
        <v>36.341839</v>
      </c>
      <c r="G1968" s="87">
        <v>43.052996</v>
      </c>
      <c r="H1968" s="86">
        <v>285</v>
      </c>
      <c r="I1968" s="86">
        <v>1710</v>
      </c>
      <c r="J1968" s="87">
        <v>7</v>
      </c>
      <c r="K1968" s="87"/>
      <c r="L1968" s="87"/>
      <c r="M1968" s="87"/>
      <c r="N1968" s="87"/>
      <c r="O1968" s="87"/>
      <c r="P1968" s="87"/>
      <c r="Q1968" s="87"/>
      <c r="R1968" s="87"/>
      <c r="S1968" s="87"/>
      <c r="T1968" s="87"/>
      <c r="U1968" s="87"/>
      <c r="V1968" s="87">
        <v>268</v>
      </c>
      <c r="W1968" s="87"/>
      <c r="X1968" s="87">
        <v>10</v>
      </c>
      <c r="Y1968" s="87"/>
      <c r="Z1968" s="87"/>
      <c r="AA1968" s="87"/>
      <c r="AB1968" s="87"/>
      <c r="AC1968" s="87">
        <v>51</v>
      </c>
      <c r="AD1968" s="87"/>
      <c r="AE1968" s="87">
        <v>17</v>
      </c>
      <c r="AF1968" s="87"/>
      <c r="AG1968" s="87"/>
      <c r="AH1968" s="87">
        <v>42</v>
      </c>
      <c r="AI1968" s="87"/>
      <c r="AJ1968" s="87"/>
      <c r="AK1968" s="87">
        <v>121</v>
      </c>
      <c r="AL1968" s="87"/>
      <c r="AM1968" s="87">
        <v>54</v>
      </c>
      <c r="AN1968" s="87"/>
      <c r="AO1968" s="87"/>
      <c r="AP1968" s="87"/>
      <c r="AQ1968" s="87">
        <v>53</v>
      </c>
      <c r="AR1968" s="87">
        <v>82</v>
      </c>
      <c r="AS1968" s="87">
        <v>150</v>
      </c>
      <c r="AT1968" s="87"/>
      <c r="AU1968" s="87"/>
      <c r="AV1968" s="87"/>
      <c r="AW1968" s="88" t="str">
        <f>HYPERLINK("http://www.openstreetmap.org/?mlat=36.3418&amp;mlon=43.053&amp;zoom=12#map=12/36.3418/43.053","Maplink1")</f>
        <v>Maplink1</v>
      </c>
      <c r="AX1968" s="88" t="str">
        <f>HYPERLINK("https://www.google.iq/maps/search/+36.3418,43.053/@36.3418,43.053,14z?hl=en","Maplink2")</f>
        <v>Maplink2</v>
      </c>
      <c r="AY1968" s="88" t="str">
        <f>HYPERLINK("http://www.bing.com/maps/?lvl=14&amp;sty=h&amp;cp=36.3418~43.053&amp;sp=point.36.3418_43.053","Maplink3")</f>
        <v>Maplink3</v>
      </c>
      <c r="AZ1968" s="76"/>
    </row>
    <row r="1969" spans="1:52" x14ac:dyDescent="0.25">
      <c r="A1969" s="86">
        <v>33250</v>
      </c>
      <c r="B1969" s="87" t="s">
        <v>24</v>
      </c>
      <c r="C1969" s="87" t="s">
        <v>3781</v>
      </c>
      <c r="D1969" s="87" t="s">
        <v>3804</v>
      </c>
      <c r="E1969" s="87" t="s">
        <v>3805</v>
      </c>
      <c r="F1969" s="87">
        <v>36.339454958099999</v>
      </c>
      <c r="G1969" s="87">
        <v>43.096987118900003</v>
      </c>
      <c r="H1969" s="86">
        <v>68</v>
      </c>
      <c r="I1969" s="86">
        <v>408</v>
      </c>
      <c r="J1969" s="87"/>
      <c r="K1969" s="87"/>
      <c r="L1969" s="87"/>
      <c r="M1969" s="87"/>
      <c r="N1969" s="87"/>
      <c r="O1969" s="87"/>
      <c r="P1969" s="87"/>
      <c r="Q1969" s="87"/>
      <c r="R1969" s="87"/>
      <c r="S1969" s="87"/>
      <c r="T1969" s="87"/>
      <c r="U1969" s="87"/>
      <c r="V1969" s="87">
        <v>68</v>
      </c>
      <c r="W1969" s="87"/>
      <c r="X1969" s="87"/>
      <c r="Y1969" s="87"/>
      <c r="Z1969" s="87"/>
      <c r="AA1969" s="87"/>
      <c r="AB1969" s="87"/>
      <c r="AC1969" s="87"/>
      <c r="AD1969" s="87"/>
      <c r="AE1969" s="87"/>
      <c r="AF1969" s="87"/>
      <c r="AG1969" s="87"/>
      <c r="AH1969" s="87">
        <v>45</v>
      </c>
      <c r="AI1969" s="87">
        <v>23</v>
      </c>
      <c r="AJ1969" s="87"/>
      <c r="AK1969" s="87"/>
      <c r="AL1969" s="87"/>
      <c r="AM1969" s="87"/>
      <c r="AN1969" s="87"/>
      <c r="AO1969" s="87"/>
      <c r="AP1969" s="87"/>
      <c r="AQ1969" s="87"/>
      <c r="AR1969" s="87">
        <v>14</v>
      </c>
      <c r="AS1969" s="87"/>
      <c r="AT1969" s="87">
        <v>54</v>
      </c>
      <c r="AU1969" s="87"/>
      <c r="AV1969" s="87"/>
      <c r="AW1969" s="88" t="str">
        <f>HYPERLINK("http://www.openstreetmap.org/?mlat=36.3395&amp;mlon=43.097&amp;zoom=12#map=12/36.3395/43.097","Maplink1")</f>
        <v>Maplink1</v>
      </c>
      <c r="AX1969" s="88" t="str">
        <f>HYPERLINK("https://www.google.iq/maps/search/+36.3395,43.097/@36.3395,43.097,14z?hl=en","Maplink2")</f>
        <v>Maplink2</v>
      </c>
      <c r="AY1969" s="88" t="str">
        <f>HYPERLINK("http://www.bing.com/maps/?lvl=14&amp;sty=h&amp;cp=36.3395~43.097&amp;sp=point.36.3395_43.097","Maplink3")</f>
        <v>Maplink3</v>
      </c>
      <c r="AZ1969" s="76"/>
    </row>
    <row r="1970" spans="1:52" x14ac:dyDescent="0.25">
      <c r="A1970" s="86">
        <v>18328</v>
      </c>
      <c r="B1970" s="87" t="s">
        <v>24</v>
      </c>
      <c r="C1970" s="87" t="s">
        <v>3781</v>
      </c>
      <c r="D1970" s="87" t="s">
        <v>3806</v>
      </c>
      <c r="E1970" s="87" t="s">
        <v>3807</v>
      </c>
      <c r="F1970" s="87">
        <v>36.357374331499997</v>
      </c>
      <c r="G1970" s="87">
        <v>43.203410561799998</v>
      </c>
      <c r="H1970" s="86">
        <v>161</v>
      </c>
      <c r="I1970" s="86">
        <v>966</v>
      </c>
      <c r="J1970" s="87"/>
      <c r="K1970" s="87"/>
      <c r="L1970" s="87"/>
      <c r="M1970" s="87"/>
      <c r="N1970" s="87"/>
      <c r="O1970" s="87"/>
      <c r="P1970" s="87"/>
      <c r="Q1970" s="87"/>
      <c r="R1970" s="87"/>
      <c r="S1970" s="87"/>
      <c r="T1970" s="87"/>
      <c r="U1970" s="87"/>
      <c r="V1970" s="87">
        <v>161</v>
      </c>
      <c r="W1970" s="87"/>
      <c r="X1970" s="87"/>
      <c r="Y1970" s="87"/>
      <c r="Z1970" s="87"/>
      <c r="AA1970" s="87"/>
      <c r="AB1970" s="87"/>
      <c r="AC1970" s="87">
        <v>25</v>
      </c>
      <c r="AD1970" s="87"/>
      <c r="AE1970" s="87"/>
      <c r="AF1970" s="87"/>
      <c r="AG1970" s="87"/>
      <c r="AH1970" s="87">
        <v>128</v>
      </c>
      <c r="AI1970" s="87"/>
      <c r="AJ1970" s="87"/>
      <c r="AK1970" s="87">
        <v>8</v>
      </c>
      <c r="AL1970" s="87"/>
      <c r="AM1970" s="87"/>
      <c r="AN1970" s="87"/>
      <c r="AO1970" s="87"/>
      <c r="AP1970" s="87">
        <v>52</v>
      </c>
      <c r="AQ1970" s="87"/>
      <c r="AR1970" s="87"/>
      <c r="AS1970" s="87"/>
      <c r="AT1970" s="87">
        <v>109</v>
      </c>
      <c r="AU1970" s="87"/>
      <c r="AV1970" s="87"/>
      <c r="AW1970" s="88" t="str">
        <f>HYPERLINK("http://www.openstreetmap.org/?mlat=36.3574&amp;mlon=43.2034&amp;zoom=12#map=12/36.3574/43.2034","Maplink1")</f>
        <v>Maplink1</v>
      </c>
      <c r="AX1970" s="88" t="str">
        <f>HYPERLINK("https://www.google.iq/maps/search/+36.3574,43.2034/@36.3574,43.2034,14z?hl=en","Maplink2")</f>
        <v>Maplink2</v>
      </c>
      <c r="AY1970" s="88" t="str">
        <f>HYPERLINK("http://www.bing.com/maps/?lvl=14&amp;sty=h&amp;cp=36.3574~43.2034&amp;sp=point.36.3574_43.2034","Maplink3")</f>
        <v>Maplink3</v>
      </c>
      <c r="AZ1970" s="76"/>
    </row>
    <row r="1971" spans="1:52" x14ac:dyDescent="0.25">
      <c r="A1971" s="86">
        <v>18365</v>
      </c>
      <c r="B1971" s="87" t="s">
        <v>24</v>
      </c>
      <c r="C1971" s="87" t="s">
        <v>3781</v>
      </c>
      <c r="D1971" s="87" t="s">
        <v>3808</v>
      </c>
      <c r="E1971" s="87" t="s">
        <v>3809</v>
      </c>
      <c r="F1971" s="87">
        <v>36.322807723799997</v>
      </c>
      <c r="G1971" s="87">
        <v>43.092169973200001</v>
      </c>
      <c r="H1971" s="86">
        <v>45</v>
      </c>
      <c r="I1971" s="86">
        <v>270</v>
      </c>
      <c r="J1971" s="87"/>
      <c r="K1971" s="87"/>
      <c r="L1971" s="87"/>
      <c r="M1971" s="87"/>
      <c r="N1971" s="87"/>
      <c r="O1971" s="87"/>
      <c r="P1971" s="87"/>
      <c r="Q1971" s="87"/>
      <c r="R1971" s="87"/>
      <c r="S1971" s="87"/>
      <c r="T1971" s="87"/>
      <c r="U1971" s="87"/>
      <c r="V1971" s="87">
        <v>45</v>
      </c>
      <c r="W1971" s="87"/>
      <c r="X1971" s="87"/>
      <c r="Y1971" s="87"/>
      <c r="Z1971" s="87"/>
      <c r="AA1971" s="87"/>
      <c r="AB1971" s="87"/>
      <c r="AC1971" s="87"/>
      <c r="AD1971" s="87"/>
      <c r="AE1971" s="87"/>
      <c r="AF1971" s="87"/>
      <c r="AG1971" s="87"/>
      <c r="AH1971" s="87">
        <v>45</v>
      </c>
      <c r="AI1971" s="87"/>
      <c r="AJ1971" s="87"/>
      <c r="AK1971" s="87"/>
      <c r="AL1971" s="87"/>
      <c r="AM1971" s="87"/>
      <c r="AN1971" s="87"/>
      <c r="AO1971" s="87"/>
      <c r="AP1971" s="87"/>
      <c r="AQ1971" s="87"/>
      <c r="AR1971" s="87">
        <v>45</v>
      </c>
      <c r="AS1971" s="87"/>
      <c r="AT1971" s="87"/>
      <c r="AU1971" s="87"/>
      <c r="AV1971" s="87"/>
      <c r="AW1971" s="88" t="str">
        <f>HYPERLINK("http://www.openstreetmap.org/?mlat=36.3228&amp;mlon=43.0922&amp;zoom=12#map=12/36.3228/43.0922","Maplink1")</f>
        <v>Maplink1</v>
      </c>
      <c r="AX1971" s="88" t="str">
        <f>HYPERLINK("https://www.google.iq/maps/search/+36.3228,43.0922/@36.3228,43.0922,14z?hl=en","Maplink2")</f>
        <v>Maplink2</v>
      </c>
      <c r="AY1971" s="88" t="str">
        <f>HYPERLINK("http://www.bing.com/maps/?lvl=14&amp;sty=h&amp;cp=36.3228~43.0922&amp;sp=point.36.3228_43.0922","Maplink3")</f>
        <v>Maplink3</v>
      </c>
      <c r="AZ1971" s="76"/>
    </row>
    <row r="1972" spans="1:52" x14ac:dyDescent="0.25">
      <c r="A1972" s="86">
        <v>18335</v>
      </c>
      <c r="B1972" s="87" t="s">
        <v>24</v>
      </c>
      <c r="C1972" s="87" t="s">
        <v>3781</v>
      </c>
      <c r="D1972" s="87" t="s">
        <v>3810</v>
      </c>
      <c r="E1972" s="87" t="s">
        <v>3811</v>
      </c>
      <c r="F1972" s="87">
        <v>36.379817362300003</v>
      </c>
      <c r="G1972" s="87">
        <v>43.132726875800003</v>
      </c>
      <c r="H1972" s="86">
        <v>5</v>
      </c>
      <c r="I1972" s="86">
        <v>30</v>
      </c>
      <c r="J1972" s="87"/>
      <c r="K1972" s="87"/>
      <c r="L1972" s="87"/>
      <c r="M1972" s="87"/>
      <c r="N1972" s="87"/>
      <c r="O1972" s="87"/>
      <c r="P1972" s="87"/>
      <c r="Q1972" s="87"/>
      <c r="R1972" s="87"/>
      <c r="S1972" s="87"/>
      <c r="T1972" s="87"/>
      <c r="U1972" s="87"/>
      <c r="V1972" s="87">
        <v>5</v>
      </c>
      <c r="W1972" s="87"/>
      <c r="X1972" s="87"/>
      <c r="Y1972" s="87"/>
      <c r="Z1972" s="87"/>
      <c r="AA1972" s="87"/>
      <c r="AB1972" s="87"/>
      <c r="AC1972" s="87"/>
      <c r="AD1972" s="87"/>
      <c r="AE1972" s="87"/>
      <c r="AF1972" s="87"/>
      <c r="AG1972" s="87"/>
      <c r="AH1972" s="87">
        <v>5</v>
      </c>
      <c r="AI1972" s="87"/>
      <c r="AJ1972" s="87"/>
      <c r="AK1972" s="87"/>
      <c r="AL1972" s="87"/>
      <c r="AM1972" s="87"/>
      <c r="AN1972" s="87"/>
      <c r="AO1972" s="87"/>
      <c r="AP1972" s="87">
        <v>1</v>
      </c>
      <c r="AQ1972" s="87"/>
      <c r="AR1972" s="87"/>
      <c r="AS1972" s="87"/>
      <c r="AT1972" s="87">
        <v>4</v>
      </c>
      <c r="AU1972" s="87"/>
      <c r="AV1972" s="87"/>
      <c r="AW1972" s="88" t="str">
        <f>HYPERLINK("http://www.openstreetmap.org/?mlat=36.3798&amp;mlon=43.1327&amp;zoom=12#map=12/36.3798/43.1327","Maplink1")</f>
        <v>Maplink1</v>
      </c>
      <c r="AX1972" s="88" t="str">
        <f>HYPERLINK("https://www.google.iq/maps/search/+36.3798,43.1327/@36.3798,43.1327,14z?hl=en","Maplink2")</f>
        <v>Maplink2</v>
      </c>
      <c r="AY1972" s="88" t="str">
        <f>HYPERLINK("http://www.bing.com/maps/?lvl=14&amp;sty=h&amp;cp=36.3798~43.1327&amp;sp=point.36.3798_43.1327","Maplink3")</f>
        <v>Maplink3</v>
      </c>
      <c r="AZ1972" s="76"/>
    </row>
    <row r="1973" spans="1:52" x14ac:dyDescent="0.25">
      <c r="A1973" s="86">
        <v>17744</v>
      </c>
      <c r="B1973" s="87" t="s">
        <v>24</v>
      </c>
      <c r="C1973" s="87" t="s">
        <v>3781</v>
      </c>
      <c r="D1973" s="87" t="s">
        <v>3812</v>
      </c>
      <c r="E1973" s="87" t="s">
        <v>3813</v>
      </c>
      <c r="F1973" s="87">
        <v>35.774992022900001</v>
      </c>
      <c r="G1973" s="87">
        <v>43.308109827300001</v>
      </c>
      <c r="H1973" s="86">
        <v>10</v>
      </c>
      <c r="I1973" s="86">
        <v>60</v>
      </c>
      <c r="J1973" s="87"/>
      <c r="K1973" s="87"/>
      <c r="L1973" s="87"/>
      <c r="M1973" s="87"/>
      <c r="N1973" s="87"/>
      <c r="O1973" s="87"/>
      <c r="P1973" s="87"/>
      <c r="Q1973" s="87"/>
      <c r="R1973" s="87"/>
      <c r="S1973" s="87"/>
      <c r="T1973" s="87"/>
      <c r="U1973" s="87"/>
      <c r="V1973" s="87">
        <v>10</v>
      </c>
      <c r="W1973" s="87"/>
      <c r="X1973" s="87"/>
      <c r="Y1973" s="87"/>
      <c r="Z1973" s="87"/>
      <c r="AA1973" s="87"/>
      <c r="AB1973" s="87"/>
      <c r="AC1973" s="87"/>
      <c r="AD1973" s="87"/>
      <c r="AE1973" s="87"/>
      <c r="AF1973" s="87"/>
      <c r="AG1973" s="87"/>
      <c r="AH1973" s="87">
        <v>10</v>
      </c>
      <c r="AI1973" s="87"/>
      <c r="AJ1973" s="87"/>
      <c r="AK1973" s="87"/>
      <c r="AL1973" s="87"/>
      <c r="AM1973" s="87"/>
      <c r="AN1973" s="87"/>
      <c r="AO1973" s="87"/>
      <c r="AP1973" s="87"/>
      <c r="AQ1973" s="87"/>
      <c r="AR1973" s="87"/>
      <c r="AS1973" s="87"/>
      <c r="AT1973" s="87"/>
      <c r="AU1973" s="87">
        <v>10</v>
      </c>
      <c r="AV1973" s="87"/>
      <c r="AW1973" s="88" t="str">
        <f>HYPERLINK("http://www.openstreetmap.org/?mlat=35.775&amp;mlon=43.3081&amp;zoom=12#map=12/35.775/43.3081","Maplink1")</f>
        <v>Maplink1</v>
      </c>
      <c r="AX1973" s="88" t="str">
        <f>HYPERLINK("https://www.google.iq/maps/search/+35.775,43.3081/@35.775,43.3081,14z?hl=en","Maplink2")</f>
        <v>Maplink2</v>
      </c>
      <c r="AY1973" s="88" t="str">
        <f>HYPERLINK("http://www.bing.com/maps/?lvl=14&amp;sty=h&amp;cp=35.775~43.3081&amp;sp=point.35.775_43.3081","Maplink3")</f>
        <v>Maplink3</v>
      </c>
      <c r="AZ1973" s="76"/>
    </row>
    <row r="1974" spans="1:52" x14ac:dyDescent="0.25">
      <c r="A1974" s="86">
        <v>18320</v>
      </c>
      <c r="B1974" s="87" t="s">
        <v>24</v>
      </c>
      <c r="C1974" s="87" t="s">
        <v>3781</v>
      </c>
      <c r="D1974" s="87" t="s">
        <v>3814</v>
      </c>
      <c r="E1974" s="87" t="s">
        <v>3815</v>
      </c>
      <c r="F1974" s="87">
        <v>36.383216780300003</v>
      </c>
      <c r="G1974" s="87">
        <v>43.1623780113</v>
      </c>
      <c r="H1974" s="86">
        <v>59</v>
      </c>
      <c r="I1974" s="86">
        <v>354</v>
      </c>
      <c r="J1974" s="87"/>
      <c r="K1974" s="87"/>
      <c r="L1974" s="87"/>
      <c r="M1974" s="87"/>
      <c r="N1974" s="87"/>
      <c r="O1974" s="87"/>
      <c r="P1974" s="87"/>
      <c r="Q1974" s="87"/>
      <c r="R1974" s="87"/>
      <c r="S1974" s="87"/>
      <c r="T1974" s="87"/>
      <c r="U1974" s="87"/>
      <c r="V1974" s="87">
        <v>59</v>
      </c>
      <c r="W1974" s="87"/>
      <c r="X1974" s="87"/>
      <c r="Y1974" s="87"/>
      <c r="Z1974" s="87"/>
      <c r="AA1974" s="87"/>
      <c r="AB1974" s="87"/>
      <c r="AC1974" s="87"/>
      <c r="AD1974" s="87"/>
      <c r="AE1974" s="87"/>
      <c r="AF1974" s="87"/>
      <c r="AG1974" s="87"/>
      <c r="AH1974" s="87">
        <v>59</v>
      </c>
      <c r="AI1974" s="87"/>
      <c r="AJ1974" s="87"/>
      <c r="AK1974" s="87"/>
      <c r="AL1974" s="87"/>
      <c r="AM1974" s="87"/>
      <c r="AN1974" s="87"/>
      <c r="AO1974" s="87"/>
      <c r="AP1974" s="87"/>
      <c r="AQ1974" s="87"/>
      <c r="AR1974" s="87"/>
      <c r="AS1974" s="87"/>
      <c r="AT1974" s="87">
        <v>59</v>
      </c>
      <c r="AU1974" s="87"/>
      <c r="AV1974" s="87"/>
      <c r="AW1974" s="88" t="str">
        <f>HYPERLINK("http://www.openstreetmap.org/?mlat=36.3832&amp;mlon=43.1624&amp;zoom=12#map=12/36.3832/43.1624","Maplink1")</f>
        <v>Maplink1</v>
      </c>
      <c r="AX1974" s="88" t="str">
        <f>HYPERLINK("https://www.google.iq/maps/search/+36.3832,43.1624/@36.3832,43.1624,14z?hl=en","Maplink2")</f>
        <v>Maplink2</v>
      </c>
      <c r="AY1974" s="88" t="str">
        <f>HYPERLINK("http://www.bing.com/maps/?lvl=14&amp;sty=h&amp;cp=36.3832~43.1624&amp;sp=point.36.3832_43.1624","Maplink3")</f>
        <v>Maplink3</v>
      </c>
      <c r="AZ1974" s="76"/>
    </row>
    <row r="1975" spans="1:52" x14ac:dyDescent="0.25">
      <c r="A1975" s="86">
        <v>18337</v>
      </c>
      <c r="B1975" s="87" t="s">
        <v>24</v>
      </c>
      <c r="C1975" s="87" t="s">
        <v>3781</v>
      </c>
      <c r="D1975" s="87" t="s">
        <v>3816</v>
      </c>
      <c r="E1975" s="87" t="s">
        <v>3817</v>
      </c>
      <c r="F1975" s="87">
        <v>36.386359622000001</v>
      </c>
      <c r="G1975" s="87">
        <v>43.178171774600003</v>
      </c>
      <c r="H1975" s="86">
        <v>35</v>
      </c>
      <c r="I1975" s="86">
        <v>210</v>
      </c>
      <c r="J1975" s="87"/>
      <c r="K1975" s="87"/>
      <c r="L1975" s="87"/>
      <c r="M1975" s="87"/>
      <c r="N1975" s="87"/>
      <c r="O1975" s="87"/>
      <c r="P1975" s="87"/>
      <c r="Q1975" s="87"/>
      <c r="R1975" s="87"/>
      <c r="S1975" s="87"/>
      <c r="T1975" s="87"/>
      <c r="U1975" s="87"/>
      <c r="V1975" s="87">
        <v>35</v>
      </c>
      <c r="W1975" s="87"/>
      <c r="X1975" s="87"/>
      <c r="Y1975" s="87"/>
      <c r="Z1975" s="87"/>
      <c r="AA1975" s="87"/>
      <c r="AB1975" s="87"/>
      <c r="AC1975" s="87"/>
      <c r="AD1975" s="87"/>
      <c r="AE1975" s="87"/>
      <c r="AF1975" s="87"/>
      <c r="AG1975" s="87"/>
      <c r="AH1975" s="87">
        <v>35</v>
      </c>
      <c r="AI1975" s="87"/>
      <c r="AJ1975" s="87"/>
      <c r="AK1975" s="87"/>
      <c r="AL1975" s="87"/>
      <c r="AM1975" s="87"/>
      <c r="AN1975" s="87"/>
      <c r="AO1975" s="87"/>
      <c r="AP1975" s="87"/>
      <c r="AQ1975" s="87"/>
      <c r="AR1975" s="87"/>
      <c r="AS1975" s="87"/>
      <c r="AT1975" s="87">
        <v>35</v>
      </c>
      <c r="AU1975" s="87"/>
      <c r="AV1975" s="87"/>
      <c r="AW1975" s="88" t="str">
        <f>HYPERLINK("http://www.openstreetmap.org/?mlat=36.3864&amp;mlon=43.1782&amp;zoom=12#map=12/36.3864/43.1782","Maplink1")</f>
        <v>Maplink1</v>
      </c>
      <c r="AX1975" s="88" t="str">
        <f>HYPERLINK("https://www.google.iq/maps/search/+36.3864,43.1782/@36.3864,43.1782,14z?hl=en","Maplink2")</f>
        <v>Maplink2</v>
      </c>
      <c r="AY1975" s="88" t="str">
        <f>HYPERLINK("http://www.bing.com/maps/?lvl=14&amp;sty=h&amp;cp=36.3864~43.1782&amp;sp=point.36.3864_43.1782","Maplink3")</f>
        <v>Maplink3</v>
      </c>
      <c r="AZ1975" s="76"/>
    </row>
    <row r="1976" spans="1:52" x14ac:dyDescent="0.25">
      <c r="A1976" s="86">
        <v>18401</v>
      </c>
      <c r="B1976" s="87" t="s">
        <v>24</v>
      </c>
      <c r="C1976" s="87" t="s">
        <v>3781</v>
      </c>
      <c r="D1976" s="87" t="s">
        <v>3818</v>
      </c>
      <c r="E1976" s="87" t="s">
        <v>3819</v>
      </c>
      <c r="F1976" s="87">
        <v>36.330536261200002</v>
      </c>
      <c r="G1976" s="87">
        <v>43.128121368899997</v>
      </c>
      <c r="H1976" s="86">
        <v>107</v>
      </c>
      <c r="I1976" s="86">
        <v>642</v>
      </c>
      <c r="J1976" s="87"/>
      <c r="K1976" s="87"/>
      <c r="L1976" s="87"/>
      <c r="M1976" s="87"/>
      <c r="N1976" s="87"/>
      <c r="O1976" s="87"/>
      <c r="P1976" s="87"/>
      <c r="Q1976" s="87"/>
      <c r="R1976" s="87"/>
      <c r="S1976" s="87"/>
      <c r="T1976" s="87"/>
      <c r="U1976" s="87"/>
      <c r="V1976" s="87">
        <v>107</v>
      </c>
      <c r="W1976" s="87"/>
      <c r="X1976" s="87"/>
      <c r="Y1976" s="87"/>
      <c r="Z1976" s="87"/>
      <c r="AA1976" s="87"/>
      <c r="AB1976" s="87"/>
      <c r="AC1976" s="87"/>
      <c r="AD1976" s="87"/>
      <c r="AE1976" s="87"/>
      <c r="AF1976" s="87"/>
      <c r="AG1976" s="87"/>
      <c r="AH1976" s="87">
        <v>107</v>
      </c>
      <c r="AI1976" s="87"/>
      <c r="AJ1976" s="87"/>
      <c r="AK1976" s="87"/>
      <c r="AL1976" s="87"/>
      <c r="AM1976" s="87"/>
      <c r="AN1976" s="87"/>
      <c r="AO1976" s="87"/>
      <c r="AP1976" s="87"/>
      <c r="AQ1976" s="87"/>
      <c r="AR1976" s="87"/>
      <c r="AS1976" s="87"/>
      <c r="AT1976" s="87">
        <v>107</v>
      </c>
      <c r="AU1976" s="87"/>
      <c r="AV1976" s="87"/>
      <c r="AW1976" s="88" t="str">
        <f>HYPERLINK("http://www.openstreetmap.org/?mlat=36.3305&amp;mlon=43.1281&amp;zoom=12#map=12/36.3305/43.1281","Maplink1")</f>
        <v>Maplink1</v>
      </c>
      <c r="AX1976" s="88" t="str">
        <f>HYPERLINK("https://www.google.iq/maps/search/+36.3305,43.1281/@36.3305,43.1281,14z?hl=en","Maplink2")</f>
        <v>Maplink2</v>
      </c>
      <c r="AY1976" s="88" t="str">
        <f>HYPERLINK("http://www.bing.com/maps/?lvl=14&amp;sty=h&amp;cp=36.3305~43.1281&amp;sp=point.36.3305_43.1281","Maplink3")</f>
        <v>Maplink3</v>
      </c>
      <c r="AZ1976" s="76"/>
    </row>
    <row r="1977" spans="1:52" x14ac:dyDescent="0.25">
      <c r="A1977" s="86">
        <v>31915</v>
      </c>
      <c r="B1977" s="87" t="s">
        <v>24</v>
      </c>
      <c r="C1977" s="87" t="s">
        <v>3781</v>
      </c>
      <c r="D1977" s="87" t="s">
        <v>3820</v>
      </c>
      <c r="E1977" s="87" t="s">
        <v>3821</v>
      </c>
      <c r="F1977" s="87">
        <v>36.393090470700002</v>
      </c>
      <c r="G1977" s="87">
        <v>43.180656948100001</v>
      </c>
      <c r="H1977" s="86">
        <v>79</v>
      </c>
      <c r="I1977" s="86">
        <v>474</v>
      </c>
      <c r="J1977" s="87"/>
      <c r="K1977" s="87"/>
      <c r="L1977" s="87"/>
      <c r="M1977" s="87"/>
      <c r="N1977" s="87"/>
      <c r="O1977" s="87"/>
      <c r="P1977" s="87"/>
      <c r="Q1977" s="87"/>
      <c r="R1977" s="87"/>
      <c r="S1977" s="87"/>
      <c r="T1977" s="87"/>
      <c r="U1977" s="87"/>
      <c r="V1977" s="87">
        <v>79</v>
      </c>
      <c r="W1977" s="87"/>
      <c r="X1977" s="87"/>
      <c r="Y1977" s="87"/>
      <c r="Z1977" s="87"/>
      <c r="AA1977" s="87"/>
      <c r="AB1977" s="87"/>
      <c r="AC1977" s="87">
        <v>22</v>
      </c>
      <c r="AD1977" s="87"/>
      <c r="AE1977" s="87"/>
      <c r="AF1977" s="87"/>
      <c r="AG1977" s="87"/>
      <c r="AH1977" s="87">
        <v>57</v>
      </c>
      <c r="AI1977" s="87"/>
      <c r="AJ1977" s="87"/>
      <c r="AK1977" s="87"/>
      <c r="AL1977" s="87"/>
      <c r="AM1977" s="87"/>
      <c r="AN1977" s="87"/>
      <c r="AO1977" s="87"/>
      <c r="AP1977" s="87">
        <v>42</v>
      </c>
      <c r="AQ1977" s="87"/>
      <c r="AR1977" s="87"/>
      <c r="AS1977" s="87"/>
      <c r="AT1977" s="87">
        <v>37</v>
      </c>
      <c r="AU1977" s="87"/>
      <c r="AV1977" s="87"/>
      <c r="AW1977" s="88" t="str">
        <f>HYPERLINK("http://www.openstreetmap.org/?mlat=36.3931&amp;mlon=43.1807&amp;zoom=12#map=12/36.3931/43.1807","Maplink1")</f>
        <v>Maplink1</v>
      </c>
      <c r="AX1977" s="88" t="str">
        <f>HYPERLINK("https://www.google.iq/maps/search/+36.3931,43.1807/@36.3931,43.1807,14z?hl=en","Maplink2")</f>
        <v>Maplink2</v>
      </c>
      <c r="AY1977" s="88" t="str">
        <f>HYPERLINK("http://www.bing.com/maps/?lvl=14&amp;sty=h&amp;cp=36.3931~43.1807&amp;sp=point.36.3931_43.1807","Maplink3")</f>
        <v>Maplink3</v>
      </c>
      <c r="AZ1977" s="76"/>
    </row>
    <row r="1978" spans="1:52" x14ac:dyDescent="0.25">
      <c r="A1978" s="86">
        <v>18389</v>
      </c>
      <c r="B1978" s="87" t="s">
        <v>24</v>
      </c>
      <c r="C1978" s="87" t="s">
        <v>3781</v>
      </c>
      <c r="D1978" s="87" t="s">
        <v>3822</v>
      </c>
      <c r="E1978" s="87" t="s">
        <v>3823</v>
      </c>
      <c r="F1978" s="87">
        <v>36.348059999999997</v>
      </c>
      <c r="G1978" s="87">
        <v>43.144370210399998</v>
      </c>
      <c r="H1978" s="86">
        <v>28</v>
      </c>
      <c r="I1978" s="86">
        <v>168</v>
      </c>
      <c r="J1978" s="87"/>
      <c r="K1978" s="87"/>
      <c r="L1978" s="87"/>
      <c r="M1978" s="87"/>
      <c r="N1978" s="87"/>
      <c r="O1978" s="87"/>
      <c r="P1978" s="87"/>
      <c r="Q1978" s="87"/>
      <c r="R1978" s="87"/>
      <c r="S1978" s="87"/>
      <c r="T1978" s="87"/>
      <c r="U1978" s="87"/>
      <c r="V1978" s="87">
        <v>28</v>
      </c>
      <c r="W1978" s="87"/>
      <c r="X1978" s="87"/>
      <c r="Y1978" s="87"/>
      <c r="Z1978" s="87"/>
      <c r="AA1978" s="87"/>
      <c r="AB1978" s="87"/>
      <c r="AC1978" s="87">
        <v>2</v>
      </c>
      <c r="AD1978" s="87"/>
      <c r="AE1978" s="87"/>
      <c r="AF1978" s="87"/>
      <c r="AG1978" s="87"/>
      <c r="AH1978" s="87">
        <v>26</v>
      </c>
      <c r="AI1978" s="87"/>
      <c r="AJ1978" s="87"/>
      <c r="AK1978" s="87"/>
      <c r="AL1978" s="87"/>
      <c r="AM1978" s="87"/>
      <c r="AN1978" s="87"/>
      <c r="AO1978" s="87"/>
      <c r="AP1978" s="87">
        <v>5</v>
      </c>
      <c r="AQ1978" s="87"/>
      <c r="AR1978" s="87"/>
      <c r="AS1978" s="87"/>
      <c r="AT1978" s="87">
        <v>23</v>
      </c>
      <c r="AU1978" s="87"/>
      <c r="AV1978" s="87"/>
      <c r="AW1978" s="88" t="str">
        <f>HYPERLINK("http://www.openstreetmap.org/?mlat=36.3481&amp;mlon=43.1444&amp;zoom=12#map=12/36.3481/43.1444","Maplink1")</f>
        <v>Maplink1</v>
      </c>
      <c r="AX1978" s="88" t="str">
        <f>HYPERLINK("https://www.google.iq/maps/search/+36.3481,43.1444/@36.3481,43.1444,14z?hl=en","Maplink2")</f>
        <v>Maplink2</v>
      </c>
      <c r="AY1978" s="88" t="str">
        <f>HYPERLINK("http://www.bing.com/maps/?lvl=14&amp;sty=h&amp;cp=36.3481~43.1444&amp;sp=point.36.3481_43.1444","Maplink3")</f>
        <v>Maplink3</v>
      </c>
      <c r="AZ1978" s="76"/>
    </row>
    <row r="1979" spans="1:52" x14ac:dyDescent="0.25">
      <c r="A1979" s="86">
        <v>18331</v>
      </c>
      <c r="B1979" s="87" t="s">
        <v>24</v>
      </c>
      <c r="C1979" s="87" t="s">
        <v>3781</v>
      </c>
      <c r="D1979" s="87" t="s">
        <v>3824</v>
      </c>
      <c r="E1979" s="87" t="s">
        <v>3825</v>
      </c>
      <c r="F1979" s="87">
        <v>36.3944150409</v>
      </c>
      <c r="G1979" s="87">
        <v>43.151437842699998</v>
      </c>
      <c r="H1979" s="86">
        <v>146</v>
      </c>
      <c r="I1979" s="86">
        <v>876</v>
      </c>
      <c r="J1979" s="87"/>
      <c r="K1979" s="87"/>
      <c r="L1979" s="87"/>
      <c r="M1979" s="87"/>
      <c r="N1979" s="87"/>
      <c r="O1979" s="87"/>
      <c r="P1979" s="87"/>
      <c r="Q1979" s="87"/>
      <c r="R1979" s="87"/>
      <c r="S1979" s="87"/>
      <c r="T1979" s="87"/>
      <c r="U1979" s="87"/>
      <c r="V1979" s="87">
        <v>146</v>
      </c>
      <c r="W1979" s="87"/>
      <c r="X1979" s="87"/>
      <c r="Y1979" s="87"/>
      <c r="Z1979" s="87"/>
      <c r="AA1979" s="87"/>
      <c r="AB1979" s="87"/>
      <c r="AC1979" s="87"/>
      <c r="AD1979" s="87"/>
      <c r="AE1979" s="87"/>
      <c r="AF1979" s="87"/>
      <c r="AG1979" s="87"/>
      <c r="AH1979" s="87">
        <v>122</v>
      </c>
      <c r="AI1979" s="87"/>
      <c r="AJ1979" s="87">
        <v>15</v>
      </c>
      <c r="AK1979" s="87">
        <v>9</v>
      </c>
      <c r="AL1979" s="87"/>
      <c r="AM1979" s="87"/>
      <c r="AN1979" s="87"/>
      <c r="AO1979" s="87"/>
      <c r="AP1979" s="87">
        <v>10</v>
      </c>
      <c r="AQ1979" s="87"/>
      <c r="AR1979" s="87"/>
      <c r="AS1979" s="87"/>
      <c r="AT1979" s="87">
        <v>136</v>
      </c>
      <c r="AU1979" s="87"/>
      <c r="AV1979" s="87"/>
      <c r="AW1979" s="88" t="str">
        <f>HYPERLINK("http://www.openstreetmap.org/?mlat=36.3944&amp;mlon=43.1514&amp;zoom=12#map=12/36.3944/43.1514","Maplink1")</f>
        <v>Maplink1</v>
      </c>
      <c r="AX1979" s="88" t="str">
        <f>HYPERLINK("https://www.google.iq/maps/search/+36.3944,43.1514/@36.3944,43.1514,14z?hl=en","Maplink2")</f>
        <v>Maplink2</v>
      </c>
      <c r="AY1979" s="88" t="str">
        <f>HYPERLINK("http://www.bing.com/maps/?lvl=14&amp;sty=h&amp;cp=36.3944~43.1514&amp;sp=point.36.3944_43.1514","Maplink3")</f>
        <v>Maplink3</v>
      </c>
      <c r="AZ1979" s="76"/>
    </row>
    <row r="1980" spans="1:52" x14ac:dyDescent="0.25">
      <c r="A1980" s="86">
        <v>24738</v>
      </c>
      <c r="B1980" s="87" t="s">
        <v>24</v>
      </c>
      <c r="C1980" s="87" t="s">
        <v>3781</v>
      </c>
      <c r="D1980" s="87" t="s">
        <v>3826</v>
      </c>
      <c r="E1980" s="87" t="s">
        <v>3827</v>
      </c>
      <c r="F1980" s="87">
        <v>36.366599999999998</v>
      </c>
      <c r="G1980" s="87">
        <v>43.075299999999999</v>
      </c>
      <c r="H1980" s="86">
        <v>135</v>
      </c>
      <c r="I1980" s="86">
        <v>810</v>
      </c>
      <c r="J1980" s="87"/>
      <c r="K1980" s="87"/>
      <c r="L1980" s="87"/>
      <c r="M1980" s="87"/>
      <c r="N1980" s="87"/>
      <c r="O1980" s="87"/>
      <c r="P1980" s="87"/>
      <c r="Q1980" s="87"/>
      <c r="R1980" s="87"/>
      <c r="S1980" s="87"/>
      <c r="T1980" s="87"/>
      <c r="U1980" s="87"/>
      <c r="V1980" s="87">
        <v>135</v>
      </c>
      <c r="W1980" s="87"/>
      <c r="X1980" s="87"/>
      <c r="Y1980" s="87"/>
      <c r="Z1980" s="87"/>
      <c r="AA1980" s="87"/>
      <c r="AB1980" s="87"/>
      <c r="AC1980" s="87">
        <v>15</v>
      </c>
      <c r="AD1980" s="87"/>
      <c r="AE1980" s="87"/>
      <c r="AF1980" s="87"/>
      <c r="AG1980" s="87"/>
      <c r="AH1980" s="87"/>
      <c r="AI1980" s="87"/>
      <c r="AJ1980" s="87"/>
      <c r="AK1980" s="87">
        <v>100</v>
      </c>
      <c r="AL1980" s="87"/>
      <c r="AM1980" s="87">
        <v>20</v>
      </c>
      <c r="AN1980" s="87"/>
      <c r="AO1980" s="87"/>
      <c r="AP1980" s="87"/>
      <c r="AQ1980" s="87">
        <v>100</v>
      </c>
      <c r="AR1980" s="87">
        <v>20</v>
      </c>
      <c r="AS1980" s="87">
        <v>15</v>
      </c>
      <c r="AT1980" s="87"/>
      <c r="AU1980" s="87"/>
      <c r="AV1980" s="87"/>
      <c r="AW1980" s="88" t="str">
        <f>HYPERLINK("http://www.openstreetmap.org/?mlat=36.3666&amp;mlon=43.0753&amp;zoom=12#map=12/36.3666/43.0753","Maplink1")</f>
        <v>Maplink1</v>
      </c>
      <c r="AX1980" s="88" t="str">
        <f>HYPERLINK("https://www.google.iq/maps/search/+36.3666,43.0753/@36.3666,43.0753,14z?hl=en","Maplink2")</f>
        <v>Maplink2</v>
      </c>
      <c r="AY1980" s="88" t="str">
        <f>HYPERLINK("http://www.bing.com/maps/?lvl=14&amp;sty=h&amp;cp=36.3666~43.0753&amp;sp=point.36.3666_43.0753","Maplink3")</f>
        <v>Maplink3</v>
      </c>
      <c r="AZ1980" s="76"/>
    </row>
    <row r="1981" spans="1:52" x14ac:dyDescent="0.25">
      <c r="A1981" s="86">
        <v>31835</v>
      </c>
      <c r="B1981" s="87" t="s">
        <v>24</v>
      </c>
      <c r="C1981" s="87" t="s">
        <v>3781</v>
      </c>
      <c r="D1981" s="87" t="s">
        <v>3828</v>
      </c>
      <c r="E1981" s="87" t="s">
        <v>3829</v>
      </c>
      <c r="F1981" s="87">
        <v>35.740594384300003</v>
      </c>
      <c r="G1981" s="87">
        <v>43.3102306165</v>
      </c>
      <c r="H1981" s="86">
        <v>8</v>
      </c>
      <c r="I1981" s="86">
        <v>48</v>
      </c>
      <c r="J1981" s="87"/>
      <c r="K1981" s="87"/>
      <c r="L1981" s="87"/>
      <c r="M1981" s="87"/>
      <c r="N1981" s="87"/>
      <c r="O1981" s="87"/>
      <c r="P1981" s="87"/>
      <c r="Q1981" s="87"/>
      <c r="R1981" s="87"/>
      <c r="S1981" s="87"/>
      <c r="T1981" s="87"/>
      <c r="U1981" s="87"/>
      <c r="V1981" s="87">
        <v>8</v>
      </c>
      <c r="W1981" s="87"/>
      <c r="X1981" s="87"/>
      <c r="Y1981" s="87"/>
      <c r="Z1981" s="87"/>
      <c r="AA1981" s="87"/>
      <c r="AB1981" s="87"/>
      <c r="AC1981" s="87"/>
      <c r="AD1981" s="87"/>
      <c r="AE1981" s="87"/>
      <c r="AF1981" s="87"/>
      <c r="AG1981" s="87"/>
      <c r="AH1981" s="87">
        <v>8</v>
      </c>
      <c r="AI1981" s="87"/>
      <c r="AJ1981" s="87"/>
      <c r="AK1981" s="87"/>
      <c r="AL1981" s="87"/>
      <c r="AM1981" s="87"/>
      <c r="AN1981" s="87"/>
      <c r="AO1981" s="87"/>
      <c r="AP1981" s="87"/>
      <c r="AQ1981" s="87"/>
      <c r="AR1981" s="87"/>
      <c r="AS1981" s="87"/>
      <c r="AT1981" s="87"/>
      <c r="AU1981" s="87">
        <v>8</v>
      </c>
      <c r="AV1981" s="87"/>
      <c r="AW1981" s="88" t="str">
        <f>HYPERLINK("http://www.openstreetmap.org/?mlat=35.7406&amp;mlon=43.3102&amp;zoom=12#map=12/35.7406/43.3102","Maplink1")</f>
        <v>Maplink1</v>
      </c>
      <c r="AX1981" s="88" t="str">
        <f>HYPERLINK("https://www.google.iq/maps/search/+35.7406,43.3102/@35.7406,43.3102,14z?hl=en","Maplink2")</f>
        <v>Maplink2</v>
      </c>
      <c r="AY1981" s="88" t="str">
        <f>HYPERLINK("http://www.bing.com/maps/?lvl=14&amp;sty=h&amp;cp=35.7406~43.3102&amp;sp=point.35.7406_43.3102","Maplink3")</f>
        <v>Maplink3</v>
      </c>
      <c r="AZ1981" s="76"/>
    </row>
    <row r="1982" spans="1:52" x14ac:dyDescent="0.25">
      <c r="A1982" s="86">
        <v>29649</v>
      </c>
      <c r="B1982" s="87" t="s">
        <v>24</v>
      </c>
      <c r="C1982" s="87" t="s">
        <v>3781</v>
      </c>
      <c r="D1982" s="87" t="s">
        <v>3830</v>
      </c>
      <c r="E1982" s="87" t="s">
        <v>3831</v>
      </c>
      <c r="F1982" s="87">
        <v>35.852786405899998</v>
      </c>
      <c r="G1982" s="87">
        <v>43.296585181300003</v>
      </c>
      <c r="H1982" s="86">
        <v>13</v>
      </c>
      <c r="I1982" s="86">
        <v>78</v>
      </c>
      <c r="J1982" s="87"/>
      <c r="K1982" s="87"/>
      <c r="L1982" s="87"/>
      <c r="M1982" s="87"/>
      <c r="N1982" s="87"/>
      <c r="O1982" s="87"/>
      <c r="P1982" s="87"/>
      <c r="Q1982" s="87"/>
      <c r="R1982" s="87"/>
      <c r="S1982" s="87"/>
      <c r="T1982" s="87"/>
      <c r="U1982" s="87"/>
      <c r="V1982" s="87">
        <v>13</v>
      </c>
      <c r="W1982" s="87"/>
      <c r="X1982" s="87"/>
      <c r="Y1982" s="87"/>
      <c r="Z1982" s="87"/>
      <c r="AA1982" s="87"/>
      <c r="AB1982" s="87"/>
      <c r="AC1982" s="87"/>
      <c r="AD1982" s="87"/>
      <c r="AE1982" s="87"/>
      <c r="AF1982" s="87"/>
      <c r="AG1982" s="87"/>
      <c r="AH1982" s="87">
        <v>13</v>
      </c>
      <c r="AI1982" s="87"/>
      <c r="AJ1982" s="87"/>
      <c r="AK1982" s="87"/>
      <c r="AL1982" s="87"/>
      <c r="AM1982" s="87"/>
      <c r="AN1982" s="87"/>
      <c r="AO1982" s="87"/>
      <c r="AP1982" s="87"/>
      <c r="AQ1982" s="87"/>
      <c r="AR1982" s="87"/>
      <c r="AS1982" s="87"/>
      <c r="AT1982" s="87">
        <v>13</v>
      </c>
      <c r="AU1982" s="87"/>
      <c r="AV1982" s="87"/>
      <c r="AW1982" s="88" t="str">
        <f>HYPERLINK("http://www.openstreetmap.org/?mlat=35.8528&amp;mlon=43.2966&amp;zoom=12#map=12/35.8528/43.2966","Maplink1")</f>
        <v>Maplink1</v>
      </c>
      <c r="AX1982" s="88" t="str">
        <f>HYPERLINK("https://www.google.iq/maps/search/+35.8528,43.2966/@35.8528,43.2966,14z?hl=en","Maplink2")</f>
        <v>Maplink2</v>
      </c>
      <c r="AY1982" s="88" t="str">
        <f>HYPERLINK("http://www.bing.com/maps/?lvl=14&amp;sty=h&amp;cp=35.8528~43.2966&amp;sp=point.35.8528_43.2966","Maplink3")</f>
        <v>Maplink3</v>
      </c>
      <c r="AZ1982" s="76"/>
    </row>
    <row r="1983" spans="1:52" x14ac:dyDescent="0.25">
      <c r="A1983" s="86">
        <v>33260</v>
      </c>
      <c r="B1983" s="87" t="s">
        <v>24</v>
      </c>
      <c r="C1983" s="87" t="s">
        <v>3781</v>
      </c>
      <c r="D1983" s="87" t="s">
        <v>5920</v>
      </c>
      <c r="E1983" s="87" t="s">
        <v>5921</v>
      </c>
      <c r="F1983" s="87">
        <v>36.361843</v>
      </c>
      <c r="G1983" s="87">
        <v>43.088819051000002</v>
      </c>
      <c r="H1983" s="86">
        <v>60</v>
      </c>
      <c r="I1983" s="86">
        <v>360</v>
      </c>
      <c r="J1983" s="87"/>
      <c r="K1983" s="87"/>
      <c r="L1983" s="87"/>
      <c r="M1983" s="87"/>
      <c r="N1983" s="87"/>
      <c r="O1983" s="87"/>
      <c r="P1983" s="87"/>
      <c r="Q1983" s="87"/>
      <c r="R1983" s="87"/>
      <c r="S1983" s="87"/>
      <c r="T1983" s="87"/>
      <c r="U1983" s="87"/>
      <c r="V1983" s="87">
        <v>60</v>
      </c>
      <c r="W1983" s="87"/>
      <c r="X1983" s="87"/>
      <c r="Y1983" s="87"/>
      <c r="Z1983" s="87"/>
      <c r="AA1983" s="87"/>
      <c r="AB1983" s="87"/>
      <c r="AC1983" s="87"/>
      <c r="AD1983" s="87"/>
      <c r="AE1983" s="87"/>
      <c r="AF1983" s="87"/>
      <c r="AG1983" s="87"/>
      <c r="AH1983" s="87">
        <v>40</v>
      </c>
      <c r="AI1983" s="87">
        <v>20</v>
      </c>
      <c r="AJ1983" s="87"/>
      <c r="AK1983" s="87"/>
      <c r="AL1983" s="87"/>
      <c r="AM1983" s="87"/>
      <c r="AN1983" s="87"/>
      <c r="AO1983" s="87"/>
      <c r="AP1983" s="87"/>
      <c r="AQ1983" s="87"/>
      <c r="AR1983" s="87">
        <v>30</v>
      </c>
      <c r="AS1983" s="87"/>
      <c r="AT1983" s="87">
        <v>30</v>
      </c>
      <c r="AU1983" s="87"/>
      <c r="AV1983" s="87"/>
      <c r="AW1983" s="88" t="str">
        <f>HYPERLINK("http://www.openstreetmap.org/?mlat=36.3618&amp;mlon=43.0888&amp;zoom=12#map=12/36.3618/43.0888","Maplink1")</f>
        <v>Maplink1</v>
      </c>
      <c r="AX1983" s="88" t="str">
        <f>HYPERLINK("https://www.google.iq/maps/search/+36.3618,43.0888/@36.3618,43.0888,14z?hl=en","Maplink2")</f>
        <v>Maplink2</v>
      </c>
      <c r="AY1983" s="88" t="str">
        <f>HYPERLINK("http://www.bing.com/maps/?lvl=14&amp;sty=h&amp;cp=36.3618~43.0888&amp;sp=point.36.3618_43.0888","Maplink3")</f>
        <v>Maplink3</v>
      </c>
      <c r="AZ1983" s="76"/>
    </row>
    <row r="1984" spans="1:52" x14ac:dyDescent="0.25">
      <c r="A1984" s="86">
        <v>33247</v>
      </c>
      <c r="B1984" s="87" t="s">
        <v>24</v>
      </c>
      <c r="C1984" s="87" t="s">
        <v>3781</v>
      </c>
      <c r="D1984" s="87" t="s">
        <v>3832</v>
      </c>
      <c r="E1984" s="87" t="s">
        <v>3833</v>
      </c>
      <c r="F1984" s="87">
        <v>36.326455383599999</v>
      </c>
      <c r="G1984" s="87">
        <v>43.147807382499998</v>
      </c>
      <c r="H1984" s="86">
        <v>21</v>
      </c>
      <c r="I1984" s="86">
        <v>126</v>
      </c>
      <c r="J1984" s="87"/>
      <c r="K1984" s="87"/>
      <c r="L1984" s="87"/>
      <c r="M1984" s="87"/>
      <c r="N1984" s="87"/>
      <c r="O1984" s="87"/>
      <c r="P1984" s="87"/>
      <c r="Q1984" s="87"/>
      <c r="R1984" s="87"/>
      <c r="S1984" s="87"/>
      <c r="T1984" s="87"/>
      <c r="U1984" s="87"/>
      <c r="V1984" s="87">
        <v>21</v>
      </c>
      <c r="W1984" s="87"/>
      <c r="X1984" s="87"/>
      <c r="Y1984" s="87"/>
      <c r="Z1984" s="87"/>
      <c r="AA1984" s="87"/>
      <c r="AB1984" s="87"/>
      <c r="AC1984" s="87">
        <v>21</v>
      </c>
      <c r="AD1984" s="87"/>
      <c r="AE1984" s="87"/>
      <c r="AF1984" s="87"/>
      <c r="AG1984" s="87"/>
      <c r="AH1984" s="87"/>
      <c r="AI1984" s="87"/>
      <c r="AJ1984" s="87"/>
      <c r="AK1984" s="87"/>
      <c r="AL1984" s="87"/>
      <c r="AM1984" s="87"/>
      <c r="AN1984" s="87"/>
      <c r="AO1984" s="87"/>
      <c r="AP1984" s="87"/>
      <c r="AQ1984" s="87"/>
      <c r="AR1984" s="87"/>
      <c r="AS1984" s="87"/>
      <c r="AT1984" s="87">
        <v>21</v>
      </c>
      <c r="AU1984" s="87"/>
      <c r="AV1984" s="87"/>
      <c r="AW1984" s="88" t="str">
        <f>HYPERLINK("http://www.openstreetmap.org/?mlat=36.3265&amp;mlon=43.1478&amp;zoom=12#map=12/36.3265/43.1478","Maplink1")</f>
        <v>Maplink1</v>
      </c>
      <c r="AX1984" s="88" t="str">
        <f>HYPERLINK("https://www.google.iq/maps/search/+36.3265,43.1478/@36.3265,43.1478,14z?hl=en","Maplink2")</f>
        <v>Maplink2</v>
      </c>
      <c r="AY1984" s="88" t="str">
        <f>HYPERLINK("http://www.bing.com/maps/?lvl=14&amp;sty=h&amp;cp=36.3265~43.1478&amp;sp=point.36.3265_43.1478","Maplink3")</f>
        <v>Maplink3</v>
      </c>
      <c r="AZ1984" s="76"/>
    </row>
    <row r="1985" spans="1:52" x14ac:dyDescent="0.25">
      <c r="A1985" s="86">
        <v>31936</v>
      </c>
      <c r="B1985" s="87" t="s">
        <v>24</v>
      </c>
      <c r="C1985" s="87" t="s">
        <v>3781</v>
      </c>
      <c r="D1985" s="87" t="s">
        <v>3834</v>
      </c>
      <c r="E1985" s="87" t="s">
        <v>3835</v>
      </c>
      <c r="F1985" s="87">
        <v>35.648793276799999</v>
      </c>
      <c r="G1985" s="87">
        <v>43.232679539499998</v>
      </c>
      <c r="H1985" s="86">
        <v>2</v>
      </c>
      <c r="I1985" s="86">
        <v>12</v>
      </c>
      <c r="J1985" s="87"/>
      <c r="K1985" s="87"/>
      <c r="L1985" s="87"/>
      <c r="M1985" s="87"/>
      <c r="N1985" s="87"/>
      <c r="O1985" s="87"/>
      <c r="P1985" s="87"/>
      <c r="Q1985" s="87"/>
      <c r="R1985" s="87"/>
      <c r="S1985" s="87"/>
      <c r="T1985" s="87"/>
      <c r="U1985" s="87"/>
      <c r="V1985" s="87">
        <v>1</v>
      </c>
      <c r="W1985" s="87"/>
      <c r="X1985" s="87">
        <v>1</v>
      </c>
      <c r="Y1985" s="87"/>
      <c r="Z1985" s="87"/>
      <c r="AA1985" s="87"/>
      <c r="AB1985" s="87"/>
      <c r="AC1985" s="87"/>
      <c r="AD1985" s="87"/>
      <c r="AE1985" s="87"/>
      <c r="AF1985" s="87"/>
      <c r="AG1985" s="87"/>
      <c r="AH1985" s="87">
        <v>2</v>
      </c>
      <c r="AI1985" s="87"/>
      <c r="AJ1985" s="87"/>
      <c r="AK1985" s="87"/>
      <c r="AL1985" s="87"/>
      <c r="AM1985" s="87"/>
      <c r="AN1985" s="87"/>
      <c r="AO1985" s="87">
        <v>2</v>
      </c>
      <c r="AP1985" s="87"/>
      <c r="AQ1985" s="87"/>
      <c r="AR1985" s="87"/>
      <c r="AS1985" s="87"/>
      <c r="AT1985" s="87"/>
      <c r="AU1985" s="87"/>
      <c r="AV1985" s="87"/>
      <c r="AW1985" s="88" t="str">
        <f>HYPERLINK("http://www.openstreetmap.org/?mlat=35.6488&amp;mlon=43.2327&amp;zoom=12#map=12/35.6488/43.2327","Maplink1")</f>
        <v>Maplink1</v>
      </c>
      <c r="AX1985" s="88" t="str">
        <f>HYPERLINK("https://www.google.iq/maps/search/+35.6488,43.2327/@35.6488,43.2327,14z?hl=en","Maplink2")</f>
        <v>Maplink2</v>
      </c>
      <c r="AY1985" s="88" t="str">
        <f>HYPERLINK("http://www.bing.com/maps/?lvl=14&amp;sty=h&amp;cp=35.6488~43.2327&amp;sp=point.35.6488_43.2327","Maplink3")</f>
        <v>Maplink3</v>
      </c>
      <c r="AZ1985" s="76"/>
    </row>
    <row r="1986" spans="1:52" x14ac:dyDescent="0.25">
      <c r="A1986" s="86">
        <v>31843</v>
      </c>
      <c r="B1986" s="87" t="s">
        <v>24</v>
      </c>
      <c r="C1986" s="87" t="s">
        <v>3781</v>
      </c>
      <c r="D1986" s="87" t="s">
        <v>3836</v>
      </c>
      <c r="E1986" s="87" t="s">
        <v>3837</v>
      </c>
      <c r="F1986" s="87">
        <v>35.747257006399998</v>
      </c>
      <c r="G1986" s="87">
        <v>43.306111665400003</v>
      </c>
      <c r="H1986" s="86">
        <v>5</v>
      </c>
      <c r="I1986" s="86">
        <v>30</v>
      </c>
      <c r="J1986" s="87"/>
      <c r="K1986" s="87"/>
      <c r="L1986" s="87"/>
      <c r="M1986" s="87"/>
      <c r="N1986" s="87"/>
      <c r="O1986" s="87"/>
      <c r="P1986" s="87"/>
      <c r="Q1986" s="87"/>
      <c r="R1986" s="87"/>
      <c r="S1986" s="87"/>
      <c r="T1986" s="87"/>
      <c r="U1986" s="87"/>
      <c r="V1986" s="87">
        <v>5</v>
      </c>
      <c r="W1986" s="87"/>
      <c r="X1986" s="87"/>
      <c r="Y1986" s="87"/>
      <c r="Z1986" s="87"/>
      <c r="AA1986" s="87"/>
      <c r="AB1986" s="87"/>
      <c r="AC1986" s="87"/>
      <c r="AD1986" s="87"/>
      <c r="AE1986" s="87"/>
      <c r="AF1986" s="87"/>
      <c r="AG1986" s="87"/>
      <c r="AH1986" s="87">
        <v>5</v>
      </c>
      <c r="AI1986" s="87"/>
      <c r="AJ1986" s="87"/>
      <c r="AK1986" s="87"/>
      <c r="AL1986" s="87"/>
      <c r="AM1986" s="87"/>
      <c r="AN1986" s="87"/>
      <c r="AO1986" s="87"/>
      <c r="AP1986" s="87"/>
      <c r="AQ1986" s="87"/>
      <c r="AR1986" s="87"/>
      <c r="AS1986" s="87"/>
      <c r="AT1986" s="87">
        <v>5</v>
      </c>
      <c r="AU1986" s="87"/>
      <c r="AV1986" s="87"/>
      <c r="AW1986" s="88" t="str">
        <f>HYPERLINK("http://www.openstreetmap.org/?mlat=35.7473&amp;mlon=43.3061&amp;zoom=12#map=12/35.7473/43.3061","Maplink1")</f>
        <v>Maplink1</v>
      </c>
      <c r="AX1986" s="88" t="str">
        <f>HYPERLINK("https://www.google.iq/maps/search/+35.7473,43.3061/@35.7473,43.3061,14z?hl=en","Maplink2")</f>
        <v>Maplink2</v>
      </c>
      <c r="AY1986" s="88" t="str">
        <f>HYPERLINK("http://www.bing.com/maps/?lvl=14&amp;sty=h&amp;cp=35.7473~43.3061&amp;sp=point.35.7473_43.3061","Maplink3")</f>
        <v>Maplink3</v>
      </c>
      <c r="AZ1986" s="76"/>
    </row>
    <row r="1987" spans="1:52" x14ac:dyDescent="0.25">
      <c r="A1987" s="86">
        <v>18339</v>
      </c>
      <c r="B1987" s="87" t="s">
        <v>24</v>
      </c>
      <c r="C1987" s="87" t="s">
        <v>3781</v>
      </c>
      <c r="D1987" s="87" t="s">
        <v>3838</v>
      </c>
      <c r="E1987" s="87" t="s">
        <v>3839</v>
      </c>
      <c r="F1987" s="87">
        <v>36.344340316699999</v>
      </c>
      <c r="G1987" s="87">
        <v>43.2139333382</v>
      </c>
      <c r="H1987" s="86">
        <v>1294</v>
      </c>
      <c r="I1987" s="86">
        <v>7764</v>
      </c>
      <c r="J1987" s="87"/>
      <c r="K1987" s="87"/>
      <c r="L1987" s="87"/>
      <c r="M1987" s="87"/>
      <c r="N1987" s="87"/>
      <c r="O1987" s="87"/>
      <c r="P1987" s="87"/>
      <c r="Q1987" s="87"/>
      <c r="R1987" s="87"/>
      <c r="S1987" s="87"/>
      <c r="T1987" s="87"/>
      <c r="U1987" s="87"/>
      <c r="V1987" s="87">
        <v>1294</v>
      </c>
      <c r="W1987" s="87"/>
      <c r="X1987" s="87"/>
      <c r="Y1987" s="87"/>
      <c r="Z1987" s="87"/>
      <c r="AA1987" s="87"/>
      <c r="AB1987" s="87"/>
      <c r="AC1987" s="87">
        <v>24</v>
      </c>
      <c r="AD1987" s="87"/>
      <c r="AE1987" s="87"/>
      <c r="AF1987" s="87"/>
      <c r="AG1987" s="87"/>
      <c r="AH1987" s="87">
        <v>1270</v>
      </c>
      <c r="AI1987" s="87"/>
      <c r="AJ1987" s="87"/>
      <c r="AK1987" s="87"/>
      <c r="AL1987" s="87"/>
      <c r="AM1987" s="87"/>
      <c r="AN1987" s="87"/>
      <c r="AO1987" s="87"/>
      <c r="AP1987" s="87">
        <v>217</v>
      </c>
      <c r="AQ1987" s="87"/>
      <c r="AR1987" s="87"/>
      <c r="AS1987" s="87"/>
      <c r="AT1987" s="87">
        <v>1077</v>
      </c>
      <c r="AU1987" s="87"/>
      <c r="AV1987" s="87"/>
      <c r="AW1987" s="88" t="str">
        <f>HYPERLINK("http://www.openstreetmap.org/?mlat=36.3443&amp;mlon=43.2139&amp;zoom=12#map=12/36.3443/43.2139","Maplink1")</f>
        <v>Maplink1</v>
      </c>
      <c r="AX1987" s="88" t="str">
        <f>HYPERLINK("https://www.google.iq/maps/search/+36.3443,43.2139/@36.3443,43.2139,14z?hl=en","Maplink2")</f>
        <v>Maplink2</v>
      </c>
      <c r="AY1987" s="88" t="str">
        <f>HYPERLINK("http://www.bing.com/maps/?lvl=14&amp;sty=h&amp;cp=36.3443~43.2139&amp;sp=point.36.3443_43.2139","Maplink3")</f>
        <v>Maplink3</v>
      </c>
      <c r="AZ1987" s="76"/>
    </row>
    <row r="1988" spans="1:52" x14ac:dyDescent="0.25">
      <c r="A1988" s="86">
        <v>17452</v>
      </c>
      <c r="B1988" s="87" t="s">
        <v>24</v>
      </c>
      <c r="C1988" s="87" t="s">
        <v>3781</v>
      </c>
      <c r="D1988" s="87" t="s">
        <v>3840</v>
      </c>
      <c r="E1988" s="87" t="s">
        <v>3841</v>
      </c>
      <c r="F1988" s="87">
        <v>36.238323343600001</v>
      </c>
      <c r="G1988" s="87">
        <v>42.936399780899997</v>
      </c>
      <c r="H1988" s="86">
        <v>4</v>
      </c>
      <c r="I1988" s="86">
        <v>24</v>
      </c>
      <c r="J1988" s="87"/>
      <c r="K1988" s="87"/>
      <c r="L1988" s="87"/>
      <c r="M1988" s="87"/>
      <c r="N1988" s="87"/>
      <c r="O1988" s="87"/>
      <c r="P1988" s="87"/>
      <c r="Q1988" s="87"/>
      <c r="R1988" s="87"/>
      <c r="S1988" s="87"/>
      <c r="T1988" s="87"/>
      <c r="U1988" s="87"/>
      <c r="V1988" s="87"/>
      <c r="W1988" s="87"/>
      <c r="X1988" s="87">
        <v>4</v>
      </c>
      <c r="Y1988" s="87"/>
      <c r="Z1988" s="87"/>
      <c r="AA1988" s="87"/>
      <c r="AB1988" s="87"/>
      <c r="AC1988" s="87"/>
      <c r="AD1988" s="87"/>
      <c r="AE1988" s="87"/>
      <c r="AF1988" s="87"/>
      <c r="AG1988" s="87"/>
      <c r="AH1988" s="87">
        <v>4</v>
      </c>
      <c r="AI1988" s="87"/>
      <c r="AJ1988" s="87"/>
      <c r="AK1988" s="87"/>
      <c r="AL1988" s="87"/>
      <c r="AM1988" s="87"/>
      <c r="AN1988" s="87"/>
      <c r="AO1988" s="87">
        <v>4</v>
      </c>
      <c r="AP1988" s="87"/>
      <c r="AQ1988" s="87"/>
      <c r="AR1988" s="87"/>
      <c r="AS1988" s="87"/>
      <c r="AT1988" s="87"/>
      <c r="AU1988" s="87"/>
      <c r="AV1988" s="87"/>
      <c r="AW1988" s="88" t="str">
        <f>HYPERLINK("http://www.openstreetmap.org/?mlat=36.2383&amp;mlon=42.9364&amp;zoom=12#map=12/36.2383/42.9364","Maplink1")</f>
        <v>Maplink1</v>
      </c>
      <c r="AX1988" s="88" t="str">
        <f>HYPERLINK("https://www.google.iq/maps/search/+36.2383,42.9364/@36.2383,42.9364,14z?hl=en","Maplink2")</f>
        <v>Maplink2</v>
      </c>
      <c r="AY1988" s="88" t="str">
        <f>HYPERLINK("http://www.bing.com/maps/?lvl=14&amp;sty=h&amp;cp=36.2383~42.9364&amp;sp=point.36.2383_42.9364","Maplink3")</f>
        <v>Maplink3</v>
      </c>
      <c r="AZ1988" s="76"/>
    </row>
    <row r="1989" spans="1:52" x14ac:dyDescent="0.25">
      <c r="A1989" s="86">
        <v>18369</v>
      </c>
      <c r="B1989" s="87" t="s">
        <v>24</v>
      </c>
      <c r="C1989" s="87" t="s">
        <v>3781</v>
      </c>
      <c r="D1989" s="87" t="s">
        <v>3842</v>
      </c>
      <c r="E1989" s="87" t="s">
        <v>3843</v>
      </c>
      <c r="F1989" s="87">
        <v>36.356890786599998</v>
      </c>
      <c r="G1989" s="87">
        <v>43.222736803700002</v>
      </c>
      <c r="H1989" s="86">
        <v>397</v>
      </c>
      <c r="I1989" s="86">
        <v>2382</v>
      </c>
      <c r="J1989" s="87"/>
      <c r="K1989" s="87"/>
      <c r="L1989" s="87"/>
      <c r="M1989" s="87"/>
      <c r="N1989" s="87"/>
      <c r="O1989" s="87"/>
      <c r="P1989" s="87"/>
      <c r="Q1989" s="87"/>
      <c r="R1989" s="87"/>
      <c r="S1989" s="87"/>
      <c r="T1989" s="87"/>
      <c r="U1989" s="87"/>
      <c r="V1989" s="87">
        <v>397</v>
      </c>
      <c r="W1989" s="87"/>
      <c r="X1989" s="87"/>
      <c r="Y1989" s="87"/>
      <c r="Z1989" s="87"/>
      <c r="AA1989" s="87"/>
      <c r="AB1989" s="87"/>
      <c r="AC1989" s="87"/>
      <c r="AD1989" s="87"/>
      <c r="AE1989" s="87"/>
      <c r="AF1989" s="87"/>
      <c r="AG1989" s="87"/>
      <c r="AH1989" s="87">
        <v>396</v>
      </c>
      <c r="AI1989" s="87"/>
      <c r="AJ1989" s="87">
        <v>1</v>
      </c>
      <c r="AK1989" s="87"/>
      <c r="AL1989" s="87"/>
      <c r="AM1989" s="87"/>
      <c r="AN1989" s="87"/>
      <c r="AO1989" s="87"/>
      <c r="AP1989" s="87"/>
      <c r="AQ1989" s="87"/>
      <c r="AR1989" s="87"/>
      <c r="AS1989" s="87"/>
      <c r="AT1989" s="87">
        <v>397</v>
      </c>
      <c r="AU1989" s="87"/>
      <c r="AV1989" s="87"/>
      <c r="AW1989" s="88" t="str">
        <f>HYPERLINK("http://www.openstreetmap.org/?mlat=36.3569&amp;mlon=43.2227&amp;zoom=12#map=12/36.3569/43.2227","Maplink1")</f>
        <v>Maplink1</v>
      </c>
      <c r="AX1989" s="88" t="str">
        <f>HYPERLINK("https://www.google.iq/maps/search/+36.3569,43.2227/@36.3569,43.2227,14z?hl=en","Maplink2")</f>
        <v>Maplink2</v>
      </c>
      <c r="AY1989" s="88" t="str">
        <f>HYPERLINK("http://www.bing.com/maps/?lvl=14&amp;sty=h&amp;cp=36.3569~43.2227&amp;sp=point.36.3569_43.2227","Maplink3")</f>
        <v>Maplink3</v>
      </c>
      <c r="AZ1989" s="76"/>
    </row>
    <row r="1990" spans="1:52" x14ac:dyDescent="0.25">
      <c r="A1990" s="86">
        <v>18346</v>
      </c>
      <c r="B1990" s="87" t="s">
        <v>24</v>
      </c>
      <c r="C1990" s="87" t="s">
        <v>3781</v>
      </c>
      <c r="D1990" s="87" t="s">
        <v>3844</v>
      </c>
      <c r="E1990" s="87" t="s">
        <v>3845</v>
      </c>
      <c r="F1990" s="87">
        <v>36.308820134199998</v>
      </c>
      <c r="G1990" s="87">
        <v>43.108543280600003</v>
      </c>
      <c r="H1990" s="86">
        <v>462</v>
      </c>
      <c r="I1990" s="86">
        <v>2772</v>
      </c>
      <c r="J1990" s="87"/>
      <c r="K1990" s="87"/>
      <c r="L1990" s="87"/>
      <c r="M1990" s="87"/>
      <c r="N1990" s="87"/>
      <c r="O1990" s="87"/>
      <c r="P1990" s="87"/>
      <c r="Q1990" s="87"/>
      <c r="R1990" s="87"/>
      <c r="S1990" s="87"/>
      <c r="T1990" s="87"/>
      <c r="U1990" s="87"/>
      <c r="V1990" s="87">
        <v>462</v>
      </c>
      <c r="W1990" s="87"/>
      <c r="X1990" s="87"/>
      <c r="Y1990" s="87"/>
      <c r="Z1990" s="87"/>
      <c r="AA1990" s="87"/>
      <c r="AB1990" s="87"/>
      <c r="AC1990" s="87"/>
      <c r="AD1990" s="87"/>
      <c r="AE1990" s="87"/>
      <c r="AF1990" s="87"/>
      <c r="AG1990" s="87"/>
      <c r="AH1990" s="87">
        <v>300</v>
      </c>
      <c r="AI1990" s="87">
        <v>162</v>
      </c>
      <c r="AJ1990" s="87"/>
      <c r="AK1990" s="87"/>
      <c r="AL1990" s="87"/>
      <c r="AM1990" s="87"/>
      <c r="AN1990" s="87"/>
      <c r="AO1990" s="87"/>
      <c r="AP1990" s="87"/>
      <c r="AQ1990" s="87"/>
      <c r="AR1990" s="87">
        <v>152</v>
      </c>
      <c r="AS1990" s="87"/>
      <c r="AT1990" s="87">
        <v>310</v>
      </c>
      <c r="AU1990" s="87"/>
      <c r="AV1990" s="87"/>
      <c r="AW1990" s="88" t="str">
        <f>HYPERLINK("http://www.openstreetmap.org/?mlat=36.3088&amp;mlon=43.1085&amp;zoom=12#map=12/36.3088/43.1085","Maplink1")</f>
        <v>Maplink1</v>
      </c>
      <c r="AX1990" s="88" t="str">
        <f>HYPERLINK("https://www.google.iq/maps/search/+36.3088,43.1085/@36.3088,43.1085,14z?hl=en","Maplink2")</f>
        <v>Maplink2</v>
      </c>
      <c r="AY1990" s="88" t="str">
        <f>HYPERLINK("http://www.bing.com/maps/?lvl=14&amp;sty=h&amp;cp=36.3088~43.1085&amp;sp=point.36.3088_43.1085","Maplink3")</f>
        <v>Maplink3</v>
      </c>
      <c r="AZ1990" s="76"/>
    </row>
    <row r="1991" spans="1:52" x14ac:dyDescent="0.25">
      <c r="A1991" s="86">
        <v>33246</v>
      </c>
      <c r="B1991" s="87" t="s">
        <v>24</v>
      </c>
      <c r="C1991" s="87" t="s">
        <v>3781</v>
      </c>
      <c r="D1991" s="87" t="s">
        <v>3846</v>
      </c>
      <c r="E1991" s="87" t="s">
        <v>3847</v>
      </c>
      <c r="F1991" s="87">
        <v>36.335388762100003</v>
      </c>
      <c r="G1991" s="87">
        <v>43.092761808600002</v>
      </c>
      <c r="H1991" s="86">
        <v>52</v>
      </c>
      <c r="I1991" s="86">
        <v>312</v>
      </c>
      <c r="J1991" s="87"/>
      <c r="K1991" s="87"/>
      <c r="L1991" s="87"/>
      <c r="M1991" s="87"/>
      <c r="N1991" s="87"/>
      <c r="O1991" s="87"/>
      <c r="P1991" s="87"/>
      <c r="Q1991" s="87"/>
      <c r="R1991" s="87"/>
      <c r="S1991" s="87"/>
      <c r="T1991" s="87"/>
      <c r="U1991" s="87"/>
      <c r="V1991" s="87">
        <v>52</v>
      </c>
      <c r="W1991" s="87"/>
      <c r="X1991" s="87"/>
      <c r="Y1991" s="87"/>
      <c r="Z1991" s="87"/>
      <c r="AA1991" s="87"/>
      <c r="AB1991" s="87"/>
      <c r="AC1991" s="87"/>
      <c r="AD1991" s="87"/>
      <c r="AE1991" s="87"/>
      <c r="AF1991" s="87"/>
      <c r="AG1991" s="87"/>
      <c r="AH1991" s="87">
        <v>40</v>
      </c>
      <c r="AI1991" s="87">
        <v>12</v>
      </c>
      <c r="AJ1991" s="87"/>
      <c r="AK1991" s="87"/>
      <c r="AL1991" s="87"/>
      <c r="AM1991" s="87"/>
      <c r="AN1991" s="87"/>
      <c r="AO1991" s="87"/>
      <c r="AP1991" s="87"/>
      <c r="AQ1991" s="87"/>
      <c r="AR1991" s="87"/>
      <c r="AS1991" s="87"/>
      <c r="AT1991" s="87">
        <v>52</v>
      </c>
      <c r="AU1991" s="87"/>
      <c r="AV1991" s="87"/>
      <c r="AW1991" s="88" t="str">
        <f>HYPERLINK("http://www.openstreetmap.org/?mlat=36.3354&amp;mlon=43.0928&amp;zoom=12#map=12/36.3354/43.0928","Maplink1")</f>
        <v>Maplink1</v>
      </c>
      <c r="AX1991" s="88" t="str">
        <f>HYPERLINK("https://www.google.iq/maps/search/+36.3354,43.0928/@36.3354,43.0928,14z?hl=en","Maplink2")</f>
        <v>Maplink2</v>
      </c>
      <c r="AY1991" s="88" t="str">
        <f>HYPERLINK("http://www.bing.com/maps/?lvl=14&amp;sty=h&amp;cp=36.3354~43.0928&amp;sp=point.36.3354_43.0928","Maplink3")</f>
        <v>Maplink3</v>
      </c>
      <c r="AZ1991" s="76"/>
    </row>
    <row r="1992" spans="1:52" x14ac:dyDescent="0.25">
      <c r="A1992" s="86">
        <v>31703</v>
      </c>
      <c r="B1992" s="87" t="s">
        <v>24</v>
      </c>
      <c r="C1992" s="87" t="s">
        <v>3781</v>
      </c>
      <c r="D1992" s="87" t="s">
        <v>3848</v>
      </c>
      <c r="E1992" s="87" t="s">
        <v>3849</v>
      </c>
      <c r="F1992" s="87">
        <v>35.777740978600001</v>
      </c>
      <c r="G1992" s="87">
        <v>43.249873702199999</v>
      </c>
      <c r="H1992" s="86">
        <v>10</v>
      </c>
      <c r="I1992" s="86">
        <v>60</v>
      </c>
      <c r="J1992" s="87"/>
      <c r="K1992" s="87"/>
      <c r="L1992" s="87"/>
      <c r="M1992" s="87"/>
      <c r="N1992" s="87"/>
      <c r="O1992" s="87"/>
      <c r="P1992" s="87"/>
      <c r="Q1992" s="87"/>
      <c r="R1992" s="87"/>
      <c r="S1992" s="87"/>
      <c r="T1992" s="87"/>
      <c r="U1992" s="87"/>
      <c r="V1992" s="87">
        <v>10</v>
      </c>
      <c r="W1992" s="87"/>
      <c r="X1992" s="87"/>
      <c r="Y1992" s="87"/>
      <c r="Z1992" s="87"/>
      <c r="AA1992" s="87"/>
      <c r="AB1992" s="87"/>
      <c r="AC1992" s="87"/>
      <c r="AD1992" s="87"/>
      <c r="AE1992" s="87"/>
      <c r="AF1992" s="87"/>
      <c r="AG1992" s="87"/>
      <c r="AH1992" s="87">
        <v>10</v>
      </c>
      <c r="AI1992" s="87"/>
      <c r="AJ1992" s="87"/>
      <c r="AK1992" s="87"/>
      <c r="AL1992" s="87"/>
      <c r="AM1992" s="87"/>
      <c r="AN1992" s="87"/>
      <c r="AO1992" s="87"/>
      <c r="AP1992" s="87"/>
      <c r="AQ1992" s="87"/>
      <c r="AR1992" s="87"/>
      <c r="AS1992" s="87"/>
      <c r="AT1992" s="87">
        <v>10</v>
      </c>
      <c r="AU1992" s="87"/>
      <c r="AV1992" s="87"/>
      <c r="AW1992" s="88" t="str">
        <f>HYPERLINK("http://www.openstreetmap.org/?mlat=35.7777&amp;mlon=43.2499&amp;zoom=12#map=12/35.7777/43.2499","Maplink1")</f>
        <v>Maplink1</v>
      </c>
      <c r="AX1992" s="88" t="str">
        <f>HYPERLINK("https://www.google.iq/maps/search/+35.7777,43.2499/@35.7777,43.2499,14z?hl=en","Maplink2")</f>
        <v>Maplink2</v>
      </c>
      <c r="AY1992" s="88" t="str">
        <f>HYPERLINK("http://www.bing.com/maps/?lvl=14&amp;sty=h&amp;cp=35.7777~43.2499&amp;sp=point.35.7777_43.2499","Maplink3")</f>
        <v>Maplink3</v>
      </c>
      <c r="AZ1992" s="76"/>
    </row>
    <row r="1993" spans="1:52" x14ac:dyDescent="0.25">
      <c r="A1993" s="86">
        <v>18375</v>
      </c>
      <c r="B1993" s="87" t="s">
        <v>24</v>
      </c>
      <c r="C1993" s="87" t="s">
        <v>3781</v>
      </c>
      <c r="D1993" s="87" t="s">
        <v>3850</v>
      </c>
      <c r="E1993" s="87" t="s">
        <v>3851</v>
      </c>
      <c r="F1993" s="87">
        <v>36.320868980599997</v>
      </c>
      <c r="G1993" s="87">
        <v>43.114189748500003</v>
      </c>
      <c r="H1993" s="86">
        <v>87</v>
      </c>
      <c r="I1993" s="86">
        <v>522</v>
      </c>
      <c r="J1993" s="87"/>
      <c r="K1993" s="87"/>
      <c r="L1993" s="87"/>
      <c r="M1993" s="87"/>
      <c r="N1993" s="87"/>
      <c r="O1993" s="87"/>
      <c r="P1993" s="87"/>
      <c r="Q1993" s="87"/>
      <c r="R1993" s="87"/>
      <c r="S1993" s="87"/>
      <c r="T1993" s="87"/>
      <c r="U1993" s="87"/>
      <c r="V1993" s="87">
        <v>87</v>
      </c>
      <c r="W1993" s="87"/>
      <c r="X1993" s="87"/>
      <c r="Y1993" s="87"/>
      <c r="Z1993" s="87"/>
      <c r="AA1993" s="87"/>
      <c r="AB1993" s="87"/>
      <c r="AC1993" s="87"/>
      <c r="AD1993" s="87"/>
      <c r="AE1993" s="87"/>
      <c r="AF1993" s="87"/>
      <c r="AG1993" s="87"/>
      <c r="AH1993" s="87">
        <v>87</v>
      </c>
      <c r="AI1993" s="87"/>
      <c r="AJ1993" s="87"/>
      <c r="AK1993" s="87"/>
      <c r="AL1993" s="87"/>
      <c r="AM1993" s="87"/>
      <c r="AN1993" s="87"/>
      <c r="AO1993" s="87"/>
      <c r="AP1993" s="87"/>
      <c r="AQ1993" s="87"/>
      <c r="AR1993" s="87"/>
      <c r="AS1993" s="87"/>
      <c r="AT1993" s="87">
        <v>87</v>
      </c>
      <c r="AU1993" s="87"/>
      <c r="AV1993" s="87"/>
      <c r="AW1993" s="88" t="str">
        <f>HYPERLINK("http://www.openstreetmap.org/?mlat=36.3209&amp;mlon=43.1142&amp;zoom=12#map=12/36.3209/43.1142","Maplink1")</f>
        <v>Maplink1</v>
      </c>
      <c r="AX1993" s="88" t="str">
        <f>HYPERLINK("https://www.google.iq/maps/search/+36.3209,43.1142/@36.3209,43.1142,14z?hl=en","Maplink2")</f>
        <v>Maplink2</v>
      </c>
      <c r="AY1993" s="88" t="str">
        <f>HYPERLINK("http://www.bing.com/maps/?lvl=14&amp;sty=h&amp;cp=36.3209~43.1142&amp;sp=point.36.3209_43.1142","Maplink3")</f>
        <v>Maplink3</v>
      </c>
      <c r="AZ1993" s="76"/>
    </row>
    <row r="1994" spans="1:52" x14ac:dyDescent="0.25">
      <c r="A1994" s="86">
        <v>18391</v>
      </c>
      <c r="B1994" s="87" t="s">
        <v>24</v>
      </c>
      <c r="C1994" s="87" t="s">
        <v>3781</v>
      </c>
      <c r="D1994" s="87" t="s">
        <v>3852</v>
      </c>
      <c r="E1994" s="87" t="s">
        <v>3853</v>
      </c>
      <c r="F1994" s="87">
        <v>36.382470299300003</v>
      </c>
      <c r="G1994" s="87">
        <v>43.178487335699998</v>
      </c>
      <c r="H1994" s="86">
        <v>33</v>
      </c>
      <c r="I1994" s="86">
        <v>198</v>
      </c>
      <c r="J1994" s="87"/>
      <c r="K1994" s="87"/>
      <c r="L1994" s="87"/>
      <c r="M1994" s="87"/>
      <c r="N1994" s="87"/>
      <c r="O1994" s="87"/>
      <c r="P1994" s="87"/>
      <c r="Q1994" s="87"/>
      <c r="R1994" s="87"/>
      <c r="S1994" s="87"/>
      <c r="T1994" s="87"/>
      <c r="U1994" s="87"/>
      <c r="V1994" s="87">
        <v>33</v>
      </c>
      <c r="W1994" s="87"/>
      <c r="X1994" s="87"/>
      <c r="Y1994" s="87"/>
      <c r="Z1994" s="87"/>
      <c r="AA1994" s="87"/>
      <c r="AB1994" s="87"/>
      <c r="AC1994" s="87"/>
      <c r="AD1994" s="87"/>
      <c r="AE1994" s="87"/>
      <c r="AF1994" s="87"/>
      <c r="AG1994" s="87"/>
      <c r="AH1994" s="87">
        <v>33</v>
      </c>
      <c r="AI1994" s="87"/>
      <c r="AJ1994" s="87"/>
      <c r="AK1994" s="87"/>
      <c r="AL1994" s="87"/>
      <c r="AM1994" s="87"/>
      <c r="AN1994" s="87"/>
      <c r="AO1994" s="87"/>
      <c r="AP1994" s="87"/>
      <c r="AQ1994" s="87"/>
      <c r="AR1994" s="87"/>
      <c r="AS1994" s="87"/>
      <c r="AT1994" s="87">
        <v>33</v>
      </c>
      <c r="AU1994" s="87"/>
      <c r="AV1994" s="87"/>
      <c r="AW1994" s="88" t="str">
        <f>HYPERLINK("http://www.openstreetmap.org/?mlat=36.3825&amp;mlon=43.1785&amp;zoom=12#map=12/36.3825/43.1785","Maplink1")</f>
        <v>Maplink1</v>
      </c>
      <c r="AX1994" s="88" t="str">
        <f>HYPERLINK("https://www.google.iq/maps/search/+36.3825,43.1785/@36.3825,43.1785,14z?hl=en","Maplink2")</f>
        <v>Maplink2</v>
      </c>
      <c r="AY1994" s="88" t="str">
        <f>HYPERLINK("http://www.bing.com/maps/?lvl=14&amp;sty=h&amp;cp=36.3825~43.1785&amp;sp=point.36.3825_43.1785","Maplink3")</f>
        <v>Maplink3</v>
      </c>
      <c r="AZ1994" s="76"/>
    </row>
    <row r="1995" spans="1:52" x14ac:dyDescent="0.25">
      <c r="A1995" s="86">
        <v>33264</v>
      </c>
      <c r="B1995" s="87" t="s">
        <v>24</v>
      </c>
      <c r="C1995" s="87" t="s">
        <v>3781</v>
      </c>
      <c r="D1995" s="87" t="s">
        <v>3854</v>
      </c>
      <c r="E1995" s="87" t="s">
        <v>3855</v>
      </c>
      <c r="F1995" s="87">
        <v>36.339142164400002</v>
      </c>
      <c r="G1995" s="87">
        <v>43.091268282900003</v>
      </c>
      <c r="H1995" s="86">
        <v>195</v>
      </c>
      <c r="I1995" s="86">
        <v>1170</v>
      </c>
      <c r="J1995" s="87"/>
      <c r="K1995" s="87"/>
      <c r="L1995" s="87"/>
      <c r="M1995" s="87"/>
      <c r="N1995" s="87"/>
      <c r="O1995" s="87"/>
      <c r="P1995" s="87"/>
      <c r="Q1995" s="87"/>
      <c r="R1995" s="87"/>
      <c r="S1995" s="87"/>
      <c r="T1995" s="87"/>
      <c r="U1995" s="87"/>
      <c r="V1995" s="87">
        <v>195</v>
      </c>
      <c r="W1995" s="87"/>
      <c r="X1995" s="87"/>
      <c r="Y1995" s="87"/>
      <c r="Z1995" s="87"/>
      <c r="AA1995" s="87"/>
      <c r="AB1995" s="87"/>
      <c r="AC1995" s="87"/>
      <c r="AD1995" s="87"/>
      <c r="AE1995" s="87"/>
      <c r="AF1995" s="87"/>
      <c r="AG1995" s="87"/>
      <c r="AH1995" s="87">
        <v>175</v>
      </c>
      <c r="AI1995" s="87">
        <v>20</v>
      </c>
      <c r="AJ1995" s="87"/>
      <c r="AK1995" s="87"/>
      <c r="AL1995" s="87"/>
      <c r="AM1995" s="87"/>
      <c r="AN1995" s="87"/>
      <c r="AO1995" s="87"/>
      <c r="AP1995" s="87"/>
      <c r="AQ1995" s="87"/>
      <c r="AR1995" s="87"/>
      <c r="AS1995" s="87"/>
      <c r="AT1995" s="87">
        <v>195</v>
      </c>
      <c r="AU1995" s="87"/>
      <c r="AV1995" s="87"/>
      <c r="AW1995" s="88" t="str">
        <f>HYPERLINK("http://www.openstreetmap.org/?mlat=36.3391&amp;mlon=43.0913&amp;zoom=12#map=12/36.3391/43.0913","Maplink1")</f>
        <v>Maplink1</v>
      </c>
      <c r="AX1995" s="88" t="str">
        <f>HYPERLINK("https://www.google.iq/maps/search/+36.3391,43.0913/@36.3391,43.0913,14z?hl=en","Maplink2")</f>
        <v>Maplink2</v>
      </c>
      <c r="AY1995" s="88" t="str">
        <f>HYPERLINK("http://www.bing.com/maps/?lvl=14&amp;sty=h&amp;cp=36.3391~43.0913&amp;sp=point.36.3391_43.0913","Maplink3")</f>
        <v>Maplink3</v>
      </c>
      <c r="AZ1995" s="76"/>
    </row>
    <row r="1996" spans="1:52" x14ac:dyDescent="0.25">
      <c r="A1996" s="86">
        <v>24550</v>
      </c>
      <c r="B1996" s="87" t="s">
        <v>24</v>
      </c>
      <c r="C1996" s="87" t="s">
        <v>3781</v>
      </c>
      <c r="D1996" s="87" t="s">
        <v>3856</v>
      </c>
      <c r="E1996" s="87" t="s">
        <v>3857</v>
      </c>
      <c r="F1996" s="87">
        <v>36.3297002093</v>
      </c>
      <c r="G1996" s="87">
        <v>43.195901645299998</v>
      </c>
      <c r="H1996" s="86">
        <v>296</v>
      </c>
      <c r="I1996" s="86">
        <v>1776</v>
      </c>
      <c r="J1996" s="87"/>
      <c r="K1996" s="87"/>
      <c r="L1996" s="87"/>
      <c r="M1996" s="87"/>
      <c r="N1996" s="87"/>
      <c r="O1996" s="87"/>
      <c r="P1996" s="87"/>
      <c r="Q1996" s="87"/>
      <c r="R1996" s="87"/>
      <c r="S1996" s="87"/>
      <c r="T1996" s="87"/>
      <c r="U1996" s="87"/>
      <c r="V1996" s="87">
        <v>296</v>
      </c>
      <c r="W1996" s="87"/>
      <c r="X1996" s="87"/>
      <c r="Y1996" s="87"/>
      <c r="Z1996" s="87"/>
      <c r="AA1996" s="87"/>
      <c r="AB1996" s="87"/>
      <c r="AC1996" s="87"/>
      <c r="AD1996" s="87"/>
      <c r="AE1996" s="87"/>
      <c r="AF1996" s="87"/>
      <c r="AG1996" s="87"/>
      <c r="AH1996" s="87">
        <v>282</v>
      </c>
      <c r="AI1996" s="87"/>
      <c r="AJ1996" s="87"/>
      <c r="AK1996" s="87">
        <v>14</v>
      </c>
      <c r="AL1996" s="87"/>
      <c r="AM1996" s="87"/>
      <c r="AN1996" s="87"/>
      <c r="AO1996" s="87"/>
      <c r="AP1996" s="87">
        <v>60</v>
      </c>
      <c r="AQ1996" s="87"/>
      <c r="AR1996" s="87"/>
      <c r="AS1996" s="87"/>
      <c r="AT1996" s="87">
        <v>236</v>
      </c>
      <c r="AU1996" s="87"/>
      <c r="AV1996" s="87"/>
      <c r="AW1996" s="88" t="str">
        <f>HYPERLINK("http://www.openstreetmap.org/?mlat=36.3297&amp;mlon=43.1959&amp;zoom=12#map=12/36.3297/43.1959","Maplink1")</f>
        <v>Maplink1</v>
      </c>
      <c r="AX1996" s="88" t="str">
        <f>HYPERLINK("https://www.google.iq/maps/search/+36.3297,43.1959/@36.3297,43.1959,14z?hl=en","Maplink2")</f>
        <v>Maplink2</v>
      </c>
      <c r="AY1996" s="88" t="str">
        <f>HYPERLINK("http://www.bing.com/maps/?lvl=14&amp;sty=h&amp;cp=36.3297~43.1959&amp;sp=point.36.3297_43.1959","Maplink3")</f>
        <v>Maplink3</v>
      </c>
      <c r="AZ1996" s="76"/>
    </row>
    <row r="1997" spans="1:52" x14ac:dyDescent="0.25">
      <c r="A1997" s="86">
        <v>31920</v>
      </c>
      <c r="B1997" s="87" t="s">
        <v>24</v>
      </c>
      <c r="C1997" s="87" t="s">
        <v>3781</v>
      </c>
      <c r="D1997" s="87" t="s">
        <v>3858</v>
      </c>
      <c r="E1997" s="87" t="s">
        <v>122</v>
      </c>
      <c r="F1997" s="87">
        <v>36.389268720099999</v>
      </c>
      <c r="G1997" s="87">
        <v>43.197229117200003</v>
      </c>
      <c r="H1997" s="86">
        <v>60</v>
      </c>
      <c r="I1997" s="86">
        <v>360</v>
      </c>
      <c r="J1997" s="87"/>
      <c r="K1997" s="87"/>
      <c r="L1997" s="87"/>
      <c r="M1997" s="87"/>
      <c r="N1997" s="87"/>
      <c r="O1997" s="87"/>
      <c r="P1997" s="87"/>
      <c r="Q1997" s="87"/>
      <c r="R1997" s="87"/>
      <c r="S1997" s="87"/>
      <c r="T1997" s="87"/>
      <c r="U1997" s="87"/>
      <c r="V1997" s="87">
        <v>60</v>
      </c>
      <c r="W1997" s="87"/>
      <c r="X1997" s="87"/>
      <c r="Y1997" s="87"/>
      <c r="Z1997" s="87"/>
      <c r="AA1997" s="87"/>
      <c r="AB1997" s="87"/>
      <c r="AC1997" s="87">
        <v>8</v>
      </c>
      <c r="AD1997" s="87"/>
      <c r="AE1997" s="87"/>
      <c r="AF1997" s="87"/>
      <c r="AG1997" s="87"/>
      <c r="AH1997" s="87">
        <v>51</v>
      </c>
      <c r="AI1997" s="87"/>
      <c r="AJ1997" s="87"/>
      <c r="AK1997" s="87">
        <v>1</v>
      </c>
      <c r="AL1997" s="87"/>
      <c r="AM1997" s="87"/>
      <c r="AN1997" s="87"/>
      <c r="AO1997" s="87"/>
      <c r="AP1997" s="87">
        <v>18</v>
      </c>
      <c r="AQ1997" s="87"/>
      <c r="AR1997" s="87"/>
      <c r="AS1997" s="87"/>
      <c r="AT1997" s="87">
        <v>42</v>
      </c>
      <c r="AU1997" s="87"/>
      <c r="AV1997" s="87"/>
      <c r="AW1997" s="88" t="str">
        <f>HYPERLINK("http://www.openstreetmap.org/?mlat=36.3893&amp;mlon=43.1972&amp;zoom=12#map=12/36.3893/43.1972","Maplink1")</f>
        <v>Maplink1</v>
      </c>
      <c r="AX1997" s="88" t="str">
        <f>HYPERLINK("https://www.google.iq/maps/search/+36.3893,43.1972/@36.3893,43.1972,14z?hl=en","Maplink2")</f>
        <v>Maplink2</v>
      </c>
      <c r="AY1997" s="88" t="str">
        <f>HYPERLINK("http://www.bing.com/maps/?lvl=14&amp;sty=h&amp;cp=36.3893~43.1972&amp;sp=point.36.3893_43.1972","Maplink3")</f>
        <v>Maplink3</v>
      </c>
      <c r="AZ1997" s="76"/>
    </row>
    <row r="1998" spans="1:52" x14ac:dyDescent="0.25">
      <c r="A1998" s="86">
        <v>18323</v>
      </c>
      <c r="B1998" s="87" t="s">
        <v>24</v>
      </c>
      <c r="C1998" s="87" t="s">
        <v>3781</v>
      </c>
      <c r="D1998" s="87" t="s">
        <v>3859</v>
      </c>
      <c r="E1998" s="87" t="s">
        <v>251</v>
      </c>
      <c r="F1998" s="87">
        <v>36.370121572599999</v>
      </c>
      <c r="G1998" s="87">
        <v>43.177421766000002</v>
      </c>
      <c r="H1998" s="86">
        <v>42</v>
      </c>
      <c r="I1998" s="86">
        <v>252</v>
      </c>
      <c r="J1998" s="87"/>
      <c r="K1998" s="87"/>
      <c r="L1998" s="87"/>
      <c r="M1998" s="87"/>
      <c r="N1998" s="87"/>
      <c r="O1998" s="87"/>
      <c r="P1998" s="87"/>
      <c r="Q1998" s="87"/>
      <c r="R1998" s="87"/>
      <c r="S1998" s="87"/>
      <c r="T1998" s="87"/>
      <c r="U1998" s="87"/>
      <c r="V1998" s="87">
        <v>42</v>
      </c>
      <c r="W1998" s="87"/>
      <c r="X1998" s="87"/>
      <c r="Y1998" s="87"/>
      <c r="Z1998" s="87"/>
      <c r="AA1998" s="87"/>
      <c r="AB1998" s="87"/>
      <c r="AC1998" s="87">
        <v>8</v>
      </c>
      <c r="AD1998" s="87"/>
      <c r="AE1998" s="87"/>
      <c r="AF1998" s="87"/>
      <c r="AG1998" s="87"/>
      <c r="AH1998" s="87">
        <v>34</v>
      </c>
      <c r="AI1998" s="87"/>
      <c r="AJ1998" s="87"/>
      <c r="AK1998" s="87"/>
      <c r="AL1998" s="87"/>
      <c r="AM1998" s="87"/>
      <c r="AN1998" s="87"/>
      <c r="AO1998" s="87"/>
      <c r="AP1998" s="87">
        <v>14</v>
      </c>
      <c r="AQ1998" s="87"/>
      <c r="AR1998" s="87"/>
      <c r="AS1998" s="87"/>
      <c r="AT1998" s="87">
        <v>28</v>
      </c>
      <c r="AU1998" s="87"/>
      <c r="AV1998" s="87"/>
      <c r="AW1998" s="88" t="str">
        <f>HYPERLINK("http://www.openstreetmap.org/?mlat=36.3701&amp;mlon=43.1774&amp;zoom=12#map=12/36.3701/43.1774","Maplink1")</f>
        <v>Maplink1</v>
      </c>
      <c r="AX1998" s="88" t="str">
        <f>HYPERLINK("https://www.google.iq/maps/search/+36.3701,43.1774/@36.3701,43.1774,14z?hl=en","Maplink2")</f>
        <v>Maplink2</v>
      </c>
      <c r="AY1998" s="88" t="str">
        <f>HYPERLINK("http://www.bing.com/maps/?lvl=14&amp;sty=h&amp;cp=36.3701~43.1774&amp;sp=point.36.3701_43.1774","Maplink3")</f>
        <v>Maplink3</v>
      </c>
      <c r="AZ1998" s="76"/>
    </row>
    <row r="1999" spans="1:52" x14ac:dyDescent="0.25">
      <c r="A1999" s="86">
        <v>18393</v>
      </c>
      <c r="B1999" s="87" t="s">
        <v>24</v>
      </c>
      <c r="C1999" s="87" t="s">
        <v>3781</v>
      </c>
      <c r="D1999" s="87" t="s">
        <v>3860</v>
      </c>
      <c r="E1999" s="87" t="s">
        <v>3861</v>
      </c>
      <c r="F1999" s="87">
        <v>36.368574914900002</v>
      </c>
      <c r="G1999" s="87">
        <v>43.137237786699998</v>
      </c>
      <c r="H1999" s="86">
        <v>6</v>
      </c>
      <c r="I1999" s="86">
        <v>36</v>
      </c>
      <c r="J1999" s="87"/>
      <c r="K1999" s="87"/>
      <c r="L1999" s="87"/>
      <c r="M1999" s="87"/>
      <c r="N1999" s="87"/>
      <c r="O1999" s="87"/>
      <c r="P1999" s="87"/>
      <c r="Q1999" s="87"/>
      <c r="R1999" s="87"/>
      <c r="S1999" s="87"/>
      <c r="T1999" s="87"/>
      <c r="U1999" s="87"/>
      <c r="V1999" s="87">
        <v>6</v>
      </c>
      <c r="W1999" s="87"/>
      <c r="X1999" s="87"/>
      <c r="Y1999" s="87"/>
      <c r="Z1999" s="87"/>
      <c r="AA1999" s="87"/>
      <c r="AB1999" s="87"/>
      <c r="AC1999" s="87"/>
      <c r="AD1999" s="87"/>
      <c r="AE1999" s="87"/>
      <c r="AF1999" s="87"/>
      <c r="AG1999" s="87"/>
      <c r="AH1999" s="87">
        <v>6</v>
      </c>
      <c r="AI1999" s="87"/>
      <c r="AJ1999" s="87"/>
      <c r="AK1999" s="87"/>
      <c r="AL1999" s="87"/>
      <c r="AM1999" s="87"/>
      <c r="AN1999" s="87"/>
      <c r="AO1999" s="87"/>
      <c r="AP1999" s="87"/>
      <c r="AQ1999" s="87"/>
      <c r="AR1999" s="87"/>
      <c r="AS1999" s="87"/>
      <c r="AT1999" s="87">
        <v>6</v>
      </c>
      <c r="AU1999" s="87"/>
      <c r="AV1999" s="87"/>
      <c r="AW1999" s="88" t="str">
        <f>HYPERLINK("http://www.openstreetmap.org/?mlat=36.3686&amp;mlon=43.1372&amp;zoom=12#map=12/36.3686/43.1372","Maplink1")</f>
        <v>Maplink1</v>
      </c>
      <c r="AX1999" s="88" t="str">
        <f>HYPERLINK("https://www.google.iq/maps/search/+36.3686,43.1372/@36.3686,43.1372,14z?hl=en","Maplink2")</f>
        <v>Maplink2</v>
      </c>
      <c r="AY1999" s="88" t="str">
        <f>HYPERLINK("http://www.bing.com/maps/?lvl=14&amp;sty=h&amp;cp=36.3686~43.1372&amp;sp=point.36.3686_43.1372","Maplink3")</f>
        <v>Maplink3</v>
      </c>
      <c r="AZ1999" s="76"/>
    </row>
    <row r="2000" spans="1:52" x14ac:dyDescent="0.25">
      <c r="A2000" s="86">
        <v>20782</v>
      </c>
      <c r="B2000" s="87" t="s">
        <v>24</v>
      </c>
      <c r="C2000" s="87" t="s">
        <v>3781</v>
      </c>
      <c r="D2000" s="87" t="s">
        <v>3862</v>
      </c>
      <c r="E2000" s="87" t="s">
        <v>3863</v>
      </c>
      <c r="F2000" s="87">
        <v>36.383662314399999</v>
      </c>
      <c r="G2000" s="87">
        <v>43.193431042299999</v>
      </c>
      <c r="H2000" s="86">
        <v>19</v>
      </c>
      <c r="I2000" s="86">
        <v>114</v>
      </c>
      <c r="J2000" s="87"/>
      <c r="K2000" s="87"/>
      <c r="L2000" s="87"/>
      <c r="M2000" s="87"/>
      <c r="N2000" s="87"/>
      <c r="O2000" s="87"/>
      <c r="P2000" s="87"/>
      <c r="Q2000" s="87"/>
      <c r="R2000" s="87"/>
      <c r="S2000" s="87"/>
      <c r="T2000" s="87"/>
      <c r="U2000" s="87"/>
      <c r="V2000" s="87">
        <v>19</v>
      </c>
      <c r="W2000" s="87"/>
      <c r="X2000" s="87"/>
      <c r="Y2000" s="87"/>
      <c r="Z2000" s="87"/>
      <c r="AA2000" s="87"/>
      <c r="AB2000" s="87"/>
      <c r="AC2000" s="87">
        <v>3</v>
      </c>
      <c r="AD2000" s="87"/>
      <c r="AE2000" s="87"/>
      <c r="AF2000" s="87"/>
      <c r="AG2000" s="87"/>
      <c r="AH2000" s="87">
        <v>16</v>
      </c>
      <c r="AI2000" s="87"/>
      <c r="AJ2000" s="87"/>
      <c r="AK2000" s="87"/>
      <c r="AL2000" s="87"/>
      <c r="AM2000" s="87"/>
      <c r="AN2000" s="87"/>
      <c r="AO2000" s="87"/>
      <c r="AP2000" s="87">
        <v>1</v>
      </c>
      <c r="AQ2000" s="87"/>
      <c r="AR2000" s="87"/>
      <c r="AS2000" s="87"/>
      <c r="AT2000" s="87">
        <v>18</v>
      </c>
      <c r="AU2000" s="87"/>
      <c r="AV2000" s="87"/>
      <c r="AW2000" s="88" t="str">
        <f>HYPERLINK("http://www.openstreetmap.org/?mlat=36.3837&amp;mlon=43.1934&amp;zoom=12#map=12/36.3837/43.1934","Maplink1")</f>
        <v>Maplink1</v>
      </c>
      <c r="AX2000" s="88" t="str">
        <f>HYPERLINK("https://www.google.iq/maps/search/+36.3837,43.1934/@36.3837,43.1934,14z?hl=en","Maplink2")</f>
        <v>Maplink2</v>
      </c>
      <c r="AY2000" s="88" t="str">
        <f>HYPERLINK("http://www.bing.com/maps/?lvl=14&amp;sty=h&amp;cp=36.3837~43.1934&amp;sp=point.36.3837_43.1934","Maplink3")</f>
        <v>Maplink3</v>
      </c>
      <c r="AZ2000" s="76"/>
    </row>
    <row r="2001" spans="1:52" x14ac:dyDescent="0.25">
      <c r="A2001" s="86">
        <v>18244</v>
      </c>
      <c r="B2001" s="87" t="s">
        <v>24</v>
      </c>
      <c r="C2001" s="87" t="s">
        <v>3781</v>
      </c>
      <c r="D2001" s="87" t="s">
        <v>3864</v>
      </c>
      <c r="E2001" s="87" t="s">
        <v>3865</v>
      </c>
      <c r="F2001" s="87">
        <v>36.3331287058</v>
      </c>
      <c r="G2001" s="87">
        <v>43.1348878879</v>
      </c>
      <c r="H2001" s="86">
        <v>14</v>
      </c>
      <c r="I2001" s="86">
        <v>84</v>
      </c>
      <c r="J2001" s="87"/>
      <c r="K2001" s="87"/>
      <c r="L2001" s="87"/>
      <c r="M2001" s="87"/>
      <c r="N2001" s="87"/>
      <c r="O2001" s="87"/>
      <c r="P2001" s="87"/>
      <c r="Q2001" s="87"/>
      <c r="R2001" s="87"/>
      <c r="S2001" s="87"/>
      <c r="T2001" s="87"/>
      <c r="U2001" s="87"/>
      <c r="V2001" s="87">
        <v>14</v>
      </c>
      <c r="W2001" s="87"/>
      <c r="X2001" s="87"/>
      <c r="Y2001" s="87"/>
      <c r="Z2001" s="87"/>
      <c r="AA2001" s="87"/>
      <c r="AB2001" s="87"/>
      <c r="AC2001" s="87"/>
      <c r="AD2001" s="87"/>
      <c r="AE2001" s="87"/>
      <c r="AF2001" s="87"/>
      <c r="AG2001" s="87"/>
      <c r="AH2001" s="87">
        <v>7</v>
      </c>
      <c r="AI2001" s="87">
        <v>7</v>
      </c>
      <c r="AJ2001" s="87"/>
      <c r="AK2001" s="87"/>
      <c r="AL2001" s="87"/>
      <c r="AM2001" s="87"/>
      <c r="AN2001" s="87"/>
      <c r="AO2001" s="87"/>
      <c r="AP2001" s="87"/>
      <c r="AQ2001" s="87"/>
      <c r="AR2001" s="87"/>
      <c r="AS2001" s="87"/>
      <c r="AT2001" s="87">
        <v>14</v>
      </c>
      <c r="AU2001" s="87"/>
      <c r="AV2001" s="87"/>
      <c r="AW2001" s="88" t="str">
        <f>HYPERLINK("http://www.openstreetmap.org/?mlat=36.3331&amp;mlon=43.1349&amp;zoom=12#map=12/36.3331/43.1349","Maplink1")</f>
        <v>Maplink1</v>
      </c>
      <c r="AX2001" s="88" t="str">
        <f>HYPERLINK("https://www.google.iq/maps/search/+36.3331,43.1349/@36.3331,43.1349,14z?hl=en","Maplink2")</f>
        <v>Maplink2</v>
      </c>
      <c r="AY2001" s="88" t="str">
        <f>HYPERLINK("http://www.bing.com/maps/?lvl=14&amp;sty=h&amp;cp=36.3331~43.1349&amp;sp=point.36.3331_43.1349","Maplink3")</f>
        <v>Maplink3</v>
      </c>
      <c r="AZ2001" s="76"/>
    </row>
    <row r="2002" spans="1:52" x14ac:dyDescent="0.25">
      <c r="A2002" s="86">
        <v>18248</v>
      </c>
      <c r="B2002" s="87" t="s">
        <v>24</v>
      </c>
      <c r="C2002" s="87" t="s">
        <v>3781</v>
      </c>
      <c r="D2002" s="87" t="s">
        <v>3866</v>
      </c>
      <c r="E2002" s="87" t="s">
        <v>3867</v>
      </c>
      <c r="F2002" s="87">
        <v>36.361188353700001</v>
      </c>
      <c r="G2002" s="87">
        <v>43.099085681600002</v>
      </c>
      <c r="H2002" s="86">
        <v>37</v>
      </c>
      <c r="I2002" s="86">
        <v>222</v>
      </c>
      <c r="J2002" s="87"/>
      <c r="K2002" s="87"/>
      <c r="L2002" s="87"/>
      <c r="M2002" s="87"/>
      <c r="N2002" s="87"/>
      <c r="O2002" s="87"/>
      <c r="P2002" s="87"/>
      <c r="Q2002" s="87"/>
      <c r="R2002" s="87"/>
      <c r="S2002" s="87"/>
      <c r="T2002" s="87"/>
      <c r="U2002" s="87"/>
      <c r="V2002" s="87">
        <v>37</v>
      </c>
      <c r="W2002" s="87"/>
      <c r="X2002" s="87"/>
      <c r="Y2002" s="87"/>
      <c r="Z2002" s="87"/>
      <c r="AA2002" s="87"/>
      <c r="AB2002" s="87"/>
      <c r="AC2002" s="87"/>
      <c r="AD2002" s="87"/>
      <c r="AE2002" s="87"/>
      <c r="AF2002" s="87"/>
      <c r="AG2002" s="87"/>
      <c r="AH2002" s="87">
        <v>32</v>
      </c>
      <c r="AI2002" s="87">
        <v>5</v>
      </c>
      <c r="AJ2002" s="87"/>
      <c r="AK2002" s="87"/>
      <c r="AL2002" s="87"/>
      <c r="AM2002" s="87"/>
      <c r="AN2002" s="87"/>
      <c r="AO2002" s="87"/>
      <c r="AP2002" s="87"/>
      <c r="AQ2002" s="87"/>
      <c r="AR2002" s="87"/>
      <c r="AS2002" s="87"/>
      <c r="AT2002" s="87">
        <v>37</v>
      </c>
      <c r="AU2002" s="87"/>
      <c r="AV2002" s="87"/>
      <c r="AW2002" s="88" t="str">
        <f>HYPERLINK("http://www.openstreetmap.org/?mlat=36.3612&amp;mlon=43.0991&amp;zoom=12#map=12/36.3612/43.0991","Maplink1")</f>
        <v>Maplink1</v>
      </c>
      <c r="AX2002" s="88" t="str">
        <f>HYPERLINK("https://www.google.iq/maps/search/+36.3612,43.0991/@36.3612,43.0991,14z?hl=en","Maplink2")</f>
        <v>Maplink2</v>
      </c>
      <c r="AY2002" s="88" t="str">
        <f>HYPERLINK("http://www.bing.com/maps/?lvl=14&amp;sty=h&amp;cp=36.3612~43.0991&amp;sp=point.36.3612_43.0991","Maplink3")</f>
        <v>Maplink3</v>
      </c>
      <c r="AZ2002" s="76"/>
    </row>
    <row r="2003" spans="1:52" x14ac:dyDescent="0.25">
      <c r="A2003" s="86">
        <v>18336</v>
      </c>
      <c r="B2003" s="87" t="s">
        <v>24</v>
      </c>
      <c r="C2003" s="87" t="s">
        <v>3781</v>
      </c>
      <c r="D2003" s="87" t="s">
        <v>3868</v>
      </c>
      <c r="E2003" s="87" t="s">
        <v>3869</v>
      </c>
      <c r="F2003" s="87">
        <v>36.358470120299998</v>
      </c>
      <c r="G2003" s="87">
        <v>43.1860369276</v>
      </c>
      <c r="H2003" s="86">
        <v>188</v>
      </c>
      <c r="I2003" s="86">
        <v>1128</v>
      </c>
      <c r="J2003" s="87"/>
      <c r="K2003" s="87"/>
      <c r="L2003" s="87"/>
      <c r="M2003" s="87"/>
      <c r="N2003" s="87"/>
      <c r="O2003" s="87"/>
      <c r="P2003" s="87"/>
      <c r="Q2003" s="87"/>
      <c r="R2003" s="87"/>
      <c r="S2003" s="87"/>
      <c r="T2003" s="87"/>
      <c r="U2003" s="87"/>
      <c r="V2003" s="87">
        <v>188</v>
      </c>
      <c r="W2003" s="87"/>
      <c r="X2003" s="87"/>
      <c r="Y2003" s="87"/>
      <c r="Z2003" s="87"/>
      <c r="AA2003" s="87"/>
      <c r="AB2003" s="87"/>
      <c r="AC2003" s="87">
        <v>5</v>
      </c>
      <c r="AD2003" s="87"/>
      <c r="AE2003" s="87"/>
      <c r="AF2003" s="87"/>
      <c r="AG2003" s="87"/>
      <c r="AH2003" s="87">
        <v>168</v>
      </c>
      <c r="AI2003" s="87"/>
      <c r="AJ2003" s="87"/>
      <c r="AK2003" s="87">
        <v>15</v>
      </c>
      <c r="AL2003" s="87"/>
      <c r="AM2003" s="87"/>
      <c r="AN2003" s="87"/>
      <c r="AO2003" s="87"/>
      <c r="AP2003" s="87">
        <v>80</v>
      </c>
      <c r="AQ2003" s="87"/>
      <c r="AR2003" s="87"/>
      <c r="AS2003" s="87"/>
      <c r="AT2003" s="87">
        <v>108</v>
      </c>
      <c r="AU2003" s="87"/>
      <c r="AV2003" s="87"/>
      <c r="AW2003" s="88" t="str">
        <f>HYPERLINK("http://www.openstreetmap.org/?mlat=36.3585&amp;mlon=43.186&amp;zoom=12#map=12/36.3585/43.186","Maplink1")</f>
        <v>Maplink1</v>
      </c>
      <c r="AX2003" s="88" t="str">
        <f>HYPERLINK("https://www.google.iq/maps/search/+36.3585,43.186/@36.3585,43.186,14z?hl=en","Maplink2")</f>
        <v>Maplink2</v>
      </c>
      <c r="AY2003" s="88" t="str">
        <f>HYPERLINK("http://www.bing.com/maps/?lvl=14&amp;sty=h&amp;cp=36.3585~43.186&amp;sp=point.36.3585_43.186","Maplink3")</f>
        <v>Maplink3</v>
      </c>
      <c r="AZ2003" s="76"/>
    </row>
    <row r="2004" spans="1:52" x14ac:dyDescent="0.25">
      <c r="A2004" s="86">
        <v>18348</v>
      </c>
      <c r="B2004" s="87" t="s">
        <v>24</v>
      </c>
      <c r="C2004" s="87" t="s">
        <v>3781</v>
      </c>
      <c r="D2004" s="87" t="s">
        <v>3870</v>
      </c>
      <c r="E2004" s="87" t="s">
        <v>3871</v>
      </c>
      <c r="F2004" s="87">
        <v>36.353672834699999</v>
      </c>
      <c r="G2004" s="87">
        <v>43.1623006807</v>
      </c>
      <c r="H2004" s="86">
        <v>269</v>
      </c>
      <c r="I2004" s="86">
        <v>1614</v>
      </c>
      <c r="J2004" s="87"/>
      <c r="K2004" s="87"/>
      <c r="L2004" s="87"/>
      <c r="M2004" s="87"/>
      <c r="N2004" s="87"/>
      <c r="O2004" s="87"/>
      <c r="P2004" s="87"/>
      <c r="Q2004" s="87"/>
      <c r="R2004" s="87"/>
      <c r="S2004" s="87"/>
      <c r="T2004" s="87"/>
      <c r="U2004" s="87"/>
      <c r="V2004" s="87">
        <v>269</v>
      </c>
      <c r="W2004" s="87"/>
      <c r="X2004" s="87"/>
      <c r="Y2004" s="87"/>
      <c r="Z2004" s="87"/>
      <c r="AA2004" s="87"/>
      <c r="AB2004" s="87"/>
      <c r="AC2004" s="87">
        <v>7</v>
      </c>
      <c r="AD2004" s="87"/>
      <c r="AE2004" s="87"/>
      <c r="AF2004" s="87"/>
      <c r="AG2004" s="87"/>
      <c r="AH2004" s="87">
        <v>262</v>
      </c>
      <c r="AI2004" s="87"/>
      <c r="AJ2004" s="87"/>
      <c r="AK2004" s="87"/>
      <c r="AL2004" s="87"/>
      <c r="AM2004" s="87"/>
      <c r="AN2004" s="87"/>
      <c r="AO2004" s="87"/>
      <c r="AP2004" s="87">
        <v>50</v>
      </c>
      <c r="AQ2004" s="87"/>
      <c r="AR2004" s="87"/>
      <c r="AS2004" s="87"/>
      <c r="AT2004" s="87">
        <v>219</v>
      </c>
      <c r="AU2004" s="87"/>
      <c r="AV2004" s="87"/>
      <c r="AW2004" s="88" t="str">
        <f>HYPERLINK("http://www.openstreetmap.org/?mlat=36.3537&amp;mlon=43.1623&amp;zoom=12#map=12/36.3537/43.1623","Maplink1")</f>
        <v>Maplink1</v>
      </c>
      <c r="AX2004" s="88" t="str">
        <f>HYPERLINK("https://www.google.iq/maps/search/+36.3537,43.1623/@36.3537,43.1623,14z?hl=en","Maplink2")</f>
        <v>Maplink2</v>
      </c>
      <c r="AY2004" s="88" t="str">
        <f>HYPERLINK("http://www.bing.com/maps/?lvl=14&amp;sty=h&amp;cp=36.3537~43.1623&amp;sp=point.36.3537_43.1623","Maplink3")</f>
        <v>Maplink3</v>
      </c>
      <c r="AZ2004" s="76"/>
    </row>
    <row r="2005" spans="1:52" x14ac:dyDescent="0.25">
      <c r="A2005" s="86">
        <v>18366</v>
      </c>
      <c r="B2005" s="87" t="s">
        <v>24</v>
      </c>
      <c r="C2005" s="87" t="s">
        <v>3781</v>
      </c>
      <c r="D2005" s="87" t="s">
        <v>3872</v>
      </c>
      <c r="E2005" s="87" t="s">
        <v>3873</v>
      </c>
      <c r="F2005" s="87">
        <v>36.397396751999999</v>
      </c>
      <c r="G2005" s="87">
        <v>43.191909403399997</v>
      </c>
      <c r="H2005" s="86">
        <v>192</v>
      </c>
      <c r="I2005" s="86">
        <v>1152</v>
      </c>
      <c r="J2005" s="87"/>
      <c r="K2005" s="87"/>
      <c r="L2005" s="87"/>
      <c r="M2005" s="87"/>
      <c r="N2005" s="87"/>
      <c r="O2005" s="87"/>
      <c r="P2005" s="87"/>
      <c r="Q2005" s="87"/>
      <c r="R2005" s="87"/>
      <c r="S2005" s="87"/>
      <c r="T2005" s="87"/>
      <c r="U2005" s="87"/>
      <c r="V2005" s="87">
        <v>192</v>
      </c>
      <c r="W2005" s="87"/>
      <c r="X2005" s="87"/>
      <c r="Y2005" s="87"/>
      <c r="Z2005" s="87"/>
      <c r="AA2005" s="87"/>
      <c r="AB2005" s="87"/>
      <c r="AC2005" s="87">
        <v>25</v>
      </c>
      <c r="AD2005" s="87"/>
      <c r="AE2005" s="87"/>
      <c r="AF2005" s="87"/>
      <c r="AG2005" s="87"/>
      <c r="AH2005" s="87">
        <v>167</v>
      </c>
      <c r="AI2005" s="87"/>
      <c r="AJ2005" s="87"/>
      <c r="AK2005" s="87"/>
      <c r="AL2005" s="87"/>
      <c r="AM2005" s="87"/>
      <c r="AN2005" s="87"/>
      <c r="AO2005" s="87"/>
      <c r="AP2005" s="87">
        <v>40</v>
      </c>
      <c r="AQ2005" s="87"/>
      <c r="AR2005" s="87"/>
      <c r="AS2005" s="87"/>
      <c r="AT2005" s="87">
        <v>152</v>
      </c>
      <c r="AU2005" s="87"/>
      <c r="AV2005" s="87"/>
      <c r="AW2005" s="88" t="str">
        <f>HYPERLINK("http://www.openstreetmap.org/?mlat=36.3974&amp;mlon=43.1919&amp;zoom=12#map=12/36.3974/43.1919","Maplink1")</f>
        <v>Maplink1</v>
      </c>
      <c r="AX2005" s="88" t="str">
        <f>HYPERLINK("https://www.google.iq/maps/search/+36.3974,43.1919/@36.3974,43.1919,14z?hl=en","Maplink2")</f>
        <v>Maplink2</v>
      </c>
      <c r="AY2005" s="88" t="str">
        <f>HYPERLINK("http://www.bing.com/maps/?lvl=14&amp;sty=h&amp;cp=36.3974~43.1919&amp;sp=point.36.3974_43.1919","Maplink3")</f>
        <v>Maplink3</v>
      </c>
      <c r="AZ2005" s="76"/>
    </row>
    <row r="2006" spans="1:52" x14ac:dyDescent="0.25">
      <c r="A2006" s="86">
        <v>17127</v>
      </c>
      <c r="B2006" s="87" t="s">
        <v>24</v>
      </c>
      <c r="C2006" s="87" t="s">
        <v>3781</v>
      </c>
      <c r="D2006" s="87" t="s">
        <v>3874</v>
      </c>
      <c r="E2006" s="87" t="s">
        <v>3875</v>
      </c>
      <c r="F2006" s="87">
        <v>35.801342928499999</v>
      </c>
      <c r="G2006" s="87">
        <v>43.294740562900003</v>
      </c>
      <c r="H2006" s="86">
        <v>160</v>
      </c>
      <c r="I2006" s="86">
        <v>960</v>
      </c>
      <c r="J2006" s="87"/>
      <c r="K2006" s="87"/>
      <c r="L2006" s="87"/>
      <c r="M2006" s="87"/>
      <c r="N2006" s="87"/>
      <c r="O2006" s="87"/>
      <c r="P2006" s="87"/>
      <c r="Q2006" s="87"/>
      <c r="R2006" s="87">
        <v>20</v>
      </c>
      <c r="S2006" s="87"/>
      <c r="T2006" s="87"/>
      <c r="U2006" s="87"/>
      <c r="V2006" s="87">
        <v>120</v>
      </c>
      <c r="W2006" s="87"/>
      <c r="X2006" s="87">
        <v>20</v>
      </c>
      <c r="Y2006" s="87"/>
      <c r="Z2006" s="87"/>
      <c r="AA2006" s="87"/>
      <c r="AB2006" s="87"/>
      <c r="AC2006" s="87"/>
      <c r="AD2006" s="87"/>
      <c r="AE2006" s="87"/>
      <c r="AF2006" s="87"/>
      <c r="AG2006" s="87"/>
      <c r="AH2006" s="87">
        <v>160</v>
      </c>
      <c r="AI2006" s="87"/>
      <c r="AJ2006" s="87"/>
      <c r="AK2006" s="87"/>
      <c r="AL2006" s="87"/>
      <c r="AM2006" s="87"/>
      <c r="AN2006" s="87"/>
      <c r="AO2006" s="87"/>
      <c r="AP2006" s="87"/>
      <c r="AQ2006" s="87"/>
      <c r="AR2006" s="87"/>
      <c r="AS2006" s="87">
        <v>90</v>
      </c>
      <c r="AT2006" s="87">
        <v>70</v>
      </c>
      <c r="AU2006" s="87"/>
      <c r="AV2006" s="87"/>
      <c r="AW2006" s="88" t="str">
        <f>HYPERLINK("http://www.openstreetmap.org/?mlat=35.8013&amp;mlon=43.2947&amp;zoom=12#map=12/35.8013/43.2947","Maplink1")</f>
        <v>Maplink1</v>
      </c>
      <c r="AX2006" s="88" t="str">
        <f>HYPERLINK("https://www.google.iq/maps/search/+35.8013,43.2947/@35.8013,43.2947,14z?hl=en","Maplink2")</f>
        <v>Maplink2</v>
      </c>
      <c r="AY2006" s="88" t="str">
        <f>HYPERLINK("http://www.bing.com/maps/?lvl=14&amp;sty=h&amp;cp=35.8013~43.2947&amp;sp=point.35.8013_43.2947","Maplink3")</f>
        <v>Maplink3</v>
      </c>
      <c r="AZ2006" s="76"/>
    </row>
    <row r="2007" spans="1:52" x14ac:dyDescent="0.25">
      <c r="A2007" s="86">
        <v>23875</v>
      </c>
      <c r="B2007" s="87" t="s">
        <v>24</v>
      </c>
      <c r="C2007" s="87" t="s">
        <v>3781</v>
      </c>
      <c r="D2007" s="87" t="s">
        <v>3876</v>
      </c>
      <c r="E2007" s="87" t="s">
        <v>3877</v>
      </c>
      <c r="F2007" s="87">
        <v>36.348995620799997</v>
      </c>
      <c r="G2007" s="87">
        <v>43.225553476800002</v>
      </c>
      <c r="H2007" s="86">
        <v>597</v>
      </c>
      <c r="I2007" s="86">
        <v>3582</v>
      </c>
      <c r="J2007" s="87"/>
      <c r="K2007" s="87"/>
      <c r="L2007" s="87"/>
      <c r="M2007" s="87"/>
      <c r="N2007" s="87"/>
      <c r="O2007" s="87"/>
      <c r="P2007" s="87">
        <v>67</v>
      </c>
      <c r="Q2007" s="87"/>
      <c r="R2007" s="87"/>
      <c r="S2007" s="87"/>
      <c r="T2007" s="87"/>
      <c r="U2007" s="87"/>
      <c r="V2007" s="87">
        <v>530</v>
      </c>
      <c r="W2007" s="87"/>
      <c r="X2007" s="87"/>
      <c r="Y2007" s="87"/>
      <c r="Z2007" s="87"/>
      <c r="AA2007" s="87"/>
      <c r="AB2007" s="87"/>
      <c r="AC2007" s="87">
        <v>15</v>
      </c>
      <c r="AD2007" s="87"/>
      <c r="AE2007" s="87"/>
      <c r="AF2007" s="87"/>
      <c r="AG2007" s="87"/>
      <c r="AH2007" s="87">
        <v>561</v>
      </c>
      <c r="AI2007" s="87"/>
      <c r="AJ2007" s="87">
        <v>1</v>
      </c>
      <c r="AK2007" s="87">
        <v>20</v>
      </c>
      <c r="AL2007" s="87"/>
      <c r="AM2007" s="87"/>
      <c r="AN2007" s="87"/>
      <c r="AO2007" s="87"/>
      <c r="AP2007" s="87">
        <v>71</v>
      </c>
      <c r="AQ2007" s="87"/>
      <c r="AR2007" s="87"/>
      <c r="AS2007" s="87">
        <v>67</v>
      </c>
      <c r="AT2007" s="87">
        <v>459</v>
      </c>
      <c r="AU2007" s="87"/>
      <c r="AV2007" s="87"/>
      <c r="AW2007" s="88" t="str">
        <f>HYPERLINK("http://www.openstreetmap.org/?mlat=36.349&amp;mlon=43.2256&amp;zoom=12#map=12/36.349/43.2256","Maplink1")</f>
        <v>Maplink1</v>
      </c>
      <c r="AX2007" s="88" t="str">
        <f>HYPERLINK("https://www.google.iq/maps/search/+36.349,43.2256/@36.349,43.2256,14z?hl=en","Maplink2")</f>
        <v>Maplink2</v>
      </c>
      <c r="AY2007" s="88" t="str">
        <f>HYPERLINK("http://www.bing.com/maps/?lvl=14&amp;sty=h&amp;cp=36.349~43.2256&amp;sp=point.36.349_43.2256","Maplink3")</f>
        <v>Maplink3</v>
      </c>
      <c r="AZ2007" s="76"/>
    </row>
    <row r="2008" spans="1:52" x14ac:dyDescent="0.25">
      <c r="A2008" s="86">
        <v>33248</v>
      </c>
      <c r="B2008" s="87" t="s">
        <v>24</v>
      </c>
      <c r="C2008" s="87" t="s">
        <v>3781</v>
      </c>
      <c r="D2008" s="87" t="s">
        <v>3878</v>
      </c>
      <c r="E2008" s="87" t="s">
        <v>1566</v>
      </c>
      <c r="F2008" s="87">
        <v>36.360072300900001</v>
      </c>
      <c r="G2008" s="87">
        <v>43.094591270400002</v>
      </c>
      <c r="H2008" s="86">
        <v>51</v>
      </c>
      <c r="I2008" s="86">
        <v>306</v>
      </c>
      <c r="J2008" s="87"/>
      <c r="K2008" s="87"/>
      <c r="L2008" s="87"/>
      <c r="M2008" s="87"/>
      <c r="N2008" s="87"/>
      <c r="O2008" s="87"/>
      <c r="P2008" s="87"/>
      <c r="Q2008" s="87"/>
      <c r="R2008" s="87"/>
      <c r="S2008" s="87"/>
      <c r="T2008" s="87"/>
      <c r="U2008" s="87"/>
      <c r="V2008" s="87">
        <v>51</v>
      </c>
      <c r="W2008" s="87"/>
      <c r="X2008" s="87"/>
      <c r="Y2008" s="87"/>
      <c r="Z2008" s="87"/>
      <c r="AA2008" s="87"/>
      <c r="AB2008" s="87"/>
      <c r="AC2008" s="87"/>
      <c r="AD2008" s="87"/>
      <c r="AE2008" s="87"/>
      <c r="AF2008" s="87"/>
      <c r="AG2008" s="87"/>
      <c r="AH2008" s="87">
        <v>51</v>
      </c>
      <c r="AI2008" s="87"/>
      <c r="AJ2008" s="87"/>
      <c r="AK2008" s="87"/>
      <c r="AL2008" s="87"/>
      <c r="AM2008" s="87"/>
      <c r="AN2008" s="87"/>
      <c r="AO2008" s="87"/>
      <c r="AP2008" s="87"/>
      <c r="AQ2008" s="87"/>
      <c r="AR2008" s="87"/>
      <c r="AS2008" s="87"/>
      <c r="AT2008" s="87">
        <v>51</v>
      </c>
      <c r="AU2008" s="87"/>
      <c r="AV2008" s="87"/>
      <c r="AW2008" s="88" t="str">
        <f>HYPERLINK("http://www.openstreetmap.org/?mlat=36.3601&amp;mlon=43.0946&amp;zoom=12#map=12/36.3601/43.0946","Maplink1")</f>
        <v>Maplink1</v>
      </c>
      <c r="AX2008" s="88" t="str">
        <f>HYPERLINK("https://www.google.iq/maps/search/+36.3601,43.0946/@36.3601,43.0946,14z?hl=en","Maplink2")</f>
        <v>Maplink2</v>
      </c>
      <c r="AY2008" s="88" t="str">
        <f>HYPERLINK("http://www.bing.com/maps/?lvl=14&amp;sty=h&amp;cp=36.3601~43.0946&amp;sp=point.36.3601_43.0946","Maplink3")</f>
        <v>Maplink3</v>
      </c>
      <c r="AZ2008" s="76"/>
    </row>
    <row r="2009" spans="1:52" x14ac:dyDescent="0.25">
      <c r="A2009" s="86">
        <v>31921</v>
      </c>
      <c r="B2009" s="87" t="s">
        <v>24</v>
      </c>
      <c r="C2009" s="87" t="s">
        <v>3781</v>
      </c>
      <c r="D2009" s="87" t="s">
        <v>3879</v>
      </c>
      <c r="E2009" s="87" t="s">
        <v>3880</v>
      </c>
      <c r="F2009" s="87">
        <v>36.377004444800001</v>
      </c>
      <c r="G2009" s="87">
        <v>43.168104316600001</v>
      </c>
      <c r="H2009" s="86">
        <v>19</v>
      </c>
      <c r="I2009" s="86">
        <v>114</v>
      </c>
      <c r="J2009" s="87"/>
      <c r="K2009" s="87"/>
      <c r="L2009" s="87"/>
      <c r="M2009" s="87"/>
      <c r="N2009" s="87"/>
      <c r="O2009" s="87"/>
      <c r="P2009" s="87"/>
      <c r="Q2009" s="87"/>
      <c r="R2009" s="87"/>
      <c r="S2009" s="87"/>
      <c r="T2009" s="87"/>
      <c r="U2009" s="87"/>
      <c r="V2009" s="87">
        <v>19</v>
      </c>
      <c r="W2009" s="87"/>
      <c r="X2009" s="87"/>
      <c r="Y2009" s="87"/>
      <c r="Z2009" s="87"/>
      <c r="AA2009" s="87"/>
      <c r="AB2009" s="87"/>
      <c r="AC2009" s="87"/>
      <c r="AD2009" s="87"/>
      <c r="AE2009" s="87"/>
      <c r="AF2009" s="87"/>
      <c r="AG2009" s="87"/>
      <c r="AH2009" s="87">
        <v>7</v>
      </c>
      <c r="AI2009" s="87">
        <v>3</v>
      </c>
      <c r="AJ2009" s="87">
        <v>9</v>
      </c>
      <c r="AK2009" s="87"/>
      <c r="AL2009" s="87"/>
      <c r="AM2009" s="87"/>
      <c r="AN2009" s="87"/>
      <c r="AO2009" s="87"/>
      <c r="AP2009" s="87">
        <v>4</v>
      </c>
      <c r="AQ2009" s="87"/>
      <c r="AR2009" s="87"/>
      <c r="AS2009" s="87"/>
      <c r="AT2009" s="87">
        <v>15</v>
      </c>
      <c r="AU2009" s="87"/>
      <c r="AV2009" s="87"/>
      <c r="AW2009" s="88" t="str">
        <f>HYPERLINK("http://www.openstreetmap.org/?mlat=36.377&amp;mlon=43.1681&amp;zoom=12#map=12/36.377/43.1681","Maplink1")</f>
        <v>Maplink1</v>
      </c>
      <c r="AX2009" s="88" t="str">
        <f>HYPERLINK("https://www.google.iq/maps/search/+36.377,43.1681/@36.377,43.1681,14z?hl=en","Maplink2")</f>
        <v>Maplink2</v>
      </c>
      <c r="AY2009" s="88" t="str">
        <f>HYPERLINK("http://www.bing.com/maps/?lvl=14&amp;sty=h&amp;cp=36.377~43.1681&amp;sp=point.36.377_43.1681","Maplink3")</f>
        <v>Maplink3</v>
      </c>
      <c r="AZ2009" s="76"/>
    </row>
    <row r="2010" spans="1:52" x14ac:dyDescent="0.25">
      <c r="A2010" s="86">
        <v>18322</v>
      </c>
      <c r="B2010" s="87" t="s">
        <v>24</v>
      </c>
      <c r="C2010" s="87" t="s">
        <v>3781</v>
      </c>
      <c r="D2010" s="87" t="s">
        <v>3881</v>
      </c>
      <c r="E2010" s="87" t="s">
        <v>166</v>
      </c>
      <c r="F2010" s="87">
        <v>36.301973262300002</v>
      </c>
      <c r="G2010" s="87">
        <v>43.208897079099998</v>
      </c>
      <c r="H2010" s="86">
        <v>152</v>
      </c>
      <c r="I2010" s="86">
        <v>912</v>
      </c>
      <c r="J2010" s="87"/>
      <c r="K2010" s="87"/>
      <c r="L2010" s="87"/>
      <c r="M2010" s="87"/>
      <c r="N2010" s="87"/>
      <c r="O2010" s="87"/>
      <c r="P2010" s="87"/>
      <c r="Q2010" s="87"/>
      <c r="R2010" s="87"/>
      <c r="S2010" s="87"/>
      <c r="T2010" s="87"/>
      <c r="U2010" s="87"/>
      <c r="V2010" s="87">
        <v>152</v>
      </c>
      <c r="W2010" s="87"/>
      <c r="X2010" s="87"/>
      <c r="Y2010" s="87"/>
      <c r="Z2010" s="87"/>
      <c r="AA2010" s="87"/>
      <c r="AB2010" s="87"/>
      <c r="AC2010" s="87">
        <v>4</v>
      </c>
      <c r="AD2010" s="87"/>
      <c r="AE2010" s="87"/>
      <c r="AF2010" s="87"/>
      <c r="AG2010" s="87"/>
      <c r="AH2010" s="87">
        <v>143</v>
      </c>
      <c r="AI2010" s="87"/>
      <c r="AJ2010" s="87"/>
      <c r="AK2010" s="87">
        <v>5</v>
      </c>
      <c r="AL2010" s="87"/>
      <c r="AM2010" s="87"/>
      <c r="AN2010" s="87"/>
      <c r="AO2010" s="87"/>
      <c r="AP2010" s="87">
        <v>75</v>
      </c>
      <c r="AQ2010" s="87"/>
      <c r="AR2010" s="87"/>
      <c r="AS2010" s="87"/>
      <c r="AT2010" s="87">
        <v>77</v>
      </c>
      <c r="AU2010" s="87"/>
      <c r="AV2010" s="87"/>
      <c r="AW2010" s="88" t="str">
        <f>HYPERLINK("http://www.openstreetmap.org/?mlat=36.302&amp;mlon=43.2089&amp;zoom=12#map=12/36.302/43.2089","Maplink1")</f>
        <v>Maplink1</v>
      </c>
      <c r="AX2010" s="88" t="str">
        <f>HYPERLINK("https://www.google.iq/maps/search/+36.302,43.2089/@36.302,43.2089,14z?hl=en","Maplink2")</f>
        <v>Maplink2</v>
      </c>
      <c r="AY2010" s="88" t="str">
        <f>HYPERLINK("http://www.bing.com/maps/?lvl=14&amp;sty=h&amp;cp=36.302~43.2089&amp;sp=point.36.302_43.2089","Maplink3")</f>
        <v>Maplink3</v>
      </c>
      <c r="AZ2010" s="76"/>
    </row>
    <row r="2011" spans="1:52" x14ac:dyDescent="0.25">
      <c r="A2011" s="86">
        <v>33203</v>
      </c>
      <c r="B2011" s="87" t="s">
        <v>24</v>
      </c>
      <c r="C2011" s="87" t="s">
        <v>3781</v>
      </c>
      <c r="D2011" s="87" t="s">
        <v>3882</v>
      </c>
      <c r="E2011" s="87" t="s">
        <v>3883</v>
      </c>
      <c r="F2011" s="87">
        <v>36.411218863199998</v>
      </c>
      <c r="G2011" s="87">
        <v>42.936492925400003</v>
      </c>
      <c r="H2011" s="86">
        <v>4</v>
      </c>
      <c r="I2011" s="86">
        <v>24</v>
      </c>
      <c r="J2011" s="87"/>
      <c r="K2011" s="87"/>
      <c r="L2011" s="87"/>
      <c r="M2011" s="87"/>
      <c r="N2011" s="87"/>
      <c r="O2011" s="87"/>
      <c r="P2011" s="87"/>
      <c r="Q2011" s="87"/>
      <c r="R2011" s="87"/>
      <c r="S2011" s="87"/>
      <c r="T2011" s="87"/>
      <c r="U2011" s="87"/>
      <c r="V2011" s="87">
        <v>4</v>
      </c>
      <c r="W2011" s="87"/>
      <c r="X2011" s="87"/>
      <c r="Y2011" s="87"/>
      <c r="Z2011" s="87"/>
      <c r="AA2011" s="87"/>
      <c r="AB2011" s="87"/>
      <c r="AC2011" s="87"/>
      <c r="AD2011" s="87"/>
      <c r="AE2011" s="87"/>
      <c r="AF2011" s="87"/>
      <c r="AG2011" s="87"/>
      <c r="AH2011" s="87">
        <v>4</v>
      </c>
      <c r="AI2011" s="87"/>
      <c r="AJ2011" s="87"/>
      <c r="AK2011" s="87"/>
      <c r="AL2011" s="87"/>
      <c r="AM2011" s="87"/>
      <c r="AN2011" s="87"/>
      <c r="AO2011" s="87"/>
      <c r="AP2011" s="87"/>
      <c r="AQ2011" s="87"/>
      <c r="AR2011" s="87">
        <v>4</v>
      </c>
      <c r="AS2011" s="87"/>
      <c r="AT2011" s="87"/>
      <c r="AU2011" s="87"/>
      <c r="AV2011" s="87"/>
      <c r="AW2011" s="88" t="str">
        <f>HYPERLINK("http://www.openstreetmap.org/?mlat=36.4112&amp;mlon=42.9365&amp;zoom=12#map=12/36.4112/42.9365","Maplink1")</f>
        <v>Maplink1</v>
      </c>
      <c r="AX2011" s="88" t="str">
        <f>HYPERLINK("https://www.google.iq/maps/search/+36.4112,42.9365/@36.4112,42.9365,14z?hl=en","Maplink2")</f>
        <v>Maplink2</v>
      </c>
      <c r="AY2011" s="88" t="str">
        <f>HYPERLINK("http://www.bing.com/maps/?lvl=14&amp;sty=h&amp;cp=36.4112~42.9365&amp;sp=point.36.4112_42.9365","Maplink3")</f>
        <v>Maplink3</v>
      </c>
      <c r="AZ2011" s="76"/>
    </row>
    <row r="2012" spans="1:52" x14ac:dyDescent="0.25">
      <c r="A2012" s="86">
        <v>33376</v>
      </c>
      <c r="B2012" s="87" t="s">
        <v>24</v>
      </c>
      <c r="C2012" s="87" t="s">
        <v>3781</v>
      </c>
      <c r="D2012" s="87" t="s">
        <v>3884</v>
      </c>
      <c r="E2012" s="87" t="s">
        <v>118</v>
      </c>
      <c r="F2012" s="87">
        <v>36.375080492999999</v>
      </c>
      <c r="G2012" s="87">
        <v>43.135761890799998</v>
      </c>
      <c r="H2012" s="86">
        <v>14</v>
      </c>
      <c r="I2012" s="86">
        <v>84</v>
      </c>
      <c r="J2012" s="87"/>
      <c r="K2012" s="87"/>
      <c r="L2012" s="87"/>
      <c r="M2012" s="87"/>
      <c r="N2012" s="87"/>
      <c r="O2012" s="87"/>
      <c r="P2012" s="87"/>
      <c r="Q2012" s="87"/>
      <c r="R2012" s="87"/>
      <c r="S2012" s="87"/>
      <c r="T2012" s="87"/>
      <c r="U2012" s="87"/>
      <c r="V2012" s="87">
        <v>14</v>
      </c>
      <c r="W2012" s="87"/>
      <c r="X2012" s="87"/>
      <c r="Y2012" s="87"/>
      <c r="Z2012" s="87"/>
      <c r="AA2012" s="87"/>
      <c r="AB2012" s="87"/>
      <c r="AC2012" s="87"/>
      <c r="AD2012" s="87">
        <v>3</v>
      </c>
      <c r="AE2012" s="87"/>
      <c r="AF2012" s="87"/>
      <c r="AG2012" s="87"/>
      <c r="AH2012" s="87">
        <v>10</v>
      </c>
      <c r="AI2012" s="87"/>
      <c r="AJ2012" s="87">
        <v>1</v>
      </c>
      <c r="AK2012" s="87"/>
      <c r="AL2012" s="87"/>
      <c r="AM2012" s="87"/>
      <c r="AN2012" s="87"/>
      <c r="AO2012" s="87"/>
      <c r="AP2012" s="87">
        <v>1</v>
      </c>
      <c r="AQ2012" s="87"/>
      <c r="AR2012" s="87"/>
      <c r="AS2012" s="87"/>
      <c r="AT2012" s="87">
        <v>13</v>
      </c>
      <c r="AU2012" s="87"/>
      <c r="AV2012" s="87"/>
      <c r="AW2012" s="88" t="str">
        <f>HYPERLINK("http://www.openstreetmap.org/?mlat=36.3751&amp;mlon=43.1358&amp;zoom=12#map=12/36.3751/43.1358","Maplink1")</f>
        <v>Maplink1</v>
      </c>
      <c r="AX2012" s="88" t="str">
        <f>HYPERLINK("https://www.google.iq/maps/search/+36.3751,43.1358/@36.3751,43.1358,14z?hl=en","Maplink2")</f>
        <v>Maplink2</v>
      </c>
      <c r="AY2012" s="88" t="str">
        <f>HYPERLINK("http://www.bing.com/maps/?lvl=14&amp;sty=h&amp;cp=36.3751~43.1358&amp;sp=point.36.3751_43.1358","Maplink3")</f>
        <v>Maplink3</v>
      </c>
      <c r="AZ2012" s="76"/>
    </row>
    <row r="2013" spans="1:52" x14ac:dyDescent="0.25">
      <c r="A2013" s="86">
        <v>21335</v>
      </c>
      <c r="B2013" s="87" t="s">
        <v>24</v>
      </c>
      <c r="C2013" s="87" t="s">
        <v>3781</v>
      </c>
      <c r="D2013" s="87" t="s">
        <v>3885</v>
      </c>
      <c r="E2013" s="87" t="s">
        <v>3886</v>
      </c>
      <c r="F2013" s="87">
        <v>36.348278803600003</v>
      </c>
      <c r="G2013" s="87">
        <v>43.102240014099998</v>
      </c>
      <c r="H2013" s="86">
        <v>46</v>
      </c>
      <c r="I2013" s="86">
        <v>276</v>
      </c>
      <c r="J2013" s="87"/>
      <c r="K2013" s="87"/>
      <c r="L2013" s="87"/>
      <c r="M2013" s="87"/>
      <c r="N2013" s="87"/>
      <c r="O2013" s="87"/>
      <c r="P2013" s="87"/>
      <c r="Q2013" s="87"/>
      <c r="R2013" s="87"/>
      <c r="S2013" s="87"/>
      <c r="T2013" s="87"/>
      <c r="U2013" s="87"/>
      <c r="V2013" s="87">
        <v>46</v>
      </c>
      <c r="W2013" s="87"/>
      <c r="X2013" s="87"/>
      <c r="Y2013" s="87"/>
      <c r="Z2013" s="87"/>
      <c r="AA2013" s="87"/>
      <c r="AB2013" s="87"/>
      <c r="AC2013" s="87"/>
      <c r="AD2013" s="87"/>
      <c r="AE2013" s="87"/>
      <c r="AF2013" s="87"/>
      <c r="AG2013" s="87"/>
      <c r="AH2013" s="87">
        <v>25</v>
      </c>
      <c r="AI2013" s="87">
        <v>21</v>
      </c>
      <c r="AJ2013" s="87"/>
      <c r="AK2013" s="87"/>
      <c r="AL2013" s="87"/>
      <c r="AM2013" s="87"/>
      <c r="AN2013" s="87"/>
      <c r="AO2013" s="87"/>
      <c r="AP2013" s="87"/>
      <c r="AQ2013" s="87"/>
      <c r="AR2013" s="87">
        <v>46</v>
      </c>
      <c r="AS2013" s="87"/>
      <c r="AT2013" s="87"/>
      <c r="AU2013" s="87"/>
      <c r="AV2013" s="87"/>
      <c r="AW2013" s="88" t="str">
        <f>HYPERLINK("http://www.openstreetmap.org/?mlat=36.3483&amp;mlon=43.1022&amp;zoom=12#map=12/36.3483/43.1022","Maplink1")</f>
        <v>Maplink1</v>
      </c>
      <c r="AX2013" s="88" t="str">
        <f>HYPERLINK("https://www.google.iq/maps/search/+36.3483,43.1022/@36.3483,43.1022,14z?hl=en","Maplink2")</f>
        <v>Maplink2</v>
      </c>
      <c r="AY2013" s="88" t="str">
        <f>HYPERLINK("http://www.bing.com/maps/?lvl=14&amp;sty=h&amp;cp=36.3483~43.1022&amp;sp=point.36.3483_43.1022","Maplink3")</f>
        <v>Maplink3</v>
      </c>
      <c r="AZ2013" s="76"/>
    </row>
    <row r="2014" spans="1:52" x14ac:dyDescent="0.25">
      <c r="A2014" s="86">
        <v>33252</v>
      </c>
      <c r="B2014" s="87" t="s">
        <v>24</v>
      </c>
      <c r="C2014" s="87" t="s">
        <v>3781</v>
      </c>
      <c r="D2014" s="87" t="s">
        <v>3887</v>
      </c>
      <c r="E2014" s="87" t="s">
        <v>3888</v>
      </c>
      <c r="F2014" s="87">
        <v>36.337328989</v>
      </c>
      <c r="G2014" s="87">
        <v>43.106151087299999</v>
      </c>
      <c r="H2014" s="86">
        <v>25</v>
      </c>
      <c r="I2014" s="86">
        <v>150</v>
      </c>
      <c r="J2014" s="87"/>
      <c r="K2014" s="87"/>
      <c r="L2014" s="87"/>
      <c r="M2014" s="87"/>
      <c r="N2014" s="87"/>
      <c r="O2014" s="87"/>
      <c r="P2014" s="87"/>
      <c r="Q2014" s="87"/>
      <c r="R2014" s="87"/>
      <c r="S2014" s="87"/>
      <c r="T2014" s="87"/>
      <c r="U2014" s="87"/>
      <c r="V2014" s="87">
        <v>25</v>
      </c>
      <c r="W2014" s="87"/>
      <c r="X2014" s="87"/>
      <c r="Y2014" s="87"/>
      <c r="Z2014" s="87"/>
      <c r="AA2014" s="87"/>
      <c r="AB2014" s="87"/>
      <c r="AC2014" s="87"/>
      <c r="AD2014" s="87"/>
      <c r="AE2014" s="87"/>
      <c r="AF2014" s="87"/>
      <c r="AG2014" s="87"/>
      <c r="AH2014" s="87">
        <v>15</v>
      </c>
      <c r="AI2014" s="87">
        <v>10</v>
      </c>
      <c r="AJ2014" s="87"/>
      <c r="AK2014" s="87"/>
      <c r="AL2014" s="87"/>
      <c r="AM2014" s="87"/>
      <c r="AN2014" s="87"/>
      <c r="AO2014" s="87"/>
      <c r="AP2014" s="87"/>
      <c r="AQ2014" s="87"/>
      <c r="AR2014" s="87">
        <v>5</v>
      </c>
      <c r="AS2014" s="87"/>
      <c r="AT2014" s="87">
        <v>20</v>
      </c>
      <c r="AU2014" s="87"/>
      <c r="AV2014" s="87"/>
      <c r="AW2014" s="88" t="str">
        <f>HYPERLINK("http://www.openstreetmap.org/?mlat=36.3373&amp;mlon=43.1062&amp;zoom=12#map=12/36.3373/43.1062","Maplink1")</f>
        <v>Maplink1</v>
      </c>
      <c r="AX2014" s="88" t="str">
        <f>HYPERLINK("https://www.google.iq/maps/search/+36.3373,43.1062/@36.3373,43.1062,14z?hl=en","Maplink2")</f>
        <v>Maplink2</v>
      </c>
      <c r="AY2014" s="88" t="str">
        <f>HYPERLINK("http://www.bing.com/maps/?lvl=14&amp;sty=h&amp;cp=36.3373~43.1062&amp;sp=point.36.3373_43.1062","Maplink3")</f>
        <v>Maplink3</v>
      </c>
      <c r="AZ2014" s="76"/>
    </row>
    <row r="2015" spans="1:52" x14ac:dyDescent="0.25">
      <c r="A2015" s="86">
        <v>33244</v>
      </c>
      <c r="B2015" s="87" t="s">
        <v>24</v>
      </c>
      <c r="C2015" s="87" t="s">
        <v>3781</v>
      </c>
      <c r="D2015" s="87" t="s">
        <v>3889</v>
      </c>
      <c r="E2015" s="87" t="s">
        <v>2373</v>
      </c>
      <c r="F2015" s="87">
        <v>36.313855564500003</v>
      </c>
      <c r="G2015" s="87">
        <v>43.113403177000002</v>
      </c>
      <c r="H2015" s="86">
        <v>30</v>
      </c>
      <c r="I2015" s="86">
        <v>180</v>
      </c>
      <c r="J2015" s="87"/>
      <c r="K2015" s="87"/>
      <c r="L2015" s="87"/>
      <c r="M2015" s="87"/>
      <c r="N2015" s="87"/>
      <c r="O2015" s="87"/>
      <c r="P2015" s="87"/>
      <c r="Q2015" s="87"/>
      <c r="R2015" s="87"/>
      <c r="S2015" s="87"/>
      <c r="T2015" s="87"/>
      <c r="U2015" s="87"/>
      <c r="V2015" s="87">
        <v>30</v>
      </c>
      <c r="W2015" s="87"/>
      <c r="X2015" s="87"/>
      <c r="Y2015" s="87"/>
      <c r="Z2015" s="87"/>
      <c r="AA2015" s="87"/>
      <c r="AB2015" s="87"/>
      <c r="AC2015" s="87"/>
      <c r="AD2015" s="87"/>
      <c r="AE2015" s="87"/>
      <c r="AF2015" s="87"/>
      <c r="AG2015" s="87"/>
      <c r="AH2015" s="87">
        <v>25</v>
      </c>
      <c r="AI2015" s="87">
        <v>5</v>
      </c>
      <c r="AJ2015" s="87"/>
      <c r="AK2015" s="87"/>
      <c r="AL2015" s="87"/>
      <c r="AM2015" s="87"/>
      <c r="AN2015" s="87"/>
      <c r="AO2015" s="87"/>
      <c r="AP2015" s="87"/>
      <c r="AQ2015" s="87"/>
      <c r="AR2015" s="87"/>
      <c r="AS2015" s="87"/>
      <c r="AT2015" s="87">
        <v>30</v>
      </c>
      <c r="AU2015" s="87"/>
      <c r="AV2015" s="87"/>
      <c r="AW2015" s="88" t="str">
        <f>HYPERLINK("http://www.openstreetmap.org/?mlat=36.3139&amp;mlon=43.1134&amp;zoom=12#map=12/36.3139/43.1134","Maplink1")</f>
        <v>Maplink1</v>
      </c>
      <c r="AX2015" s="88" t="str">
        <f>HYPERLINK("https://www.google.iq/maps/search/+36.3139,43.1134/@36.3139,43.1134,14z?hl=en","Maplink2")</f>
        <v>Maplink2</v>
      </c>
      <c r="AY2015" s="88" t="str">
        <f>HYPERLINK("http://www.bing.com/maps/?lvl=14&amp;sty=h&amp;cp=36.3139~43.1134&amp;sp=point.36.3139_43.1134","Maplink3")</f>
        <v>Maplink3</v>
      </c>
      <c r="AZ2015" s="76"/>
    </row>
    <row r="2016" spans="1:52" x14ac:dyDescent="0.25">
      <c r="A2016" s="86">
        <v>18357</v>
      </c>
      <c r="B2016" s="87" t="s">
        <v>24</v>
      </c>
      <c r="C2016" s="87" t="s">
        <v>3781</v>
      </c>
      <c r="D2016" s="87" t="s">
        <v>3890</v>
      </c>
      <c r="E2016" s="87" t="s">
        <v>3891</v>
      </c>
      <c r="F2016" s="87">
        <v>36.389961654399997</v>
      </c>
      <c r="G2016" s="87">
        <v>43.169555641800002</v>
      </c>
      <c r="H2016" s="86">
        <v>99</v>
      </c>
      <c r="I2016" s="86">
        <v>594</v>
      </c>
      <c r="J2016" s="87"/>
      <c r="K2016" s="87"/>
      <c r="L2016" s="87"/>
      <c r="M2016" s="87"/>
      <c r="N2016" s="87"/>
      <c r="O2016" s="87"/>
      <c r="P2016" s="87"/>
      <c r="Q2016" s="87"/>
      <c r="R2016" s="87"/>
      <c r="S2016" s="87"/>
      <c r="T2016" s="87"/>
      <c r="U2016" s="87"/>
      <c r="V2016" s="87">
        <v>99</v>
      </c>
      <c r="W2016" s="87"/>
      <c r="X2016" s="87"/>
      <c r="Y2016" s="87"/>
      <c r="Z2016" s="87"/>
      <c r="AA2016" s="87"/>
      <c r="AB2016" s="87"/>
      <c r="AC2016" s="87"/>
      <c r="AD2016" s="87"/>
      <c r="AE2016" s="87"/>
      <c r="AF2016" s="87"/>
      <c r="AG2016" s="87"/>
      <c r="AH2016" s="87">
        <v>79</v>
      </c>
      <c r="AI2016" s="87"/>
      <c r="AJ2016" s="87"/>
      <c r="AK2016" s="87">
        <v>20</v>
      </c>
      <c r="AL2016" s="87"/>
      <c r="AM2016" s="87"/>
      <c r="AN2016" s="87"/>
      <c r="AO2016" s="87"/>
      <c r="AP2016" s="87">
        <v>30</v>
      </c>
      <c r="AQ2016" s="87"/>
      <c r="AR2016" s="87"/>
      <c r="AS2016" s="87"/>
      <c r="AT2016" s="87">
        <v>69</v>
      </c>
      <c r="AU2016" s="87"/>
      <c r="AV2016" s="87"/>
      <c r="AW2016" s="88" t="str">
        <f>HYPERLINK("http://www.openstreetmap.org/?mlat=36.39&amp;mlon=43.1696&amp;zoom=12#map=12/36.39/43.1696","Maplink1")</f>
        <v>Maplink1</v>
      </c>
      <c r="AX2016" s="88" t="str">
        <f>HYPERLINK("https://www.google.iq/maps/search/+36.39,43.1696/@36.39,43.1696,14z?hl=en","Maplink2")</f>
        <v>Maplink2</v>
      </c>
      <c r="AY2016" s="88" t="str">
        <f>HYPERLINK("http://www.bing.com/maps/?lvl=14&amp;sty=h&amp;cp=36.39~43.1696&amp;sp=point.36.39_43.1696","Maplink3")</f>
        <v>Maplink3</v>
      </c>
      <c r="AZ2016" s="76"/>
    </row>
    <row r="2017" spans="1:52" x14ac:dyDescent="0.25">
      <c r="A2017" s="86">
        <v>18397</v>
      </c>
      <c r="B2017" s="87" t="s">
        <v>24</v>
      </c>
      <c r="C2017" s="87" t="s">
        <v>3781</v>
      </c>
      <c r="D2017" s="87" t="s">
        <v>3892</v>
      </c>
      <c r="E2017" s="87" t="s">
        <v>3893</v>
      </c>
      <c r="F2017" s="87">
        <v>36.358557124299999</v>
      </c>
      <c r="G2017" s="87">
        <v>43.162039116199999</v>
      </c>
      <c r="H2017" s="86">
        <v>54</v>
      </c>
      <c r="I2017" s="86">
        <v>324</v>
      </c>
      <c r="J2017" s="87"/>
      <c r="K2017" s="87"/>
      <c r="L2017" s="87"/>
      <c r="M2017" s="87"/>
      <c r="N2017" s="87"/>
      <c r="O2017" s="87"/>
      <c r="P2017" s="87"/>
      <c r="Q2017" s="87"/>
      <c r="R2017" s="87"/>
      <c r="S2017" s="87"/>
      <c r="T2017" s="87"/>
      <c r="U2017" s="87"/>
      <c r="V2017" s="87">
        <v>54</v>
      </c>
      <c r="W2017" s="87"/>
      <c r="X2017" s="87"/>
      <c r="Y2017" s="87"/>
      <c r="Z2017" s="87"/>
      <c r="AA2017" s="87"/>
      <c r="AB2017" s="87"/>
      <c r="AC2017" s="87"/>
      <c r="AD2017" s="87"/>
      <c r="AE2017" s="87"/>
      <c r="AF2017" s="87"/>
      <c r="AG2017" s="87"/>
      <c r="AH2017" s="87">
        <v>54</v>
      </c>
      <c r="AI2017" s="87"/>
      <c r="AJ2017" s="87"/>
      <c r="AK2017" s="87"/>
      <c r="AL2017" s="87"/>
      <c r="AM2017" s="87"/>
      <c r="AN2017" s="87"/>
      <c r="AO2017" s="87"/>
      <c r="AP2017" s="87">
        <v>8</v>
      </c>
      <c r="AQ2017" s="87"/>
      <c r="AR2017" s="87"/>
      <c r="AS2017" s="87"/>
      <c r="AT2017" s="87">
        <v>46</v>
      </c>
      <c r="AU2017" s="87"/>
      <c r="AV2017" s="87"/>
      <c r="AW2017" s="88" t="str">
        <f>HYPERLINK("http://www.openstreetmap.org/?mlat=36.3586&amp;mlon=43.162&amp;zoom=12#map=12/36.3586/43.162","Maplink1")</f>
        <v>Maplink1</v>
      </c>
      <c r="AX2017" s="88" t="str">
        <f>HYPERLINK("https://www.google.iq/maps/search/+36.3586,43.162/@36.3586,43.162,14z?hl=en","Maplink2")</f>
        <v>Maplink2</v>
      </c>
      <c r="AY2017" s="88" t="str">
        <f>HYPERLINK("http://www.bing.com/maps/?lvl=14&amp;sty=h&amp;cp=36.3586~43.162&amp;sp=point.36.3586_43.162","Maplink3")</f>
        <v>Maplink3</v>
      </c>
      <c r="AZ2017" s="76"/>
    </row>
    <row r="2018" spans="1:52" x14ac:dyDescent="0.25">
      <c r="A2018" s="86">
        <v>20933</v>
      </c>
      <c r="B2018" s="87" t="s">
        <v>24</v>
      </c>
      <c r="C2018" s="87" t="s">
        <v>3781</v>
      </c>
      <c r="D2018" s="87" t="s">
        <v>3894</v>
      </c>
      <c r="E2018" s="87" t="s">
        <v>3895</v>
      </c>
      <c r="F2018" s="87">
        <v>36.373695055399999</v>
      </c>
      <c r="G2018" s="87">
        <v>42.931939581199998</v>
      </c>
      <c r="H2018" s="86">
        <v>4</v>
      </c>
      <c r="I2018" s="86">
        <v>24</v>
      </c>
      <c r="J2018" s="87"/>
      <c r="K2018" s="87"/>
      <c r="L2018" s="87"/>
      <c r="M2018" s="87"/>
      <c r="N2018" s="87"/>
      <c r="O2018" s="87"/>
      <c r="P2018" s="87"/>
      <c r="Q2018" s="87"/>
      <c r="R2018" s="87"/>
      <c r="S2018" s="87"/>
      <c r="T2018" s="87"/>
      <c r="U2018" s="87"/>
      <c r="V2018" s="87">
        <v>4</v>
      </c>
      <c r="W2018" s="87"/>
      <c r="X2018" s="87"/>
      <c r="Y2018" s="87"/>
      <c r="Z2018" s="87"/>
      <c r="AA2018" s="87"/>
      <c r="AB2018" s="87"/>
      <c r="AC2018" s="87"/>
      <c r="AD2018" s="87"/>
      <c r="AE2018" s="87"/>
      <c r="AF2018" s="87"/>
      <c r="AG2018" s="87"/>
      <c r="AH2018" s="87">
        <v>4</v>
      </c>
      <c r="AI2018" s="87"/>
      <c r="AJ2018" s="87"/>
      <c r="AK2018" s="87"/>
      <c r="AL2018" s="87"/>
      <c r="AM2018" s="87"/>
      <c r="AN2018" s="87"/>
      <c r="AO2018" s="87"/>
      <c r="AP2018" s="87">
        <v>4</v>
      </c>
      <c r="AQ2018" s="87"/>
      <c r="AR2018" s="87"/>
      <c r="AS2018" s="87"/>
      <c r="AT2018" s="87"/>
      <c r="AU2018" s="87"/>
      <c r="AV2018" s="87"/>
      <c r="AW2018" s="88" t="str">
        <f>HYPERLINK("http://www.openstreetmap.org/?mlat=36.3737&amp;mlon=42.9319&amp;zoom=12#map=12/36.3737/42.9319","Maplink1")</f>
        <v>Maplink1</v>
      </c>
      <c r="AX2018" s="88" t="str">
        <f>HYPERLINK("https://www.google.iq/maps/search/+36.3737,42.9319/@36.3737,42.9319,14z?hl=en","Maplink2")</f>
        <v>Maplink2</v>
      </c>
      <c r="AY2018" s="88" t="str">
        <f>HYPERLINK("http://www.bing.com/maps/?lvl=14&amp;sty=h&amp;cp=36.3737~42.9319&amp;sp=point.36.3737_42.9319","Maplink3")</f>
        <v>Maplink3</v>
      </c>
      <c r="AZ2018" s="76"/>
    </row>
    <row r="2019" spans="1:52" x14ac:dyDescent="0.25">
      <c r="A2019" s="86">
        <v>18372</v>
      </c>
      <c r="B2019" s="87" t="s">
        <v>24</v>
      </c>
      <c r="C2019" s="87" t="s">
        <v>3781</v>
      </c>
      <c r="D2019" s="87" t="s">
        <v>3896</v>
      </c>
      <c r="E2019" s="87" t="s">
        <v>3897</v>
      </c>
      <c r="F2019" s="87">
        <v>36.324980489600001</v>
      </c>
      <c r="G2019" s="87">
        <v>43.189810810700003</v>
      </c>
      <c r="H2019" s="86">
        <v>305</v>
      </c>
      <c r="I2019" s="86">
        <v>1830</v>
      </c>
      <c r="J2019" s="87"/>
      <c r="K2019" s="87"/>
      <c r="L2019" s="87"/>
      <c r="M2019" s="87"/>
      <c r="N2019" s="87"/>
      <c r="O2019" s="87"/>
      <c r="P2019" s="87"/>
      <c r="Q2019" s="87"/>
      <c r="R2019" s="87"/>
      <c r="S2019" s="87"/>
      <c r="T2019" s="87"/>
      <c r="U2019" s="87"/>
      <c r="V2019" s="87">
        <v>305</v>
      </c>
      <c r="W2019" s="87"/>
      <c r="X2019" s="87"/>
      <c r="Y2019" s="87"/>
      <c r="Z2019" s="87"/>
      <c r="AA2019" s="87"/>
      <c r="AB2019" s="87"/>
      <c r="AC2019" s="87"/>
      <c r="AD2019" s="87"/>
      <c r="AE2019" s="87"/>
      <c r="AF2019" s="87"/>
      <c r="AG2019" s="87"/>
      <c r="AH2019" s="87">
        <v>304</v>
      </c>
      <c r="AI2019" s="87"/>
      <c r="AJ2019" s="87"/>
      <c r="AK2019" s="87">
        <v>1</v>
      </c>
      <c r="AL2019" s="87"/>
      <c r="AM2019" s="87"/>
      <c r="AN2019" s="87"/>
      <c r="AO2019" s="87"/>
      <c r="AP2019" s="87"/>
      <c r="AQ2019" s="87"/>
      <c r="AR2019" s="87"/>
      <c r="AS2019" s="87"/>
      <c r="AT2019" s="87">
        <v>305</v>
      </c>
      <c r="AU2019" s="87"/>
      <c r="AV2019" s="87"/>
      <c r="AW2019" s="88" t="str">
        <f>HYPERLINK("http://www.openstreetmap.org/?mlat=36.325&amp;mlon=43.1898&amp;zoom=12#map=12/36.325/43.1898","Maplink1")</f>
        <v>Maplink1</v>
      </c>
      <c r="AX2019" s="88" t="str">
        <f>HYPERLINK("https://www.google.iq/maps/search/+36.325,43.1898/@36.325,43.1898,14z?hl=en","Maplink2")</f>
        <v>Maplink2</v>
      </c>
      <c r="AY2019" s="88" t="str">
        <f>HYPERLINK("http://www.bing.com/maps/?lvl=14&amp;sty=h&amp;cp=36.325~43.1898&amp;sp=point.36.325_43.1898","Maplink3")</f>
        <v>Maplink3</v>
      </c>
      <c r="AZ2019" s="76"/>
    </row>
    <row r="2020" spans="1:52" x14ac:dyDescent="0.25">
      <c r="A2020" s="86">
        <v>18367</v>
      </c>
      <c r="B2020" s="87" t="s">
        <v>24</v>
      </c>
      <c r="C2020" s="87" t="s">
        <v>3781</v>
      </c>
      <c r="D2020" s="87" t="s">
        <v>3898</v>
      </c>
      <c r="E2020" s="87" t="s">
        <v>3899</v>
      </c>
      <c r="F2020" s="87">
        <v>36.338086788799998</v>
      </c>
      <c r="G2020" s="87">
        <v>43.083327175299999</v>
      </c>
      <c r="H2020" s="86">
        <v>51</v>
      </c>
      <c r="I2020" s="86">
        <v>306</v>
      </c>
      <c r="J2020" s="87"/>
      <c r="K2020" s="87"/>
      <c r="L2020" s="87"/>
      <c r="M2020" s="87"/>
      <c r="N2020" s="87"/>
      <c r="O2020" s="87"/>
      <c r="P2020" s="87"/>
      <c r="Q2020" s="87"/>
      <c r="R2020" s="87"/>
      <c r="S2020" s="87"/>
      <c r="T2020" s="87"/>
      <c r="U2020" s="87"/>
      <c r="V2020" s="87">
        <v>51</v>
      </c>
      <c r="W2020" s="87"/>
      <c r="X2020" s="87"/>
      <c r="Y2020" s="87"/>
      <c r="Z2020" s="87"/>
      <c r="AA2020" s="87"/>
      <c r="AB2020" s="87"/>
      <c r="AC2020" s="87"/>
      <c r="AD2020" s="87"/>
      <c r="AE2020" s="87"/>
      <c r="AF2020" s="87"/>
      <c r="AG2020" s="87"/>
      <c r="AH2020" s="87">
        <v>51</v>
      </c>
      <c r="AI2020" s="87"/>
      <c r="AJ2020" s="87"/>
      <c r="AK2020" s="87"/>
      <c r="AL2020" s="87"/>
      <c r="AM2020" s="87"/>
      <c r="AN2020" s="87"/>
      <c r="AO2020" s="87"/>
      <c r="AP2020" s="87"/>
      <c r="AQ2020" s="87"/>
      <c r="AR2020" s="87">
        <v>11</v>
      </c>
      <c r="AS2020" s="87"/>
      <c r="AT2020" s="87">
        <v>40</v>
      </c>
      <c r="AU2020" s="87"/>
      <c r="AV2020" s="87"/>
      <c r="AW2020" s="88" t="str">
        <f>HYPERLINK("http://www.openstreetmap.org/?mlat=36.3381&amp;mlon=43.0833&amp;zoom=12#map=12/36.3381/43.0833","Maplink1")</f>
        <v>Maplink1</v>
      </c>
      <c r="AX2020" s="88" t="str">
        <f>HYPERLINK("https://www.google.iq/maps/search/+36.3381,43.0833/@36.3381,43.0833,14z?hl=en","Maplink2")</f>
        <v>Maplink2</v>
      </c>
      <c r="AY2020" s="88" t="str">
        <f>HYPERLINK("http://www.bing.com/maps/?lvl=14&amp;sty=h&amp;cp=36.3381~43.0833&amp;sp=point.36.3381_43.0833","Maplink3")</f>
        <v>Maplink3</v>
      </c>
      <c r="AZ2020" s="76"/>
    </row>
    <row r="2021" spans="1:52" x14ac:dyDescent="0.25">
      <c r="A2021" s="86">
        <v>23545</v>
      </c>
      <c r="B2021" s="87" t="s">
        <v>24</v>
      </c>
      <c r="C2021" s="87" t="s">
        <v>3781</v>
      </c>
      <c r="D2021" s="87" t="s">
        <v>3900</v>
      </c>
      <c r="E2021" s="87" t="s">
        <v>3901</v>
      </c>
      <c r="F2021" s="87">
        <v>36.253769060499998</v>
      </c>
      <c r="G2021" s="87">
        <v>43.1744898607</v>
      </c>
      <c r="H2021" s="86">
        <v>3</v>
      </c>
      <c r="I2021" s="86">
        <v>18</v>
      </c>
      <c r="J2021" s="87"/>
      <c r="K2021" s="87"/>
      <c r="L2021" s="87"/>
      <c r="M2021" s="87"/>
      <c r="N2021" s="87"/>
      <c r="O2021" s="87"/>
      <c r="P2021" s="87"/>
      <c r="Q2021" s="87"/>
      <c r="R2021" s="87"/>
      <c r="S2021" s="87"/>
      <c r="T2021" s="87"/>
      <c r="U2021" s="87"/>
      <c r="V2021" s="87">
        <v>3</v>
      </c>
      <c r="W2021" s="87"/>
      <c r="X2021" s="87"/>
      <c r="Y2021" s="87"/>
      <c r="Z2021" s="87"/>
      <c r="AA2021" s="87"/>
      <c r="AB2021" s="87"/>
      <c r="AC2021" s="87"/>
      <c r="AD2021" s="87"/>
      <c r="AE2021" s="87"/>
      <c r="AF2021" s="87"/>
      <c r="AG2021" s="87"/>
      <c r="AH2021" s="87"/>
      <c r="AI2021" s="87"/>
      <c r="AJ2021" s="87"/>
      <c r="AK2021" s="87"/>
      <c r="AL2021" s="87">
        <v>3</v>
      </c>
      <c r="AM2021" s="87"/>
      <c r="AN2021" s="87"/>
      <c r="AO2021" s="87"/>
      <c r="AP2021" s="87"/>
      <c r="AQ2021" s="87"/>
      <c r="AR2021" s="87"/>
      <c r="AS2021" s="87"/>
      <c r="AT2021" s="87">
        <v>3</v>
      </c>
      <c r="AU2021" s="87"/>
      <c r="AV2021" s="87"/>
      <c r="AW2021" s="88" t="str">
        <f>HYPERLINK("http://www.openstreetmap.org/?mlat=36.2538&amp;mlon=43.1745&amp;zoom=12#map=12/36.2538/43.1745","Maplink1")</f>
        <v>Maplink1</v>
      </c>
      <c r="AX2021" s="88" t="str">
        <f>HYPERLINK("https://www.google.iq/maps/search/+36.2538,43.1745/@36.2538,43.1745,14z?hl=en","Maplink2")</f>
        <v>Maplink2</v>
      </c>
      <c r="AY2021" s="88" t="str">
        <f>HYPERLINK("http://www.bing.com/maps/?lvl=14&amp;sty=h&amp;cp=36.2538~43.1745&amp;sp=point.36.2538_43.1745","Maplink3")</f>
        <v>Maplink3</v>
      </c>
      <c r="AZ2021" s="76"/>
    </row>
    <row r="2022" spans="1:52" x14ac:dyDescent="0.25">
      <c r="A2022" s="86">
        <v>33411</v>
      </c>
      <c r="B2022" s="87" t="s">
        <v>24</v>
      </c>
      <c r="C2022" s="87" t="s">
        <v>3781</v>
      </c>
      <c r="D2022" s="87" t="s">
        <v>3902</v>
      </c>
      <c r="E2022" s="87" t="s">
        <v>3903</v>
      </c>
      <c r="F2022" s="87">
        <v>36.356994999999998</v>
      </c>
      <c r="G2022" s="87">
        <v>43.144806789699999</v>
      </c>
      <c r="H2022" s="86">
        <v>15</v>
      </c>
      <c r="I2022" s="86">
        <v>90</v>
      </c>
      <c r="J2022" s="87"/>
      <c r="K2022" s="87"/>
      <c r="L2022" s="87"/>
      <c r="M2022" s="87"/>
      <c r="N2022" s="87"/>
      <c r="O2022" s="87"/>
      <c r="P2022" s="87"/>
      <c r="Q2022" s="87"/>
      <c r="R2022" s="87"/>
      <c r="S2022" s="87"/>
      <c r="T2022" s="87"/>
      <c r="U2022" s="87"/>
      <c r="V2022" s="87">
        <v>15</v>
      </c>
      <c r="W2022" s="87"/>
      <c r="X2022" s="87"/>
      <c r="Y2022" s="87"/>
      <c r="Z2022" s="87"/>
      <c r="AA2022" s="87"/>
      <c r="AB2022" s="87"/>
      <c r="AC2022" s="87"/>
      <c r="AD2022" s="87"/>
      <c r="AE2022" s="87"/>
      <c r="AF2022" s="87"/>
      <c r="AG2022" s="87"/>
      <c r="AH2022" s="87">
        <v>15</v>
      </c>
      <c r="AI2022" s="87"/>
      <c r="AJ2022" s="87"/>
      <c r="AK2022" s="87"/>
      <c r="AL2022" s="87"/>
      <c r="AM2022" s="87"/>
      <c r="AN2022" s="87"/>
      <c r="AO2022" s="87"/>
      <c r="AP2022" s="87">
        <v>4</v>
      </c>
      <c r="AQ2022" s="87"/>
      <c r="AR2022" s="87"/>
      <c r="AS2022" s="87"/>
      <c r="AT2022" s="87">
        <v>11</v>
      </c>
      <c r="AU2022" s="87"/>
      <c r="AV2022" s="87"/>
      <c r="AW2022" s="88" t="str">
        <f>HYPERLINK("http://www.openstreetmap.org/?mlat=36.357&amp;mlon=43.1448&amp;zoom=12#map=12/36.357/43.1448","Maplink1")</f>
        <v>Maplink1</v>
      </c>
      <c r="AX2022" s="88" t="str">
        <f>HYPERLINK("https://www.google.iq/maps/search/+36.357,43.1448/@36.357,43.1448,14z?hl=en","Maplink2")</f>
        <v>Maplink2</v>
      </c>
      <c r="AY2022" s="88" t="str">
        <f>HYPERLINK("http://www.bing.com/maps/?lvl=14&amp;sty=h&amp;cp=36.357~43.1448&amp;sp=point.36.357_43.1448","Maplink3")</f>
        <v>Maplink3</v>
      </c>
      <c r="AZ2022" s="76"/>
    </row>
    <row r="2023" spans="1:52" x14ac:dyDescent="0.25">
      <c r="A2023" s="86">
        <v>18388</v>
      </c>
      <c r="B2023" s="87" t="s">
        <v>24</v>
      </c>
      <c r="C2023" s="87" t="s">
        <v>3781</v>
      </c>
      <c r="D2023" s="87" t="s">
        <v>3904</v>
      </c>
      <c r="E2023" s="87" t="s">
        <v>3905</v>
      </c>
      <c r="F2023" s="87">
        <v>36.375995530399997</v>
      </c>
      <c r="G2023" s="87">
        <v>43.199093502099998</v>
      </c>
      <c r="H2023" s="86">
        <v>95</v>
      </c>
      <c r="I2023" s="86">
        <v>570</v>
      </c>
      <c r="J2023" s="87"/>
      <c r="K2023" s="87"/>
      <c r="L2023" s="87"/>
      <c r="M2023" s="87"/>
      <c r="N2023" s="87"/>
      <c r="O2023" s="87"/>
      <c r="P2023" s="87"/>
      <c r="Q2023" s="87"/>
      <c r="R2023" s="87"/>
      <c r="S2023" s="87"/>
      <c r="T2023" s="87"/>
      <c r="U2023" s="87"/>
      <c r="V2023" s="87">
        <v>95</v>
      </c>
      <c r="W2023" s="87"/>
      <c r="X2023" s="87"/>
      <c r="Y2023" s="87"/>
      <c r="Z2023" s="87"/>
      <c r="AA2023" s="87"/>
      <c r="AB2023" s="87"/>
      <c r="AC2023" s="87"/>
      <c r="AD2023" s="87"/>
      <c r="AE2023" s="87"/>
      <c r="AF2023" s="87"/>
      <c r="AG2023" s="87"/>
      <c r="AH2023" s="87">
        <v>93</v>
      </c>
      <c r="AI2023" s="87"/>
      <c r="AJ2023" s="87">
        <v>2</v>
      </c>
      <c r="AK2023" s="87"/>
      <c r="AL2023" s="87"/>
      <c r="AM2023" s="87"/>
      <c r="AN2023" s="87"/>
      <c r="AO2023" s="87"/>
      <c r="AP2023" s="87">
        <v>5</v>
      </c>
      <c r="AQ2023" s="87"/>
      <c r="AR2023" s="87"/>
      <c r="AS2023" s="87"/>
      <c r="AT2023" s="87">
        <v>90</v>
      </c>
      <c r="AU2023" s="87"/>
      <c r="AV2023" s="87"/>
      <c r="AW2023" s="88" t="str">
        <f>HYPERLINK("http://www.openstreetmap.org/?mlat=36.376&amp;mlon=43.1991&amp;zoom=12#map=12/36.376/43.1991","Maplink1")</f>
        <v>Maplink1</v>
      </c>
      <c r="AX2023" s="88" t="str">
        <f>HYPERLINK("https://www.google.iq/maps/search/+36.376,43.1991/@36.376,43.1991,14z?hl=en","Maplink2")</f>
        <v>Maplink2</v>
      </c>
      <c r="AY2023" s="88" t="str">
        <f>HYPERLINK("http://www.bing.com/maps/?lvl=14&amp;sty=h&amp;cp=36.376~43.1991&amp;sp=point.36.376_43.1991","Maplink3")</f>
        <v>Maplink3</v>
      </c>
      <c r="AZ2023" s="76"/>
    </row>
    <row r="2024" spans="1:52" x14ac:dyDescent="0.25">
      <c r="A2024" s="86">
        <v>18384</v>
      </c>
      <c r="B2024" s="87" t="s">
        <v>24</v>
      </c>
      <c r="C2024" s="87" t="s">
        <v>3781</v>
      </c>
      <c r="D2024" s="87" t="s">
        <v>3906</v>
      </c>
      <c r="E2024" s="87" t="s">
        <v>208</v>
      </c>
      <c r="F2024" s="87">
        <v>36.318806285699999</v>
      </c>
      <c r="G2024" s="87">
        <v>43.1001554391</v>
      </c>
      <c r="H2024" s="86">
        <v>67</v>
      </c>
      <c r="I2024" s="86">
        <v>402</v>
      </c>
      <c r="J2024" s="87"/>
      <c r="K2024" s="87"/>
      <c r="L2024" s="87"/>
      <c r="M2024" s="87"/>
      <c r="N2024" s="87"/>
      <c r="O2024" s="87"/>
      <c r="P2024" s="87"/>
      <c r="Q2024" s="87"/>
      <c r="R2024" s="87"/>
      <c r="S2024" s="87"/>
      <c r="T2024" s="87"/>
      <c r="U2024" s="87"/>
      <c r="V2024" s="87">
        <v>67</v>
      </c>
      <c r="W2024" s="87"/>
      <c r="X2024" s="87"/>
      <c r="Y2024" s="87"/>
      <c r="Z2024" s="87"/>
      <c r="AA2024" s="87"/>
      <c r="AB2024" s="87"/>
      <c r="AC2024" s="87"/>
      <c r="AD2024" s="87"/>
      <c r="AE2024" s="87"/>
      <c r="AF2024" s="87"/>
      <c r="AG2024" s="87"/>
      <c r="AH2024" s="87">
        <v>50</v>
      </c>
      <c r="AI2024" s="87">
        <v>17</v>
      </c>
      <c r="AJ2024" s="87"/>
      <c r="AK2024" s="87"/>
      <c r="AL2024" s="87"/>
      <c r="AM2024" s="87"/>
      <c r="AN2024" s="87"/>
      <c r="AO2024" s="87"/>
      <c r="AP2024" s="87"/>
      <c r="AQ2024" s="87"/>
      <c r="AR2024" s="87">
        <v>15</v>
      </c>
      <c r="AS2024" s="87"/>
      <c r="AT2024" s="87">
        <v>52</v>
      </c>
      <c r="AU2024" s="87"/>
      <c r="AV2024" s="87"/>
      <c r="AW2024" s="88" t="str">
        <f>HYPERLINK("http://www.openstreetmap.org/?mlat=36.3188&amp;mlon=43.1002&amp;zoom=12#map=12/36.3188/43.1002","Maplink1")</f>
        <v>Maplink1</v>
      </c>
      <c r="AX2024" s="88" t="str">
        <f>HYPERLINK("https://www.google.iq/maps/search/+36.3188,43.1002/@36.3188,43.1002,14z?hl=en","Maplink2")</f>
        <v>Maplink2</v>
      </c>
      <c r="AY2024" s="88" t="str">
        <f>HYPERLINK("http://www.bing.com/maps/?lvl=14&amp;sty=h&amp;cp=36.3188~43.1002&amp;sp=point.36.3188_43.1002","Maplink3")</f>
        <v>Maplink3</v>
      </c>
      <c r="AZ2024" s="76"/>
    </row>
    <row r="2025" spans="1:52" x14ac:dyDescent="0.25">
      <c r="A2025" s="86">
        <v>31914</v>
      </c>
      <c r="B2025" s="87" t="s">
        <v>24</v>
      </c>
      <c r="C2025" s="87" t="s">
        <v>3781</v>
      </c>
      <c r="D2025" s="87" t="s">
        <v>3907</v>
      </c>
      <c r="E2025" s="87" t="s">
        <v>3908</v>
      </c>
      <c r="F2025" s="87">
        <v>36.373596756300003</v>
      </c>
      <c r="G2025" s="87">
        <v>43.202060806299997</v>
      </c>
      <c r="H2025" s="86">
        <v>600</v>
      </c>
      <c r="I2025" s="86">
        <v>3600</v>
      </c>
      <c r="J2025" s="87"/>
      <c r="K2025" s="87"/>
      <c r="L2025" s="87"/>
      <c r="M2025" s="87"/>
      <c r="N2025" s="87"/>
      <c r="O2025" s="87"/>
      <c r="P2025" s="87"/>
      <c r="Q2025" s="87"/>
      <c r="R2025" s="87"/>
      <c r="S2025" s="87"/>
      <c r="T2025" s="87"/>
      <c r="U2025" s="87"/>
      <c r="V2025" s="87">
        <v>600</v>
      </c>
      <c r="W2025" s="87"/>
      <c r="X2025" s="87"/>
      <c r="Y2025" s="87"/>
      <c r="Z2025" s="87"/>
      <c r="AA2025" s="87"/>
      <c r="AB2025" s="87"/>
      <c r="AC2025" s="87">
        <v>120</v>
      </c>
      <c r="AD2025" s="87"/>
      <c r="AE2025" s="87"/>
      <c r="AF2025" s="87"/>
      <c r="AG2025" s="87"/>
      <c r="AH2025" s="87">
        <v>463</v>
      </c>
      <c r="AI2025" s="87"/>
      <c r="AJ2025" s="87"/>
      <c r="AK2025" s="87">
        <v>17</v>
      </c>
      <c r="AL2025" s="87"/>
      <c r="AM2025" s="87"/>
      <c r="AN2025" s="87"/>
      <c r="AO2025" s="87"/>
      <c r="AP2025" s="87">
        <v>300</v>
      </c>
      <c r="AQ2025" s="87"/>
      <c r="AR2025" s="87"/>
      <c r="AS2025" s="87"/>
      <c r="AT2025" s="87">
        <v>300</v>
      </c>
      <c r="AU2025" s="87"/>
      <c r="AV2025" s="87"/>
      <c r="AW2025" s="88" t="str">
        <f>HYPERLINK("http://www.openstreetmap.org/?mlat=36.3736&amp;mlon=43.2021&amp;zoom=12#map=12/36.3736/43.2021","Maplink1")</f>
        <v>Maplink1</v>
      </c>
      <c r="AX2025" s="88" t="str">
        <f>HYPERLINK("https://www.google.iq/maps/search/+36.3736,43.2021/@36.3736,43.2021,14z?hl=en","Maplink2")</f>
        <v>Maplink2</v>
      </c>
      <c r="AY2025" s="88" t="str">
        <f>HYPERLINK("http://www.bing.com/maps/?lvl=14&amp;sty=h&amp;cp=36.3736~43.2021&amp;sp=point.36.3736_43.2021","Maplink3")</f>
        <v>Maplink3</v>
      </c>
      <c r="AZ2025" s="76"/>
    </row>
    <row r="2026" spans="1:52" x14ac:dyDescent="0.25">
      <c r="A2026" s="86">
        <v>31704</v>
      </c>
      <c r="B2026" s="87" t="s">
        <v>24</v>
      </c>
      <c r="C2026" s="87" t="s">
        <v>3781</v>
      </c>
      <c r="D2026" s="87" t="s">
        <v>3909</v>
      </c>
      <c r="E2026" s="87" t="s">
        <v>3910</v>
      </c>
      <c r="F2026" s="87">
        <v>35.739891738899999</v>
      </c>
      <c r="G2026" s="87">
        <v>43.279289491500002</v>
      </c>
      <c r="H2026" s="86">
        <v>4</v>
      </c>
      <c r="I2026" s="86">
        <v>24</v>
      </c>
      <c r="J2026" s="87"/>
      <c r="K2026" s="87"/>
      <c r="L2026" s="87"/>
      <c r="M2026" s="87"/>
      <c r="N2026" s="87"/>
      <c r="O2026" s="87"/>
      <c r="P2026" s="87"/>
      <c r="Q2026" s="87"/>
      <c r="R2026" s="87"/>
      <c r="S2026" s="87"/>
      <c r="T2026" s="87"/>
      <c r="U2026" s="87"/>
      <c r="V2026" s="87"/>
      <c r="W2026" s="87"/>
      <c r="X2026" s="87">
        <v>4</v>
      </c>
      <c r="Y2026" s="87"/>
      <c r="Z2026" s="87"/>
      <c r="AA2026" s="87"/>
      <c r="AB2026" s="87"/>
      <c r="AC2026" s="87"/>
      <c r="AD2026" s="87"/>
      <c r="AE2026" s="87"/>
      <c r="AF2026" s="87"/>
      <c r="AG2026" s="87"/>
      <c r="AH2026" s="87">
        <v>4</v>
      </c>
      <c r="AI2026" s="87"/>
      <c r="AJ2026" s="87"/>
      <c r="AK2026" s="87"/>
      <c r="AL2026" s="87"/>
      <c r="AM2026" s="87"/>
      <c r="AN2026" s="87"/>
      <c r="AO2026" s="87"/>
      <c r="AP2026" s="87"/>
      <c r="AQ2026" s="87"/>
      <c r="AR2026" s="87"/>
      <c r="AS2026" s="87"/>
      <c r="AT2026" s="87">
        <v>4</v>
      </c>
      <c r="AU2026" s="87"/>
      <c r="AV2026" s="87"/>
      <c r="AW2026" s="88" t="str">
        <f>HYPERLINK("http://www.openstreetmap.org/?mlat=35.7399&amp;mlon=43.2793&amp;zoom=12#map=12/35.7399/43.2793","Maplink1")</f>
        <v>Maplink1</v>
      </c>
      <c r="AX2026" s="88" t="str">
        <f>HYPERLINK("https://www.google.iq/maps/search/+35.7399,43.2793/@35.7399,43.2793,14z?hl=en","Maplink2")</f>
        <v>Maplink2</v>
      </c>
      <c r="AY2026" s="88" t="str">
        <f>HYPERLINK("http://www.bing.com/maps/?lvl=14&amp;sty=h&amp;cp=35.7399~43.2793&amp;sp=point.35.7399_43.2793","Maplink3")</f>
        <v>Maplink3</v>
      </c>
      <c r="AZ2026" s="76"/>
    </row>
    <row r="2027" spans="1:52" x14ac:dyDescent="0.25">
      <c r="A2027" s="86">
        <v>31919</v>
      </c>
      <c r="B2027" s="87" t="s">
        <v>24</v>
      </c>
      <c r="C2027" s="87" t="s">
        <v>3781</v>
      </c>
      <c r="D2027" s="87" t="s">
        <v>3911</v>
      </c>
      <c r="E2027" s="87" t="s">
        <v>3912</v>
      </c>
      <c r="F2027" s="87">
        <v>36.370269717900001</v>
      </c>
      <c r="G2027" s="87">
        <v>43.146094394400002</v>
      </c>
      <c r="H2027" s="86">
        <v>5</v>
      </c>
      <c r="I2027" s="86">
        <v>30</v>
      </c>
      <c r="J2027" s="87"/>
      <c r="K2027" s="87"/>
      <c r="L2027" s="87"/>
      <c r="M2027" s="87"/>
      <c r="N2027" s="87"/>
      <c r="O2027" s="87"/>
      <c r="P2027" s="87"/>
      <c r="Q2027" s="87"/>
      <c r="R2027" s="87"/>
      <c r="S2027" s="87"/>
      <c r="T2027" s="87"/>
      <c r="U2027" s="87"/>
      <c r="V2027" s="87">
        <v>5</v>
      </c>
      <c r="W2027" s="87"/>
      <c r="X2027" s="87"/>
      <c r="Y2027" s="87"/>
      <c r="Z2027" s="87"/>
      <c r="AA2027" s="87"/>
      <c r="AB2027" s="87"/>
      <c r="AC2027" s="87">
        <v>3</v>
      </c>
      <c r="AD2027" s="87"/>
      <c r="AE2027" s="87"/>
      <c r="AF2027" s="87"/>
      <c r="AG2027" s="87"/>
      <c r="AH2027" s="87">
        <v>1</v>
      </c>
      <c r="AI2027" s="87"/>
      <c r="AJ2027" s="87"/>
      <c r="AK2027" s="87">
        <v>1</v>
      </c>
      <c r="AL2027" s="87"/>
      <c r="AM2027" s="87"/>
      <c r="AN2027" s="87"/>
      <c r="AO2027" s="87"/>
      <c r="AP2027" s="87">
        <v>1</v>
      </c>
      <c r="AQ2027" s="87"/>
      <c r="AR2027" s="87"/>
      <c r="AS2027" s="87"/>
      <c r="AT2027" s="87">
        <v>4</v>
      </c>
      <c r="AU2027" s="87"/>
      <c r="AV2027" s="87"/>
      <c r="AW2027" s="88" t="str">
        <f>HYPERLINK("http://www.openstreetmap.org/?mlat=36.3703&amp;mlon=43.1461&amp;zoom=12#map=12/36.3703/43.1461","Maplink1")</f>
        <v>Maplink1</v>
      </c>
      <c r="AX2027" s="88" t="str">
        <f>HYPERLINK("https://www.google.iq/maps/search/+36.3703,43.1461/@36.3703,43.1461,14z?hl=en","Maplink2")</f>
        <v>Maplink2</v>
      </c>
      <c r="AY2027" s="88" t="str">
        <f>HYPERLINK("http://www.bing.com/maps/?lvl=14&amp;sty=h&amp;cp=36.3703~43.1461&amp;sp=point.36.3703_43.1461","Maplink3")</f>
        <v>Maplink3</v>
      </c>
      <c r="AZ2027" s="76"/>
    </row>
    <row r="2028" spans="1:52" x14ac:dyDescent="0.25">
      <c r="A2028" s="86">
        <v>33166</v>
      </c>
      <c r="B2028" s="87" t="s">
        <v>24</v>
      </c>
      <c r="C2028" s="87" t="s">
        <v>3781</v>
      </c>
      <c r="D2028" s="87" t="s">
        <v>3913</v>
      </c>
      <c r="E2028" s="87" t="s">
        <v>3914</v>
      </c>
      <c r="F2028" s="87">
        <v>36.4171555904</v>
      </c>
      <c r="G2028" s="87">
        <v>42.960422825999999</v>
      </c>
      <c r="H2028" s="86">
        <v>71</v>
      </c>
      <c r="I2028" s="86">
        <v>426</v>
      </c>
      <c r="J2028" s="87"/>
      <c r="K2028" s="87"/>
      <c r="L2028" s="87"/>
      <c r="M2028" s="87"/>
      <c r="N2028" s="87"/>
      <c r="O2028" s="87"/>
      <c r="P2028" s="87"/>
      <c r="Q2028" s="87"/>
      <c r="R2028" s="87"/>
      <c r="S2028" s="87"/>
      <c r="T2028" s="87"/>
      <c r="U2028" s="87"/>
      <c r="V2028" s="87">
        <v>71</v>
      </c>
      <c r="W2028" s="87"/>
      <c r="X2028" s="87"/>
      <c r="Y2028" s="87"/>
      <c r="Z2028" s="87"/>
      <c r="AA2028" s="87"/>
      <c r="AB2028" s="87"/>
      <c r="AC2028" s="87"/>
      <c r="AD2028" s="87"/>
      <c r="AE2028" s="87"/>
      <c r="AF2028" s="87"/>
      <c r="AG2028" s="87"/>
      <c r="AH2028" s="87">
        <v>71</v>
      </c>
      <c r="AI2028" s="87"/>
      <c r="AJ2028" s="87"/>
      <c r="AK2028" s="87"/>
      <c r="AL2028" s="87"/>
      <c r="AM2028" s="87"/>
      <c r="AN2028" s="87"/>
      <c r="AO2028" s="87"/>
      <c r="AP2028" s="87"/>
      <c r="AQ2028" s="87"/>
      <c r="AR2028" s="87"/>
      <c r="AS2028" s="87"/>
      <c r="AT2028" s="87"/>
      <c r="AU2028" s="87">
        <v>71</v>
      </c>
      <c r="AV2028" s="87"/>
      <c r="AW2028" s="88" t="str">
        <f>HYPERLINK("http://www.openstreetmap.org/?mlat=36.4172&amp;mlon=42.9604&amp;zoom=12#map=12/36.4172/42.9604","Maplink1")</f>
        <v>Maplink1</v>
      </c>
      <c r="AX2028" s="88" t="str">
        <f>HYPERLINK("https://www.google.iq/maps/search/+36.4172,42.9604/@36.4172,42.9604,14z?hl=en","Maplink2")</f>
        <v>Maplink2</v>
      </c>
      <c r="AY2028" s="88" t="str">
        <f>HYPERLINK("http://www.bing.com/maps/?lvl=14&amp;sty=h&amp;cp=36.4172~42.9604&amp;sp=point.36.4172_42.9604","Maplink3")</f>
        <v>Maplink3</v>
      </c>
      <c r="AZ2028" s="76"/>
    </row>
    <row r="2029" spans="1:52" x14ac:dyDescent="0.25">
      <c r="A2029" s="86">
        <v>31948</v>
      </c>
      <c r="B2029" s="87" t="s">
        <v>24</v>
      </c>
      <c r="C2029" s="87" t="s">
        <v>3781</v>
      </c>
      <c r="D2029" s="87" t="s">
        <v>3915</v>
      </c>
      <c r="E2029" s="87" t="s">
        <v>3916</v>
      </c>
      <c r="F2029" s="87">
        <v>36.107315962000001</v>
      </c>
      <c r="G2029" s="87">
        <v>43.123784352400001</v>
      </c>
      <c r="H2029" s="86">
        <v>7</v>
      </c>
      <c r="I2029" s="86">
        <v>42</v>
      </c>
      <c r="J2029" s="87"/>
      <c r="K2029" s="87"/>
      <c r="L2029" s="87"/>
      <c r="M2029" s="87"/>
      <c r="N2029" s="87"/>
      <c r="O2029" s="87"/>
      <c r="P2029" s="87"/>
      <c r="Q2029" s="87"/>
      <c r="R2029" s="87"/>
      <c r="S2029" s="87"/>
      <c r="T2029" s="87"/>
      <c r="U2029" s="87"/>
      <c r="V2029" s="87">
        <v>7</v>
      </c>
      <c r="W2029" s="87"/>
      <c r="X2029" s="87"/>
      <c r="Y2029" s="87"/>
      <c r="Z2029" s="87"/>
      <c r="AA2029" s="87"/>
      <c r="AB2029" s="87"/>
      <c r="AC2029" s="87">
        <v>7</v>
      </c>
      <c r="AD2029" s="87"/>
      <c r="AE2029" s="87"/>
      <c r="AF2029" s="87"/>
      <c r="AG2029" s="87"/>
      <c r="AH2029" s="87"/>
      <c r="AI2029" s="87"/>
      <c r="AJ2029" s="87"/>
      <c r="AK2029" s="87"/>
      <c r="AL2029" s="87"/>
      <c r="AM2029" s="87"/>
      <c r="AN2029" s="87"/>
      <c r="AO2029" s="87"/>
      <c r="AP2029" s="87"/>
      <c r="AQ2029" s="87"/>
      <c r="AR2029" s="87"/>
      <c r="AS2029" s="87"/>
      <c r="AT2029" s="87">
        <v>7</v>
      </c>
      <c r="AU2029" s="87"/>
      <c r="AV2029" s="87"/>
      <c r="AW2029" s="88" t="str">
        <f>HYPERLINK("http://www.openstreetmap.org/?mlat=36.1073&amp;mlon=43.1238&amp;zoom=12#map=12/36.1073/43.1238","Maplink1")</f>
        <v>Maplink1</v>
      </c>
      <c r="AX2029" s="88" t="str">
        <f>HYPERLINK("https://www.google.iq/maps/search/+36.1073,43.1238/@36.1073,43.1238,14z?hl=en","Maplink2")</f>
        <v>Maplink2</v>
      </c>
      <c r="AY2029" s="88" t="str">
        <f>HYPERLINK("http://www.bing.com/maps/?lvl=14&amp;sty=h&amp;cp=36.1073~43.1238&amp;sp=point.36.1073_43.1238","Maplink3")</f>
        <v>Maplink3</v>
      </c>
      <c r="AZ2029" s="76"/>
    </row>
    <row r="2030" spans="1:52" x14ac:dyDescent="0.25">
      <c r="A2030" s="86">
        <v>20796</v>
      </c>
      <c r="B2030" s="87" t="s">
        <v>24</v>
      </c>
      <c r="C2030" s="87" t="s">
        <v>3781</v>
      </c>
      <c r="D2030" s="87" t="s">
        <v>3917</v>
      </c>
      <c r="E2030" s="87" t="s">
        <v>3918</v>
      </c>
      <c r="F2030" s="87">
        <v>36.4085196439</v>
      </c>
      <c r="G2030" s="87">
        <v>43.104616009600001</v>
      </c>
      <c r="H2030" s="86">
        <v>11</v>
      </c>
      <c r="I2030" s="86">
        <v>66</v>
      </c>
      <c r="J2030" s="87"/>
      <c r="K2030" s="87"/>
      <c r="L2030" s="87"/>
      <c r="M2030" s="87"/>
      <c r="N2030" s="87"/>
      <c r="O2030" s="87"/>
      <c r="P2030" s="87"/>
      <c r="Q2030" s="87"/>
      <c r="R2030" s="87"/>
      <c r="S2030" s="87"/>
      <c r="T2030" s="87"/>
      <c r="U2030" s="87"/>
      <c r="V2030" s="87">
        <v>11</v>
      </c>
      <c r="W2030" s="87"/>
      <c r="X2030" s="87"/>
      <c r="Y2030" s="87"/>
      <c r="Z2030" s="87"/>
      <c r="AA2030" s="87"/>
      <c r="AB2030" s="87"/>
      <c r="AC2030" s="87"/>
      <c r="AD2030" s="87"/>
      <c r="AE2030" s="87"/>
      <c r="AF2030" s="87"/>
      <c r="AG2030" s="87">
        <v>1</v>
      </c>
      <c r="AH2030" s="87">
        <v>10</v>
      </c>
      <c r="AI2030" s="87"/>
      <c r="AJ2030" s="87"/>
      <c r="AK2030" s="87"/>
      <c r="AL2030" s="87"/>
      <c r="AM2030" s="87"/>
      <c r="AN2030" s="87"/>
      <c r="AO2030" s="87"/>
      <c r="AP2030" s="87"/>
      <c r="AQ2030" s="87"/>
      <c r="AR2030" s="87"/>
      <c r="AS2030" s="87"/>
      <c r="AT2030" s="87">
        <v>11</v>
      </c>
      <c r="AU2030" s="87"/>
      <c r="AV2030" s="87"/>
      <c r="AW2030" s="88" t="str">
        <f>HYPERLINK("http://www.openstreetmap.org/?mlat=36.4085&amp;mlon=43.1046&amp;zoom=12#map=12/36.4085/43.1046","Maplink1")</f>
        <v>Maplink1</v>
      </c>
      <c r="AX2030" s="88" t="str">
        <f>HYPERLINK("https://www.google.iq/maps/search/+36.4085,43.1046/@36.4085,43.1046,14z?hl=en","Maplink2")</f>
        <v>Maplink2</v>
      </c>
      <c r="AY2030" s="88" t="str">
        <f>HYPERLINK("http://www.bing.com/maps/?lvl=14&amp;sty=h&amp;cp=36.4085~43.1046&amp;sp=point.36.4085_43.1046","Maplink3")</f>
        <v>Maplink3</v>
      </c>
      <c r="AZ2030" s="76"/>
    </row>
    <row r="2031" spans="1:52" x14ac:dyDescent="0.25">
      <c r="A2031" s="86">
        <v>33462</v>
      </c>
      <c r="B2031" s="87" t="s">
        <v>24</v>
      </c>
      <c r="C2031" s="87" t="s">
        <v>3781</v>
      </c>
      <c r="D2031" s="87" t="s">
        <v>3919</v>
      </c>
      <c r="E2031" s="87" t="s">
        <v>3920</v>
      </c>
      <c r="F2031" s="87">
        <v>36.308031418399999</v>
      </c>
      <c r="G2031" s="87">
        <v>43.196948966999997</v>
      </c>
      <c r="H2031" s="86">
        <v>30</v>
      </c>
      <c r="I2031" s="86">
        <v>180</v>
      </c>
      <c r="J2031" s="87"/>
      <c r="K2031" s="87"/>
      <c r="L2031" s="87"/>
      <c r="M2031" s="87"/>
      <c r="N2031" s="87"/>
      <c r="O2031" s="87"/>
      <c r="P2031" s="87"/>
      <c r="Q2031" s="87"/>
      <c r="R2031" s="87"/>
      <c r="S2031" s="87"/>
      <c r="T2031" s="87"/>
      <c r="U2031" s="87"/>
      <c r="V2031" s="87">
        <v>30</v>
      </c>
      <c r="W2031" s="87"/>
      <c r="X2031" s="87"/>
      <c r="Y2031" s="87"/>
      <c r="Z2031" s="87"/>
      <c r="AA2031" s="87"/>
      <c r="AB2031" s="87"/>
      <c r="AC2031" s="87">
        <v>2</v>
      </c>
      <c r="AD2031" s="87"/>
      <c r="AE2031" s="87"/>
      <c r="AF2031" s="87"/>
      <c r="AG2031" s="87"/>
      <c r="AH2031" s="87">
        <v>28</v>
      </c>
      <c r="AI2031" s="87"/>
      <c r="AJ2031" s="87"/>
      <c r="AK2031" s="87"/>
      <c r="AL2031" s="87"/>
      <c r="AM2031" s="87"/>
      <c r="AN2031" s="87"/>
      <c r="AO2031" s="87"/>
      <c r="AP2031" s="87">
        <v>6</v>
      </c>
      <c r="AQ2031" s="87"/>
      <c r="AR2031" s="87"/>
      <c r="AS2031" s="87"/>
      <c r="AT2031" s="87">
        <v>24</v>
      </c>
      <c r="AU2031" s="87"/>
      <c r="AV2031" s="87"/>
      <c r="AW2031" s="88" t="str">
        <f>HYPERLINK("http://www.openstreetmap.org/?mlat=36.308&amp;mlon=43.1969&amp;zoom=12#map=12/36.308/43.1969","Maplink1")</f>
        <v>Maplink1</v>
      </c>
      <c r="AX2031" s="88" t="str">
        <f>HYPERLINK("https://www.google.iq/maps/search/+36.308,43.1969/@36.308,43.1969,14z?hl=en","Maplink2")</f>
        <v>Maplink2</v>
      </c>
      <c r="AY2031" s="88" t="str">
        <f>HYPERLINK("http://www.bing.com/maps/?lvl=14&amp;sty=h&amp;cp=36.308~43.1969&amp;sp=point.36.308_43.1969","Maplink3")</f>
        <v>Maplink3</v>
      </c>
      <c r="AZ2031" s="76"/>
    </row>
    <row r="2032" spans="1:52" x14ac:dyDescent="0.25">
      <c r="A2032" s="86">
        <v>18330</v>
      </c>
      <c r="B2032" s="87" t="s">
        <v>24</v>
      </c>
      <c r="C2032" s="87" t="s">
        <v>3781</v>
      </c>
      <c r="D2032" s="87" t="s">
        <v>3921</v>
      </c>
      <c r="E2032" s="87" t="s">
        <v>3922</v>
      </c>
      <c r="F2032" s="87">
        <v>36.3152504691</v>
      </c>
      <c r="G2032" s="87">
        <v>43.118090369500003</v>
      </c>
      <c r="H2032" s="86">
        <v>90</v>
      </c>
      <c r="I2032" s="86">
        <v>540</v>
      </c>
      <c r="J2032" s="87"/>
      <c r="K2032" s="87"/>
      <c r="L2032" s="87"/>
      <c r="M2032" s="87"/>
      <c r="N2032" s="87"/>
      <c r="O2032" s="87"/>
      <c r="P2032" s="87"/>
      <c r="Q2032" s="87"/>
      <c r="R2032" s="87"/>
      <c r="S2032" s="87"/>
      <c r="T2032" s="87"/>
      <c r="U2032" s="87"/>
      <c r="V2032" s="87">
        <v>90</v>
      </c>
      <c r="W2032" s="87"/>
      <c r="X2032" s="87"/>
      <c r="Y2032" s="87"/>
      <c r="Z2032" s="87"/>
      <c r="AA2032" s="87"/>
      <c r="AB2032" s="87"/>
      <c r="AC2032" s="87"/>
      <c r="AD2032" s="87"/>
      <c r="AE2032" s="87"/>
      <c r="AF2032" s="87"/>
      <c r="AG2032" s="87"/>
      <c r="AH2032" s="87">
        <v>82</v>
      </c>
      <c r="AI2032" s="87">
        <v>8</v>
      </c>
      <c r="AJ2032" s="87"/>
      <c r="AK2032" s="87"/>
      <c r="AL2032" s="87"/>
      <c r="AM2032" s="87"/>
      <c r="AN2032" s="87"/>
      <c r="AO2032" s="87"/>
      <c r="AP2032" s="87"/>
      <c r="AQ2032" s="87"/>
      <c r="AR2032" s="87">
        <v>10</v>
      </c>
      <c r="AS2032" s="87"/>
      <c r="AT2032" s="87">
        <v>80</v>
      </c>
      <c r="AU2032" s="87"/>
      <c r="AV2032" s="87"/>
      <c r="AW2032" s="88" t="str">
        <f>HYPERLINK("http://www.openstreetmap.org/?mlat=36.3153&amp;mlon=43.1181&amp;zoom=12#map=12/36.3153/43.1181","Maplink1")</f>
        <v>Maplink1</v>
      </c>
      <c r="AX2032" s="88" t="str">
        <f>HYPERLINK("https://www.google.iq/maps/search/+36.3153,43.1181/@36.3153,43.1181,14z?hl=en","Maplink2")</f>
        <v>Maplink2</v>
      </c>
      <c r="AY2032" s="88" t="str">
        <f>HYPERLINK("http://www.bing.com/maps/?lvl=14&amp;sty=h&amp;cp=36.3153~43.1181&amp;sp=point.36.3153_43.1181","Maplink3")</f>
        <v>Maplink3</v>
      </c>
      <c r="AZ2032" s="76"/>
    </row>
    <row r="2033" spans="1:52" x14ac:dyDescent="0.25">
      <c r="A2033" s="86">
        <v>31735</v>
      </c>
      <c r="B2033" s="87" t="s">
        <v>24</v>
      </c>
      <c r="C2033" s="87" t="s">
        <v>3781</v>
      </c>
      <c r="D2033" s="87" t="s">
        <v>3923</v>
      </c>
      <c r="E2033" s="87" t="s">
        <v>3924</v>
      </c>
      <c r="F2033" s="87">
        <v>35.730380611500003</v>
      </c>
      <c r="G2033" s="87">
        <v>43.281913141399997</v>
      </c>
      <c r="H2033" s="86">
        <v>20</v>
      </c>
      <c r="I2033" s="86">
        <v>120</v>
      </c>
      <c r="J2033" s="87"/>
      <c r="K2033" s="87"/>
      <c r="L2033" s="87"/>
      <c r="M2033" s="87"/>
      <c r="N2033" s="87"/>
      <c r="O2033" s="87"/>
      <c r="P2033" s="87"/>
      <c r="Q2033" s="87"/>
      <c r="R2033" s="87">
        <v>10</v>
      </c>
      <c r="S2033" s="87"/>
      <c r="T2033" s="87"/>
      <c r="U2033" s="87"/>
      <c r="V2033" s="87">
        <v>10</v>
      </c>
      <c r="W2033" s="87"/>
      <c r="X2033" s="87"/>
      <c r="Y2033" s="87"/>
      <c r="Z2033" s="87"/>
      <c r="AA2033" s="87"/>
      <c r="AB2033" s="87"/>
      <c r="AC2033" s="87"/>
      <c r="AD2033" s="87"/>
      <c r="AE2033" s="87"/>
      <c r="AF2033" s="87"/>
      <c r="AG2033" s="87"/>
      <c r="AH2033" s="87">
        <v>20</v>
      </c>
      <c r="AI2033" s="87"/>
      <c r="AJ2033" s="87"/>
      <c r="AK2033" s="87"/>
      <c r="AL2033" s="87"/>
      <c r="AM2033" s="87"/>
      <c r="AN2033" s="87"/>
      <c r="AO2033" s="87"/>
      <c r="AP2033" s="87"/>
      <c r="AQ2033" s="87"/>
      <c r="AR2033" s="87"/>
      <c r="AS2033" s="87"/>
      <c r="AT2033" s="87">
        <v>20</v>
      </c>
      <c r="AU2033" s="87"/>
      <c r="AV2033" s="87"/>
      <c r="AW2033" s="88" t="str">
        <f>HYPERLINK("http://www.openstreetmap.org/?mlat=35.7304&amp;mlon=43.2819&amp;zoom=12#map=12/35.7304/43.2819","Maplink1")</f>
        <v>Maplink1</v>
      </c>
      <c r="AX2033" s="88" t="str">
        <f>HYPERLINK("https://www.google.iq/maps/search/+35.7304,43.2819/@35.7304,43.2819,14z?hl=en","Maplink2")</f>
        <v>Maplink2</v>
      </c>
      <c r="AY2033" s="88" t="str">
        <f>HYPERLINK("http://www.bing.com/maps/?lvl=14&amp;sty=h&amp;cp=35.7304~43.2819&amp;sp=point.35.7304_43.2819","Maplink3")</f>
        <v>Maplink3</v>
      </c>
      <c r="AZ2033" s="76"/>
    </row>
    <row r="2034" spans="1:52" x14ac:dyDescent="0.25">
      <c r="A2034" s="86">
        <v>31743</v>
      </c>
      <c r="B2034" s="87" t="s">
        <v>24</v>
      </c>
      <c r="C2034" s="87" t="s">
        <v>3781</v>
      </c>
      <c r="D2034" s="87" t="s">
        <v>3925</v>
      </c>
      <c r="E2034" s="87" t="s">
        <v>3926</v>
      </c>
      <c r="F2034" s="87">
        <v>36.155969677599998</v>
      </c>
      <c r="G2034" s="87">
        <v>43.241080458500001</v>
      </c>
      <c r="H2034" s="86">
        <v>3633</v>
      </c>
      <c r="I2034" s="86">
        <v>21798</v>
      </c>
      <c r="J2034" s="87"/>
      <c r="K2034" s="87"/>
      <c r="L2034" s="87"/>
      <c r="M2034" s="87"/>
      <c r="N2034" s="87"/>
      <c r="O2034" s="87"/>
      <c r="P2034" s="87"/>
      <c r="Q2034" s="87"/>
      <c r="R2034" s="87"/>
      <c r="S2034" s="87"/>
      <c r="T2034" s="87"/>
      <c r="U2034" s="87"/>
      <c r="V2034" s="87">
        <v>3633</v>
      </c>
      <c r="W2034" s="87"/>
      <c r="X2034" s="87"/>
      <c r="Y2034" s="87"/>
      <c r="Z2034" s="87"/>
      <c r="AA2034" s="87"/>
      <c r="AB2034" s="87">
        <v>3633</v>
      </c>
      <c r="AC2034" s="87"/>
      <c r="AD2034" s="87"/>
      <c r="AE2034" s="87"/>
      <c r="AF2034" s="87"/>
      <c r="AG2034" s="87"/>
      <c r="AH2034" s="87"/>
      <c r="AI2034" s="87"/>
      <c r="AJ2034" s="87"/>
      <c r="AK2034" s="87"/>
      <c r="AL2034" s="87"/>
      <c r="AM2034" s="87"/>
      <c r="AN2034" s="87"/>
      <c r="AO2034" s="87"/>
      <c r="AP2034" s="87"/>
      <c r="AQ2034" s="87"/>
      <c r="AR2034" s="87"/>
      <c r="AS2034" s="87"/>
      <c r="AT2034" s="87">
        <v>2203</v>
      </c>
      <c r="AU2034" s="87">
        <v>1217</v>
      </c>
      <c r="AV2034" s="87">
        <v>213</v>
      </c>
      <c r="AW2034" s="88" t="str">
        <f>HYPERLINK("http://www.openstreetmap.org/?mlat=36.156&amp;mlon=43.2411&amp;zoom=12#map=12/36.156/43.2411","Maplink1")</f>
        <v>Maplink1</v>
      </c>
      <c r="AX2034" s="88" t="str">
        <f>HYPERLINK("https://www.google.iq/maps/search/+36.156,43.2411/@36.156,43.2411,14z?hl=en","Maplink2")</f>
        <v>Maplink2</v>
      </c>
      <c r="AY2034" s="88" t="str">
        <f>HYPERLINK("http://www.bing.com/maps/?lvl=14&amp;sty=h&amp;cp=36.156~43.2411&amp;sp=point.36.156_43.2411","Maplink3")</f>
        <v>Maplink3</v>
      </c>
      <c r="AZ2034" s="76"/>
    </row>
    <row r="2035" spans="1:52" x14ac:dyDescent="0.25">
      <c r="A2035" s="86">
        <v>17128</v>
      </c>
      <c r="B2035" s="87" t="s">
        <v>24</v>
      </c>
      <c r="C2035" s="87" t="s">
        <v>3781</v>
      </c>
      <c r="D2035" s="87" t="s">
        <v>3927</v>
      </c>
      <c r="E2035" s="87" t="s">
        <v>3928</v>
      </c>
      <c r="F2035" s="87">
        <v>36.167588112799997</v>
      </c>
      <c r="G2035" s="87">
        <v>43.254947884899998</v>
      </c>
      <c r="H2035" s="86">
        <v>186</v>
      </c>
      <c r="I2035" s="86">
        <v>1116</v>
      </c>
      <c r="J2035" s="87"/>
      <c r="K2035" s="87"/>
      <c r="L2035" s="87"/>
      <c r="M2035" s="87"/>
      <c r="N2035" s="87"/>
      <c r="O2035" s="87"/>
      <c r="P2035" s="87"/>
      <c r="Q2035" s="87"/>
      <c r="R2035" s="87"/>
      <c r="S2035" s="87"/>
      <c r="T2035" s="87"/>
      <c r="U2035" s="87"/>
      <c r="V2035" s="87">
        <v>186</v>
      </c>
      <c r="W2035" s="87"/>
      <c r="X2035" s="87"/>
      <c r="Y2035" s="87"/>
      <c r="Z2035" s="87"/>
      <c r="AA2035" s="87"/>
      <c r="AB2035" s="87"/>
      <c r="AC2035" s="87">
        <v>5</v>
      </c>
      <c r="AD2035" s="87"/>
      <c r="AE2035" s="87"/>
      <c r="AF2035" s="87"/>
      <c r="AG2035" s="87"/>
      <c r="AH2035" s="87">
        <v>181</v>
      </c>
      <c r="AI2035" s="87"/>
      <c r="AJ2035" s="87"/>
      <c r="AK2035" s="87"/>
      <c r="AL2035" s="87"/>
      <c r="AM2035" s="87"/>
      <c r="AN2035" s="87"/>
      <c r="AO2035" s="87"/>
      <c r="AP2035" s="87"/>
      <c r="AQ2035" s="87"/>
      <c r="AR2035" s="87"/>
      <c r="AS2035" s="87"/>
      <c r="AT2035" s="87">
        <v>186</v>
      </c>
      <c r="AU2035" s="87"/>
      <c r="AV2035" s="87"/>
      <c r="AW2035" s="88" t="str">
        <f>HYPERLINK("http://www.openstreetmap.org/?mlat=36.1676&amp;mlon=43.2549&amp;zoom=12#map=12/36.1676/43.2549","Maplink1")</f>
        <v>Maplink1</v>
      </c>
      <c r="AX2035" s="88" t="str">
        <f>HYPERLINK("https://www.google.iq/maps/search/+36.1676,43.2549/@36.1676,43.2549,14z?hl=en","Maplink2")</f>
        <v>Maplink2</v>
      </c>
      <c r="AY2035" s="88" t="str">
        <f>HYPERLINK("http://www.bing.com/maps/?lvl=14&amp;sty=h&amp;cp=36.1676~43.2549&amp;sp=point.36.1676_43.2549","Maplink3")</f>
        <v>Maplink3</v>
      </c>
      <c r="AZ2035" s="76"/>
    </row>
    <row r="2036" spans="1:52" x14ac:dyDescent="0.25">
      <c r="A2036" s="86">
        <v>24636</v>
      </c>
      <c r="B2036" s="87" t="s">
        <v>24</v>
      </c>
      <c r="C2036" s="87" t="s">
        <v>3781</v>
      </c>
      <c r="D2036" s="87" t="s">
        <v>3929</v>
      </c>
      <c r="E2036" s="87" t="s">
        <v>3930</v>
      </c>
      <c r="F2036" s="87">
        <v>36.373105699200003</v>
      </c>
      <c r="G2036" s="87">
        <v>43.080789265200004</v>
      </c>
      <c r="H2036" s="86">
        <v>125</v>
      </c>
      <c r="I2036" s="86">
        <v>750</v>
      </c>
      <c r="J2036" s="87"/>
      <c r="K2036" s="87"/>
      <c r="L2036" s="87"/>
      <c r="M2036" s="87"/>
      <c r="N2036" s="87"/>
      <c r="O2036" s="87"/>
      <c r="P2036" s="87"/>
      <c r="Q2036" s="87"/>
      <c r="R2036" s="87"/>
      <c r="S2036" s="87"/>
      <c r="T2036" s="87"/>
      <c r="U2036" s="87"/>
      <c r="V2036" s="87">
        <v>125</v>
      </c>
      <c r="W2036" s="87"/>
      <c r="X2036" s="87"/>
      <c r="Y2036" s="87"/>
      <c r="Z2036" s="87"/>
      <c r="AA2036" s="87"/>
      <c r="AB2036" s="87"/>
      <c r="AC2036" s="87"/>
      <c r="AD2036" s="87"/>
      <c r="AE2036" s="87"/>
      <c r="AF2036" s="87"/>
      <c r="AG2036" s="87"/>
      <c r="AH2036" s="87">
        <v>125</v>
      </c>
      <c r="AI2036" s="87"/>
      <c r="AJ2036" s="87"/>
      <c r="AK2036" s="87"/>
      <c r="AL2036" s="87"/>
      <c r="AM2036" s="87"/>
      <c r="AN2036" s="87"/>
      <c r="AO2036" s="87"/>
      <c r="AP2036" s="87"/>
      <c r="AQ2036" s="87"/>
      <c r="AR2036" s="87"/>
      <c r="AS2036" s="87"/>
      <c r="AT2036" s="87">
        <v>125</v>
      </c>
      <c r="AU2036" s="87"/>
      <c r="AV2036" s="87"/>
      <c r="AW2036" s="88" t="str">
        <f>HYPERLINK("http://www.openstreetmap.org/?mlat=36.3731&amp;mlon=43.0808&amp;zoom=12#map=12/36.3731/43.0808","Maplink1")</f>
        <v>Maplink1</v>
      </c>
      <c r="AX2036" s="88" t="str">
        <f>HYPERLINK("https://www.google.iq/maps/search/+36.3731,43.0808/@36.3731,43.0808,14z?hl=en","Maplink2")</f>
        <v>Maplink2</v>
      </c>
      <c r="AY2036" s="88" t="str">
        <f>HYPERLINK("http://www.bing.com/maps/?lvl=14&amp;sty=h&amp;cp=36.3731~43.0808&amp;sp=point.36.3731_43.0808","Maplink3")</f>
        <v>Maplink3</v>
      </c>
      <c r="AZ2036" s="76"/>
    </row>
    <row r="2037" spans="1:52" x14ac:dyDescent="0.25">
      <c r="A2037" s="86">
        <v>18383</v>
      </c>
      <c r="B2037" s="87" t="s">
        <v>24</v>
      </c>
      <c r="C2037" s="87" t="s">
        <v>3781</v>
      </c>
      <c r="D2037" s="87" t="s">
        <v>3225</v>
      </c>
      <c r="E2037" s="87" t="s">
        <v>3226</v>
      </c>
      <c r="F2037" s="87">
        <v>36.355206011699998</v>
      </c>
      <c r="G2037" s="87">
        <v>43.213627191299999</v>
      </c>
      <c r="H2037" s="86">
        <v>85</v>
      </c>
      <c r="I2037" s="86">
        <v>510</v>
      </c>
      <c r="J2037" s="87"/>
      <c r="K2037" s="87"/>
      <c r="L2037" s="87"/>
      <c r="M2037" s="87"/>
      <c r="N2037" s="87"/>
      <c r="O2037" s="87"/>
      <c r="P2037" s="87"/>
      <c r="Q2037" s="87"/>
      <c r="R2037" s="87"/>
      <c r="S2037" s="87"/>
      <c r="T2037" s="87"/>
      <c r="U2037" s="87"/>
      <c r="V2037" s="87">
        <v>85</v>
      </c>
      <c r="W2037" s="87"/>
      <c r="X2037" s="87"/>
      <c r="Y2037" s="87"/>
      <c r="Z2037" s="87"/>
      <c r="AA2037" s="87"/>
      <c r="AB2037" s="87"/>
      <c r="AC2037" s="87"/>
      <c r="AD2037" s="87"/>
      <c r="AE2037" s="87"/>
      <c r="AF2037" s="87"/>
      <c r="AG2037" s="87"/>
      <c r="AH2037" s="87">
        <v>85</v>
      </c>
      <c r="AI2037" s="87"/>
      <c r="AJ2037" s="87"/>
      <c r="AK2037" s="87"/>
      <c r="AL2037" s="87"/>
      <c r="AM2037" s="87"/>
      <c r="AN2037" s="87"/>
      <c r="AO2037" s="87"/>
      <c r="AP2037" s="87">
        <v>15</v>
      </c>
      <c r="AQ2037" s="87"/>
      <c r="AR2037" s="87"/>
      <c r="AS2037" s="87"/>
      <c r="AT2037" s="87">
        <v>70</v>
      </c>
      <c r="AU2037" s="87"/>
      <c r="AV2037" s="87"/>
      <c r="AW2037" s="88" t="str">
        <f>HYPERLINK("http://www.openstreetmap.org/?mlat=36.3552&amp;mlon=43.2136&amp;zoom=12#map=12/36.3552/43.2136","Maplink1")</f>
        <v>Maplink1</v>
      </c>
      <c r="AX2037" s="88" t="str">
        <f>HYPERLINK("https://www.google.iq/maps/search/+36.3552,43.2136/@36.3552,43.2136,14z?hl=en","Maplink2")</f>
        <v>Maplink2</v>
      </c>
      <c r="AY2037" s="88" t="str">
        <f>HYPERLINK("http://www.bing.com/maps/?lvl=14&amp;sty=h&amp;cp=36.3552~43.2136&amp;sp=point.36.3552_43.2136","Maplink3")</f>
        <v>Maplink3</v>
      </c>
      <c r="AZ2037" s="76"/>
    </row>
    <row r="2038" spans="1:52" x14ac:dyDescent="0.25">
      <c r="A2038" s="86">
        <v>18306</v>
      </c>
      <c r="B2038" s="87" t="s">
        <v>24</v>
      </c>
      <c r="C2038" s="87" t="s">
        <v>3781</v>
      </c>
      <c r="D2038" s="87" t="s">
        <v>3931</v>
      </c>
      <c r="E2038" s="87" t="s">
        <v>3932</v>
      </c>
      <c r="F2038" s="87">
        <v>36.401060363200003</v>
      </c>
      <c r="G2038" s="87">
        <v>43.117440140600003</v>
      </c>
      <c r="H2038" s="86">
        <v>25</v>
      </c>
      <c r="I2038" s="86">
        <v>150</v>
      </c>
      <c r="J2038" s="87"/>
      <c r="K2038" s="87"/>
      <c r="L2038" s="87"/>
      <c r="M2038" s="87"/>
      <c r="N2038" s="87"/>
      <c r="O2038" s="87"/>
      <c r="P2038" s="87"/>
      <c r="Q2038" s="87"/>
      <c r="R2038" s="87"/>
      <c r="S2038" s="87"/>
      <c r="T2038" s="87"/>
      <c r="U2038" s="87"/>
      <c r="V2038" s="87">
        <v>25</v>
      </c>
      <c r="W2038" s="87"/>
      <c r="X2038" s="87"/>
      <c r="Y2038" s="87"/>
      <c r="Z2038" s="87"/>
      <c r="AA2038" s="87"/>
      <c r="AB2038" s="87"/>
      <c r="AC2038" s="87"/>
      <c r="AD2038" s="87"/>
      <c r="AE2038" s="87"/>
      <c r="AF2038" s="87"/>
      <c r="AG2038" s="87"/>
      <c r="AH2038" s="87">
        <v>25</v>
      </c>
      <c r="AI2038" s="87"/>
      <c r="AJ2038" s="87"/>
      <c r="AK2038" s="87"/>
      <c r="AL2038" s="87"/>
      <c r="AM2038" s="87"/>
      <c r="AN2038" s="87"/>
      <c r="AO2038" s="87"/>
      <c r="AP2038" s="87">
        <v>6</v>
      </c>
      <c r="AQ2038" s="87"/>
      <c r="AR2038" s="87"/>
      <c r="AS2038" s="87"/>
      <c r="AT2038" s="87">
        <v>19</v>
      </c>
      <c r="AU2038" s="87"/>
      <c r="AV2038" s="87"/>
      <c r="AW2038" s="88" t="str">
        <f>HYPERLINK("http://www.openstreetmap.org/?mlat=36.4011&amp;mlon=43.1174&amp;zoom=12#map=12/36.4011/43.1174","Maplink1")</f>
        <v>Maplink1</v>
      </c>
      <c r="AX2038" s="88" t="str">
        <f>HYPERLINK("https://www.google.iq/maps/search/+36.4011,43.1174/@36.4011,43.1174,14z?hl=en","Maplink2")</f>
        <v>Maplink2</v>
      </c>
      <c r="AY2038" s="88" t="str">
        <f>HYPERLINK("http://www.bing.com/maps/?lvl=14&amp;sty=h&amp;cp=36.4011~43.1174&amp;sp=point.36.4011_43.1174","Maplink3")</f>
        <v>Maplink3</v>
      </c>
      <c r="AZ2038" s="76"/>
    </row>
    <row r="2039" spans="1:52" x14ac:dyDescent="0.25">
      <c r="A2039" s="86">
        <v>18314</v>
      </c>
      <c r="B2039" s="87" t="s">
        <v>24</v>
      </c>
      <c r="C2039" s="87" t="s">
        <v>3781</v>
      </c>
      <c r="D2039" s="87" t="s">
        <v>3933</v>
      </c>
      <c r="E2039" s="87" t="s">
        <v>675</v>
      </c>
      <c r="F2039" s="87">
        <v>36.321603521</v>
      </c>
      <c r="G2039" s="87">
        <v>43.2184224035</v>
      </c>
      <c r="H2039" s="86">
        <v>684</v>
      </c>
      <c r="I2039" s="86">
        <v>4104</v>
      </c>
      <c r="J2039" s="87"/>
      <c r="K2039" s="87"/>
      <c r="L2039" s="87"/>
      <c r="M2039" s="87"/>
      <c r="N2039" s="87"/>
      <c r="O2039" s="87"/>
      <c r="P2039" s="87">
        <v>74</v>
      </c>
      <c r="Q2039" s="87"/>
      <c r="R2039" s="87"/>
      <c r="S2039" s="87"/>
      <c r="T2039" s="87"/>
      <c r="U2039" s="87"/>
      <c r="V2039" s="87">
        <v>610</v>
      </c>
      <c r="W2039" s="87"/>
      <c r="X2039" s="87"/>
      <c r="Y2039" s="87"/>
      <c r="Z2039" s="87"/>
      <c r="AA2039" s="87"/>
      <c r="AB2039" s="87"/>
      <c r="AC2039" s="87">
        <v>50</v>
      </c>
      <c r="AD2039" s="87"/>
      <c r="AE2039" s="87"/>
      <c r="AF2039" s="87"/>
      <c r="AG2039" s="87"/>
      <c r="AH2039" s="87">
        <v>556</v>
      </c>
      <c r="AI2039" s="87"/>
      <c r="AJ2039" s="87"/>
      <c r="AK2039" s="87">
        <v>78</v>
      </c>
      <c r="AL2039" s="87"/>
      <c r="AM2039" s="87"/>
      <c r="AN2039" s="87"/>
      <c r="AO2039" s="87"/>
      <c r="AP2039" s="87">
        <v>249</v>
      </c>
      <c r="AQ2039" s="87"/>
      <c r="AR2039" s="87"/>
      <c r="AS2039" s="87">
        <v>74</v>
      </c>
      <c r="AT2039" s="87">
        <v>361</v>
      </c>
      <c r="AU2039" s="87"/>
      <c r="AV2039" s="87"/>
      <c r="AW2039" s="88" t="str">
        <f>HYPERLINK("http://www.openstreetmap.org/?mlat=36.3216&amp;mlon=43.2184&amp;zoom=12#map=12/36.3216/43.2184","Maplink1")</f>
        <v>Maplink1</v>
      </c>
      <c r="AX2039" s="88" t="str">
        <f>HYPERLINK("https://www.google.iq/maps/search/+36.3216,43.2184/@36.3216,43.2184,14z?hl=en","Maplink2")</f>
        <v>Maplink2</v>
      </c>
      <c r="AY2039" s="88" t="str">
        <f>HYPERLINK("http://www.bing.com/maps/?lvl=14&amp;sty=h&amp;cp=36.3216~43.2184&amp;sp=point.36.3216_43.2184","Maplink3")</f>
        <v>Maplink3</v>
      </c>
      <c r="AZ2039" s="76"/>
    </row>
    <row r="2040" spans="1:52" x14ac:dyDescent="0.25">
      <c r="A2040" s="86">
        <v>18313</v>
      </c>
      <c r="B2040" s="87" t="s">
        <v>24</v>
      </c>
      <c r="C2040" s="87" t="s">
        <v>3781</v>
      </c>
      <c r="D2040" s="87" t="s">
        <v>3934</v>
      </c>
      <c r="E2040" s="87" t="s">
        <v>3935</v>
      </c>
      <c r="F2040" s="87">
        <v>36.350243146300002</v>
      </c>
      <c r="G2040" s="87">
        <v>43.085158739000001</v>
      </c>
      <c r="H2040" s="86">
        <v>259</v>
      </c>
      <c r="I2040" s="86">
        <v>1554</v>
      </c>
      <c r="J2040" s="87"/>
      <c r="K2040" s="87"/>
      <c r="L2040" s="87"/>
      <c r="M2040" s="87"/>
      <c r="N2040" s="87"/>
      <c r="O2040" s="87"/>
      <c r="P2040" s="87"/>
      <c r="Q2040" s="87"/>
      <c r="R2040" s="87"/>
      <c r="S2040" s="87"/>
      <c r="T2040" s="87"/>
      <c r="U2040" s="87"/>
      <c r="V2040" s="87">
        <v>259</v>
      </c>
      <c r="W2040" s="87"/>
      <c r="X2040" s="87"/>
      <c r="Y2040" s="87"/>
      <c r="Z2040" s="87"/>
      <c r="AA2040" s="87"/>
      <c r="AB2040" s="87"/>
      <c r="AC2040" s="87"/>
      <c r="AD2040" s="87"/>
      <c r="AE2040" s="87"/>
      <c r="AF2040" s="87"/>
      <c r="AG2040" s="87"/>
      <c r="AH2040" s="87">
        <v>209</v>
      </c>
      <c r="AI2040" s="87">
        <v>50</v>
      </c>
      <c r="AJ2040" s="87"/>
      <c r="AK2040" s="87"/>
      <c r="AL2040" s="87"/>
      <c r="AM2040" s="87"/>
      <c r="AN2040" s="87"/>
      <c r="AO2040" s="87"/>
      <c r="AP2040" s="87"/>
      <c r="AQ2040" s="87"/>
      <c r="AR2040" s="87">
        <v>52</v>
      </c>
      <c r="AS2040" s="87"/>
      <c r="AT2040" s="87">
        <v>207</v>
      </c>
      <c r="AU2040" s="87"/>
      <c r="AV2040" s="87"/>
      <c r="AW2040" s="88" t="str">
        <f>HYPERLINK("http://www.openstreetmap.org/?mlat=36.3502&amp;mlon=43.0852&amp;zoom=12#map=12/36.3502/43.0852","Maplink1")</f>
        <v>Maplink1</v>
      </c>
      <c r="AX2040" s="88" t="str">
        <f>HYPERLINK("https://www.google.iq/maps/search/+36.3502,43.0852/@36.3502,43.0852,14z?hl=en","Maplink2")</f>
        <v>Maplink2</v>
      </c>
      <c r="AY2040" s="88" t="str">
        <f>HYPERLINK("http://www.bing.com/maps/?lvl=14&amp;sty=h&amp;cp=36.3502~43.0852&amp;sp=point.36.3502_43.0852","Maplink3")</f>
        <v>Maplink3</v>
      </c>
      <c r="AZ2040" s="76"/>
    </row>
    <row r="2041" spans="1:52" x14ac:dyDescent="0.25">
      <c r="A2041" s="86">
        <v>23934</v>
      </c>
      <c r="B2041" s="87" t="s">
        <v>24</v>
      </c>
      <c r="C2041" s="87" t="s">
        <v>3781</v>
      </c>
      <c r="D2041" s="87" t="s">
        <v>3936</v>
      </c>
      <c r="E2041" s="87" t="s">
        <v>3937</v>
      </c>
      <c r="F2041" s="87">
        <v>36.331522999999997</v>
      </c>
      <c r="G2041" s="87">
        <v>43.066661000000003</v>
      </c>
      <c r="H2041" s="86">
        <v>114</v>
      </c>
      <c r="I2041" s="86">
        <v>684</v>
      </c>
      <c r="J2041" s="87">
        <v>10</v>
      </c>
      <c r="K2041" s="87"/>
      <c r="L2041" s="87"/>
      <c r="M2041" s="87"/>
      <c r="N2041" s="87"/>
      <c r="O2041" s="87"/>
      <c r="P2041" s="87"/>
      <c r="Q2041" s="87"/>
      <c r="R2041" s="87"/>
      <c r="S2041" s="87"/>
      <c r="T2041" s="87"/>
      <c r="U2041" s="87"/>
      <c r="V2041" s="87">
        <v>104</v>
      </c>
      <c r="W2041" s="87"/>
      <c r="X2041" s="87"/>
      <c r="Y2041" s="87"/>
      <c r="Z2041" s="87"/>
      <c r="AA2041" s="87"/>
      <c r="AB2041" s="87"/>
      <c r="AC2041" s="87">
        <v>41</v>
      </c>
      <c r="AD2041" s="87"/>
      <c r="AE2041" s="87"/>
      <c r="AF2041" s="87"/>
      <c r="AG2041" s="87"/>
      <c r="AH2041" s="87">
        <v>27</v>
      </c>
      <c r="AI2041" s="87"/>
      <c r="AJ2041" s="87"/>
      <c r="AK2041" s="87">
        <v>33</v>
      </c>
      <c r="AL2041" s="87"/>
      <c r="AM2041" s="87">
        <v>13</v>
      </c>
      <c r="AN2041" s="87">
        <v>10</v>
      </c>
      <c r="AO2041" s="87"/>
      <c r="AP2041" s="87"/>
      <c r="AQ2041" s="87">
        <v>57</v>
      </c>
      <c r="AR2041" s="87">
        <v>31</v>
      </c>
      <c r="AS2041" s="87">
        <v>16</v>
      </c>
      <c r="AT2041" s="87"/>
      <c r="AU2041" s="87"/>
      <c r="AV2041" s="87"/>
      <c r="AW2041" s="88" t="str">
        <f>HYPERLINK("http://www.openstreetmap.org/?mlat=36.3315&amp;mlon=43.0667&amp;zoom=12#map=12/36.3315/43.0667","Maplink1")</f>
        <v>Maplink1</v>
      </c>
      <c r="AX2041" s="88" t="str">
        <f>HYPERLINK("https://www.google.iq/maps/search/+36.3315,43.0667/@36.3315,43.0667,14z?hl=en","Maplink2")</f>
        <v>Maplink2</v>
      </c>
      <c r="AY2041" s="88" t="str">
        <f>HYPERLINK("http://www.bing.com/maps/?lvl=14&amp;sty=h&amp;cp=36.3315~43.0667&amp;sp=point.36.3315_43.0667","Maplink3")</f>
        <v>Maplink3</v>
      </c>
      <c r="AZ2041" s="76"/>
    </row>
    <row r="2042" spans="1:52" x14ac:dyDescent="0.25">
      <c r="A2042" s="86">
        <v>23933</v>
      </c>
      <c r="B2042" s="87" t="s">
        <v>24</v>
      </c>
      <c r="C2042" s="87" t="s">
        <v>3781</v>
      </c>
      <c r="D2042" s="87" t="s">
        <v>3938</v>
      </c>
      <c r="E2042" s="87" t="s">
        <v>3939</v>
      </c>
      <c r="F2042" s="87">
        <v>36.365992224899998</v>
      </c>
      <c r="G2042" s="87">
        <v>43.220835604000001</v>
      </c>
      <c r="H2042" s="86">
        <v>516</v>
      </c>
      <c r="I2042" s="86">
        <v>3096</v>
      </c>
      <c r="J2042" s="87"/>
      <c r="K2042" s="87"/>
      <c r="L2042" s="87"/>
      <c r="M2042" s="87"/>
      <c r="N2042" s="87"/>
      <c r="O2042" s="87"/>
      <c r="P2042" s="87"/>
      <c r="Q2042" s="87"/>
      <c r="R2042" s="87"/>
      <c r="S2042" s="87"/>
      <c r="T2042" s="87"/>
      <c r="U2042" s="87"/>
      <c r="V2042" s="87">
        <v>516</v>
      </c>
      <c r="W2042" s="87"/>
      <c r="X2042" s="87"/>
      <c r="Y2042" s="87"/>
      <c r="Z2042" s="87"/>
      <c r="AA2042" s="87"/>
      <c r="AB2042" s="87"/>
      <c r="AC2042" s="87">
        <v>17</v>
      </c>
      <c r="AD2042" s="87"/>
      <c r="AE2042" s="87"/>
      <c r="AF2042" s="87"/>
      <c r="AG2042" s="87"/>
      <c r="AH2042" s="87">
        <v>463</v>
      </c>
      <c r="AI2042" s="87"/>
      <c r="AJ2042" s="87">
        <v>13</v>
      </c>
      <c r="AK2042" s="87">
        <v>23</v>
      </c>
      <c r="AL2042" s="87"/>
      <c r="AM2042" s="87"/>
      <c r="AN2042" s="87"/>
      <c r="AO2042" s="87"/>
      <c r="AP2042" s="87">
        <v>165</v>
      </c>
      <c r="AQ2042" s="87"/>
      <c r="AR2042" s="87"/>
      <c r="AS2042" s="87"/>
      <c r="AT2042" s="87">
        <v>351</v>
      </c>
      <c r="AU2042" s="87"/>
      <c r="AV2042" s="87"/>
      <c r="AW2042" s="88" t="str">
        <f>HYPERLINK("http://www.openstreetmap.org/?mlat=36.366&amp;mlon=43.2208&amp;zoom=12#map=12/36.366/43.2208","Maplink1")</f>
        <v>Maplink1</v>
      </c>
      <c r="AX2042" s="88" t="str">
        <f>HYPERLINK("https://www.google.iq/maps/search/+36.366,43.2208/@36.366,43.2208,14z?hl=en","Maplink2")</f>
        <v>Maplink2</v>
      </c>
      <c r="AY2042" s="88" t="str">
        <f>HYPERLINK("http://www.bing.com/maps/?lvl=14&amp;sty=h&amp;cp=36.366~43.2208&amp;sp=point.36.366_43.2208","Maplink3")</f>
        <v>Maplink3</v>
      </c>
      <c r="AZ2042" s="76"/>
    </row>
    <row r="2043" spans="1:52" x14ac:dyDescent="0.25">
      <c r="A2043" s="86">
        <v>18370</v>
      </c>
      <c r="B2043" s="87" t="s">
        <v>24</v>
      </c>
      <c r="C2043" s="87" t="s">
        <v>3781</v>
      </c>
      <c r="D2043" s="87" t="s">
        <v>3940</v>
      </c>
      <c r="E2043" s="87" t="s">
        <v>3941</v>
      </c>
      <c r="F2043" s="87">
        <v>36.355513503499999</v>
      </c>
      <c r="G2043" s="87">
        <v>43.191957267200003</v>
      </c>
      <c r="H2043" s="86">
        <v>360</v>
      </c>
      <c r="I2043" s="86">
        <v>2160</v>
      </c>
      <c r="J2043" s="87"/>
      <c r="K2043" s="87"/>
      <c r="L2043" s="87"/>
      <c r="M2043" s="87"/>
      <c r="N2043" s="87"/>
      <c r="O2043" s="87"/>
      <c r="P2043" s="87"/>
      <c r="Q2043" s="87"/>
      <c r="R2043" s="87"/>
      <c r="S2043" s="87"/>
      <c r="T2043" s="87"/>
      <c r="U2043" s="87"/>
      <c r="V2043" s="87">
        <v>360</v>
      </c>
      <c r="W2043" s="87"/>
      <c r="X2043" s="87"/>
      <c r="Y2043" s="87"/>
      <c r="Z2043" s="87"/>
      <c r="AA2043" s="87"/>
      <c r="AB2043" s="87"/>
      <c r="AC2043" s="87"/>
      <c r="AD2043" s="87"/>
      <c r="AE2043" s="87"/>
      <c r="AF2043" s="87"/>
      <c r="AG2043" s="87"/>
      <c r="AH2043" s="87">
        <v>328</v>
      </c>
      <c r="AI2043" s="87"/>
      <c r="AJ2043" s="87">
        <v>32</v>
      </c>
      <c r="AK2043" s="87"/>
      <c r="AL2043" s="87"/>
      <c r="AM2043" s="87"/>
      <c r="AN2043" s="87"/>
      <c r="AO2043" s="87"/>
      <c r="AP2043" s="87">
        <v>158</v>
      </c>
      <c r="AQ2043" s="87"/>
      <c r="AR2043" s="87"/>
      <c r="AS2043" s="87"/>
      <c r="AT2043" s="87">
        <v>202</v>
      </c>
      <c r="AU2043" s="87"/>
      <c r="AV2043" s="87"/>
      <c r="AW2043" s="88" t="str">
        <f>HYPERLINK("http://www.openstreetmap.org/?mlat=36.3555&amp;mlon=43.192&amp;zoom=12#map=12/36.3555/43.192","Maplink1")</f>
        <v>Maplink1</v>
      </c>
      <c r="AX2043" s="88" t="str">
        <f>HYPERLINK("https://www.google.iq/maps/search/+36.3555,43.192/@36.3555,43.192,14z?hl=en","Maplink2")</f>
        <v>Maplink2</v>
      </c>
      <c r="AY2043" s="88" t="str">
        <f>HYPERLINK("http://www.bing.com/maps/?lvl=14&amp;sty=h&amp;cp=36.3555~43.192&amp;sp=point.36.3555_43.192","Maplink3")</f>
        <v>Maplink3</v>
      </c>
      <c r="AZ2043" s="76"/>
    </row>
    <row r="2044" spans="1:52" x14ac:dyDescent="0.25">
      <c r="A2044" s="86">
        <v>21647</v>
      </c>
      <c r="B2044" s="87" t="s">
        <v>24</v>
      </c>
      <c r="C2044" s="87" t="s">
        <v>3781</v>
      </c>
      <c r="D2044" s="87" t="s">
        <v>209</v>
      </c>
      <c r="E2044" s="87" t="s">
        <v>1353</v>
      </c>
      <c r="F2044" s="87">
        <v>36.383555315000002</v>
      </c>
      <c r="G2044" s="87">
        <v>43.208395911499998</v>
      </c>
      <c r="H2044" s="86">
        <v>529</v>
      </c>
      <c r="I2044" s="86">
        <v>3174</v>
      </c>
      <c r="J2044" s="87"/>
      <c r="K2044" s="87"/>
      <c r="L2044" s="87"/>
      <c r="M2044" s="87"/>
      <c r="N2044" s="87"/>
      <c r="O2044" s="87"/>
      <c r="P2044" s="87"/>
      <c r="Q2044" s="87"/>
      <c r="R2044" s="87"/>
      <c r="S2044" s="87"/>
      <c r="T2044" s="87"/>
      <c r="U2044" s="87"/>
      <c r="V2044" s="87">
        <v>529</v>
      </c>
      <c r="W2044" s="87"/>
      <c r="X2044" s="87"/>
      <c r="Y2044" s="87"/>
      <c r="Z2044" s="87"/>
      <c r="AA2044" s="87"/>
      <c r="AB2044" s="87"/>
      <c r="AC2044" s="87">
        <v>116</v>
      </c>
      <c r="AD2044" s="87"/>
      <c r="AE2044" s="87"/>
      <c r="AF2044" s="87"/>
      <c r="AG2044" s="87"/>
      <c r="AH2044" s="87">
        <v>401</v>
      </c>
      <c r="AI2044" s="87"/>
      <c r="AJ2044" s="87"/>
      <c r="AK2044" s="87">
        <v>12</v>
      </c>
      <c r="AL2044" s="87"/>
      <c r="AM2044" s="87"/>
      <c r="AN2044" s="87"/>
      <c r="AO2044" s="87"/>
      <c r="AP2044" s="87">
        <v>176</v>
      </c>
      <c r="AQ2044" s="87"/>
      <c r="AR2044" s="87"/>
      <c r="AS2044" s="87"/>
      <c r="AT2044" s="87">
        <v>353</v>
      </c>
      <c r="AU2044" s="87"/>
      <c r="AV2044" s="87"/>
      <c r="AW2044" s="88" t="str">
        <f>HYPERLINK("http://www.openstreetmap.org/?mlat=36.3836&amp;mlon=43.2084&amp;zoom=12#map=12/36.3836/43.2084","Maplink1")</f>
        <v>Maplink1</v>
      </c>
      <c r="AX2044" s="88" t="str">
        <f>HYPERLINK("https://www.google.iq/maps/search/+36.3836,43.2084/@36.3836,43.2084,14z?hl=en","Maplink2")</f>
        <v>Maplink2</v>
      </c>
      <c r="AY2044" s="88" t="str">
        <f>HYPERLINK("http://www.bing.com/maps/?lvl=14&amp;sty=h&amp;cp=36.3836~43.2084&amp;sp=point.36.3836_43.2084","Maplink3")</f>
        <v>Maplink3</v>
      </c>
      <c r="AZ2044" s="76"/>
    </row>
    <row r="2045" spans="1:52" x14ac:dyDescent="0.25">
      <c r="A2045" s="86">
        <v>18362</v>
      </c>
      <c r="B2045" s="87" t="s">
        <v>24</v>
      </c>
      <c r="C2045" s="87" t="s">
        <v>3781</v>
      </c>
      <c r="D2045" s="87" t="s">
        <v>3942</v>
      </c>
      <c r="E2045" s="87" t="s">
        <v>2437</v>
      </c>
      <c r="F2045" s="87">
        <v>36.3670746317</v>
      </c>
      <c r="G2045" s="87">
        <v>43.205621157800003</v>
      </c>
      <c r="H2045" s="86">
        <v>148</v>
      </c>
      <c r="I2045" s="86">
        <v>888</v>
      </c>
      <c r="J2045" s="87"/>
      <c r="K2045" s="87"/>
      <c r="L2045" s="87"/>
      <c r="M2045" s="87"/>
      <c r="N2045" s="87"/>
      <c r="O2045" s="87"/>
      <c r="P2045" s="87"/>
      <c r="Q2045" s="87"/>
      <c r="R2045" s="87"/>
      <c r="S2045" s="87"/>
      <c r="T2045" s="87"/>
      <c r="U2045" s="87"/>
      <c r="V2045" s="87">
        <v>148</v>
      </c>
      <c r="W2045" s="87"/>
      <c r="X2045" s="87"/>
      <c r="Y2045" s="87"/>
      <c r="Z2045" s="87"/>
      <c r="AA2045" s="87"/>
      <c r="AB2045" s="87"/>
      <c r="AC2045" s="87">
        <v>40</v>
      </c>
      <c r="AD2045" s="87"/>
      <c r="AE2045" s="87"/>
      <c r="AF2045" s="87"/>
      <c r="AG2045" s="87"/>
      <c r="AH2045" s="87">
        <v>108</v>
      </c>
      <c r="AI2045" s="87"/>
      <c r="AJ2045" s="87"/>
      <c r="AK2045" s="87"/>
      <c r="AL2045" s="87"/>
      <c r="AM2045" s="87"/>
      <c r="AN2045" s="87"/>
      <c r="AO2045" s="87"/>
      <c r="AP2045" s="87">
        <v>25</v>
      </c>
      <c r="AQ2045" s="87"/>
      <c r="AR2045" s="87"/>
      <c r="AS2045" s="87"/>
      <c r="AT2045" s="87">
        <v>123</v>
      </c>
      <c r="AU2045" s="87"/>
      <c r="AV2045" s="87"/>
      <c r="AW2045" s="88" t="str">
        <f>HYPERLINK("http://www.openstreetmap.org/?mlat=36.3671&amp;mlon=43.2056&amp;zoom=12#map=12/36.3671/43.2056","Maplink1")</f>
        <v>Maplink1</v>
      </c>
      <c r="AX2045" s="88" t="str">
        <f>HYPERLINK("https://www.google.iq/maps/search/+36.3671,43.2056/@36.3671,43.2056,14z?hl=en","Maplink2")</f>
        <v>Maplink2</v>
      </c>
      <c r="AY2045" s="88" t="str">
        <f>HYPERLINK("http://www.bing.com/maps/?lvl=14&amp;sty=h&amp;cp=36.3671~43.2056&amp;sp=point.36.3671_43.2056","Maplink3")</f>
        <v>Maplink3</v>
      </c>
      <c r="AZ2045" s="76"/>
    </row>
    <row r="2046" spans="1:52" x14ac:dyDescent="0.25">
      <c r="A2046" s="86">
        <v>18392</v>
      </c>
      <c r="B2046" s="87" t="s">
        <v>24</v>
      </c>
      <c r="C2046" s="87" t="s">
        <v>3781</v>
      </c>
      <c r="D2046" s="87" t="s">
        <v>3943</v>
      </c>
      <c r="E2046" s="87" t="s">
        <v>3944</v>
      </c>
      <c r="F2046" s="87">
        <v>36.388809999999999</v>
      </c>
      <c r="G2046" s="87">
        <v>43.186221403200001</v>
      </c>
      <c r="H2046" s="86">
        <v>38</v>
      </c>
      <c r="I2046" s="86">
        <v>228</v>
      </c>
      <c r="J2046" s="87"/>
      <c r="K2046" s="87"/>
      <c r="L2046" s="87"/>
      <c r="M2046" s="87"/>
      <c r="N2046" s="87"/>
      <c r="O2046" s="87"/>
      <c r="P2046" s="87"/>
      <c r="Q2046" s="87"/>
      <c r="R2046" s="87"/>
      <c r="S2046" s="87"/>
      <c r="T2046" s="87"/>
      <c r="U2046" s="87"/>
      <c r="V2046" s="87">
        <v>38</v>
      </c>
      <c r="W2046" s="87"/>
      <c r="X2046" s="87"/>
      <c r="Y2046" s="87"/>
      <c r="Z2046" s="87"/>
      <c r="AA2046" s="87"/>
      <c r="AB2046" s="87"/>
      <c r="AC2046" s="87">
        <v>3</v>
      </c>
      <c r="AD2046" s="87"/>
      <c r="AE2046" s="87"/>
      <c r="AF2046" s="87"/>
      <c r="AG2046" s="87"/>
      <c r="AH2046" s="87">
        <v>35</v>
      </c>
      <c r="AI2046" s="87"/>
      <c r="AJ2046" s="87"/>
      <c r="AK2046" s="87"/>
      <c r="AL2046" s="87"/>
      <c r="AM2046" s="87"/>
      <c r="AN2046" s="87"/>
      <c r="AO2046" s="87"/>
      <c r="AP2046" s="87">
        <v>11</v>
      </c>
      <c r="AQ2046" s="87"/>
      <c r="AR2046" s="87"/>
      <c r="AS2046" s="87"/>
      <c r="AT2046" s="87">
        <v>27</v>
      </c>
      <c r="AU2046" s="87"/>
      <c r="AV2046" s="87"/>
      <c r="AW2046" s="88" t="str">
        <f>HYPERLINK("http://www.openstreetmap.org/?mlat=36.3888&amp;mlon=43.1862&amp;zoom=12#map=12/36.3888/43.1862","Maplink1")</f>
        <v>Maplink1</v>
      </c>
      <c r="AX2046" s="88" t="str">
        <f>HYPERLINK("https://www.google.iq/maps/search/+36.3888,43.1862/@36.3888,43.1862,14z?hl=en","Maplink2")</f>
        <v>Maplink2</v>
      </c>
      <c r="AY2046" s="88" t="str">
        <f>HYPERLINK("http://www.bing.com/maps/?lvl=14&amp;sty=h&amp;cp=36.3888~43.1862&amp;sp=point.36.3888_43.1862","Maplink3")</f>
        <v>Maplink3</v>
      </c>
      <c r="AZ2046" s="76"/>
    </row>
    <row r="2047" spans="1:52" x14ac:dyDescent="0.25">
      <c r="A2047" s="86">
        <v>18321</v>
      </c>
      <c r="B2047" s="87" t="s">
        <v>24</v>
      </c>
      <c r="C2047" s="87" t="s">
        <v>3781</v>
      </c>
      <c r="D2047" s="87" t="s">
        <v>3945</v>
      </c>
      <c r="E2047" s="87" t="s">
        <v>3946</v>
      </c>
      <c r="F2047" s="87">
        <v>36.342420737700003</v>
      </c>
      <c r="G2047" s="87">
        <v>43.159211044099997</v>
      </c>
      <c r="H2047" s="86">
        <v>35</v>
      </c>
      <c r="I2047" s="86">
        <v>210</v>
      </c>
      <c r="J2047" s="87"/>
      <c r="K2047" s="87"/>
      <c r="L2047" s="87"/>
      <c r="M2047" s="87"/>
      <c r="N2047" s="87"/>
      <c r="O2047" s="87"/>
      <c r="P2047" s="87"/>
      <c r="Q2047" s="87"/>
      <c r="R2047" s="87"/>
      <c r="S2047" s="87"/>
      <c r="T2047" s="87"/>
      <c r="U2047" s="87"/>
      <c r="V2047" s="87">
        <v>35</v>
      </c>
      <c r="W2047" s="87"/>
      <c r="X2047" s="87"/>
      <c r="Y2047" s="87"/>
      <c r="Z2047" s="87"/>
      <c r="AA2047" s="87"/>
      <c r="AB2047" s="87"/>
      <c r="AC2047" s="87"/>
      <c r="AD2047" s="87"/>
      <c r="AE2047" s="87"/>
      <c r="AF2047" s="87"/>
      <c r="AG2047" s="87"/>
      <c r="AH2047" s="87">
        <v>35</v>
      </c>
      <c r="AI2047" s="87"/>
      <c r="AJ2047" s="87"/>
      <c r="AK2047" s="87"/>
      <c r="AL2047" s="87"/>
      <c r="AM2047" s="87"/>
      <c r="AN2047" s="87"/>
      <c r="AO2047" s="87"/>
      <c r="AP2047" s="87"/>
      <c r="AQ2047" s="87"/>
      <c r="AR2047" s="87"/>
      <c r="AS2047" s="87"/>
      <c r="AT2047" s="87">
        <v>35</v>
      </c>
      <c r="AU2047" s="87"/>
      <c r="AV2047" s="87"/>
      <c r="AW2047" s="88" t="str">
        <f>HYPERLINK("http://www.openstreetmap.org/?mlat=36.3424&amp;mlon=43.1592&amp;zoom=12#map=12/36.3424/43.1592","Maplink1")</f>
        <v>Maplink1</v>
      </c>
      <c r="AX2047" s="88" t="str">
        <f>HYPERLINK("https://www.google.iq/maps/search/+36.3424,43.1592/@36.3424,43.1592,14z?hl=en","Maplink2")</f>
        <v>Maplink2</v>
      </c>
      <c r="AY2047" s="88" t="str">
        <f>HYPERLINK("http://www.bing.com/maps/?lvl=14&amp;sty=h&amp;cp=36.3424~43.1592&amp;sp=point.36.3424_43.1592","Maplink3")</f>
        <v>Maplink3</v>
      </c>
      <c r="AZ2047" s="76"/>
    </row>
    <row r="2048" spans="1:52" x14ac:dyDescent="0.25">
      <c r="A2048" s="86">
        <v>20998</v>
      </c>
      <c r="B2048" s="87" t="s">
        <v>24</v>
      </c>
      <c r="C2048" s="87" t="s">
        <v>3781</v>
      </c>
      <c r="D2048" s="87" t="s">
        <v>3947</v>
      </c>
      <c r="E2048" s="87" t="s">
        <v>3948</v>
      </c>
      <c r="F2048" s="87">
        <v>36.361109440900002</v>
      </c>
      <c r="G2048" s="87">
        <v>43.193008967899999</v>
      </c>
      <c r="H2048" s="86">
        <v>376</v>
      </c>
      <c r="I2048" s="86">
        <v>2256</v>
      </c>
      <c r="J2048" s="87"/>
      <c r="K2048" s="87"/>
      <c r="L2048" s="87"/>
      <c r="M2048" s="87"/>
      <c r="N2048" s="87"/>
      <c r="O2048" s="87"/>
      <c r="P2048" s="87"/>
      <c r="Q2048" s="87"/>
      <c r="R2048" s="87"/>
      <c r="S2048" s="87"/>
      <c r="T2048" s="87"/>
      <c r="U2048" s="87"/>
      <c r="V2048" s="87">
        <v>376</v>
      </c>
      <c r="W2048" s="87"/>
      <c r="X2048" s="87"/>
      <c r="Y2048" s="87"/>
      <c r="Z2048" s="87"/>
      <c r="AA2048" s="87"/>
      <c r="AB2048" s="87"/>
      <c r="AC2048" s="87">
        <v>56</v>
      </c>
      <c r="AD2048" s="87"/>
      <c r="AE2048" s="87"/>
      <c r="AF2048" s="87"/>
      <c r="AG2048" s="87"/>
      <c r="AH2048" s="87">
        <v>320</v>
      </c>
      <c r="AI2048" s="87"/>
      <c r="AJ2048" s="87"/>
      <c r="AK2048" s="87"/>
      <c r="AL2048" s="87"/>
      <c r="AM2048" s="87"/>
      <c r="AN2048" s="87"/>
      <c r="AO2048" s="87"/>
      <c r="AP2048" s="87">
        <v>56</v>
      </c>
      <c r="AQ2048" s="87"/>
      <c r="AR2048" s="87"/>
      <c r="AS2048" s="87"/>
      <c r="AT2048" s="87">
        <v>320</v>
      </c>
      <c r="AU2048" s="87"/>
      <c r="AV2048" s="87"/>
      <c r="AW2048" s="88" t="str">
        <f>HYPERLINK("http://www.openstreetmap.org/?mlat=36.3611&amp;mlon=43.193&amp;zoom=12#map=12/36.3611/43.193","Maplink1")</f>
        <v>Maplink1</v>
      </c>
      <c r="AX2048" s="88" t="str">
        <f>HYPERLINK("https://www.google.iq/maps/search/+36.3611,43.193/@36.3611,43.193,14z?hl=en","Maplink2")</f>
        <v>Maplink2</v>
      </c>
      <c r="AY2048" s="88" t="str">
        <f>HYPERLINK("http://www.bing.com/maps/?lvl=14&amp;sty=h&amp;cp=36.3611~43.193&amp;sp=point.36.3611_43.193","Maplink3")</f>
        <v>Maplink3</v>
      </c>
      <c r="AZ2048" s="76"/>
    </row>
    <row r="2049" spans="1:52" x14ac:dyDescent="0.25">
      <c r="A2049" s="86">
        <v>18363</v>
      </c>
      <c r="B2049" s="87" t="s">
        <v>24</v>
      </c>
      <c r="C2049" s="87" t="s">
        <v>3781</v>
      </c>
      <c r="D2049" s="87" t="s">
        <v>3949</v>
      </c>
      <c r="E2049" s="87" t="s">
        <v>518</v>
      </c>
      <c r="F2049" s="87">
        <v>36.389431967900002</v>
      </c>
      <c r="G2049" s="87">
        <v>43.158693434600004</v>
      </c>
      <c r="H2049" s="86">
        <v>435</v>
      </c>
      <c r="I2049" s="86">
        <v>2610</v>
      </c>
      <c r="J2049" s="87"/>
      <c r="K2049" s="87"/>
      <c r="L2049" s="87"/>
      <c r="M2049" s="87"/>
      <c r="N2049" s="87"/>
      <c r="O2049" s="87"/>
      <c r="P2049" s="87"/>
      <c r="Q2049" s="87"/>
      <c r="R2049" s="87"/>
      <c r="S2049" s="87"/>
      <c r="T2049" s="87"/>
      <c r="U2049" s="87"/>
      <c r="V2049" s="87">
        <v>435</v>
      </c>
      <c r="W2049" s="87"/>
      <c r="X2049" s="87"/>
      <c r="Y2049" s="87"/>
      <c r="Z2049" s="87"/>
      <c r="AA2049" s="87"/>
      <c r="AB2049" s="87"/>
      <c r="AC2049" s="87">
        <v>30</v>
      </c>
      <c r="AD2049" s="87"/>
      <c r="AE2049" s="87"/>
      <c r="AF2049" s="87"/>
      <c r="AG2049" s="87"/>
      <c r="AH2049" s="87">
        <v>373</v>
      </c>
      <c r="AI2049" s="87"/>
      <c r="AJ2049" s="87">
        <v>11</v>
      </c>
      <c r="AK2049" s="87">
        <v>21</v>
      </c>
      <c r="AL2049" s="87"/>
      <c r="AM2049" s="87"/>
      <c r="AN2049" s="87"/>
      <c r="AO2049" s="87"/>
      <c r="AP2049" s="87">
        <v>120</v>
      </c>
      <c r="AQ2049" s="87"/>
      <c r="AR2049" s="87"/>
      <c r="AS2049" s="87"/>
      <c r="AT2049" s="87">
        <v>315</v>
      </c>
      <c r="AU2049" s="87"/>
      <c r="AV2049" s="87"/>
      <c r="AW2049" s="88" t="str">
        <f>HYPERLINK("http://www.openstreetmap.org/?mlat=36.3894&amp;mlon=43.1587&amp;zoom=12#map=12/36.3894/43.1587","Maplink1")</f>
        <v>Maplink1</v>
      </c>
      <c r="AX2049" s="88" t="str">
        <f>HYPERLINK("https://www.google.iq/maps/search/+36.3894,43.1587/@36.3894,43.1587,14z?hl=en","Maplink2")</f>
        <v>Maplink2</v>
      </c>
      <c r="AY2049" s="88" t="str">
        <f>HYPERLINK("http://www.bing.com/maps/?lvl=14&amp;sty=h&amp;cp=36.3894~43.1587&amp;sp=point.36.3894_43.1587","Maplink3")</f>
        <v>Maplink3</v>
      </c>
      <c r="AZ2049" s="76"/>
    </row>
    <row r="2050" spans="1:52" x14ac:dyDescent="0.25">
      <c r="A2050" s="86">
        <v>24635</v>
      </c>
      <c r="B2050" s="87" t="s">
        <v>24</v>
      </c>
      <c r="C2050" s="87" t="s">
        <v>3781</v>
      </c>
      <c r="D2050" s="87" t="s">
        <v>3950</v>
      </c>
      <c r="E2050" s="87" t="s">
        <v>3951</v>
      </c>
      <c r="F2050" s="87">
        <v>36.326249637700002</v>
      </c>
      <c r="G2050" s="87">
        <v>43.082678685499999</v>
      </c>
      <c r="H2050" s="86">
        <v>34</v>
      </c>
      <c r="I2050" s="86">
        <v>204</v>
      </c>
      <c r="J2050" s="87"/>
      <c r="K2050" s="87"/>
      <c r="L2050" s="87"/>
      <c r="M2050" s="87"/>
      <c r="N2050" s="87"/>
      <c r="O2050" s="87"/>
      <c r="P2050" s="87"/>
      <c r="Q2050" s="87"/>
      <c r="R2050" s="87"/>
      <c r="S2050" s="87"/>
      <c r="T2050" s="87"/>
      <c r="U2050" s="87"/>
      <c r="V2050" s="87">
        <v>34</v>
      </c>
      <c r="W2050" s="87"/>
      <c r="X2050" s="87"/>
      <c r="Y2050" s="87"/>
      <c r="Z2050" s="87"/>
      <c r="AA2050" s="87"/>
      <c r="AB2050" s="87"/>
      <c r="AC2050" s="87"/>
      <c r="AD2050" s="87"/>
      <c r="AE2050" s="87"/>
      <c r="AF2050" s="87"/>
      <c r="AG2050" s="87"/>
      <c r="AH2050" s="87">
        <v>14</v>
      </c>
      <c r="AI2050" s="87">
        <v>15</v>
      </c>
      <c r="AJ2050" s="87"/>
      <c r="AK2050" s="87">
        <v>5</v>
      </c>
      <c r="AL2050" s="87"/>
      <c r="AM2050" s="87"/>
      <c r="AN2050" s="87"/>
      <c r="AO2050" s="87"/>
      <c r="AP2050" s="87"/>
      <c r="AQ2050" s="87"/>
      <c r="AR2050" s="87">
        <v>30</v>
      </c>
      <c r="AS2050" s="87"/>
      <c r="AT2050" s="87">
        <v>4</v>
      </c>
      <c r="AU2050" s="87"/>
      <c r="AV2050" s="87"/>
      <c r="AW2050" s="88" t="str">
        <f>HYPERLINK("http://www.openstreetmap.org/?mlat=36.3262&amp;mlon=43.0827&amp;zoom=12#map=12/36.3262/43.0827","Maplink1")</f>
        <v>Maplink1</v>
      </c>
      <c r="AX2050" s="88" t="str">
        <f>HYPERLINK("https://www.google.iq/maps/search/+36.3262,43.0827/@36.3262,43.0827,14z?hl=en","Maplink2")</f>
        <v>Maplink2</v>
      </c>
      <c r="AY2050" s="88" t="str">
        <f>HYPERLINK("http://www.bing.com/maps/?lvl=14&amp;sty=h&amp;cp=36.3262~43.0827&amp;sp=point.36.3262_43.0827","Maplink3")</f>
        <v>Maplink3</v>
      </c>
      <c r="AZ2050" s="76"/>
    </row>
    <row r="2051" spans="1:52" x14ac:dyDescent="0.25">
      <c r="A2051" s="86">
        <v>21332</v>
      </c>
      <c r="B2051" s="87" t="s">
        <v>24</v>
      </c>
      <c r="C2051" s="87" t="s">
        <v>3781</v>
      </c>
      <c r="D2051" s="87" t="s">
        <v>3952</v>
      </c>
      <c r="E2051" s="87" t="s">
        <v>3953</v>
      </c>
      <c r="F2051" s="87">
        <v>36.3075092256</v>
      </c>
      <c r="G2051" s="87">
        <v>43.191032901900002</v>
      </c>
      <c r="H2051" s="86">
        <v>130</v>
      </c>
      <c r="I2051" s="86">
        <v>780</v>
      </c>
      <c r="J2051" s="87"/>
      <c r="K2051" s="87"/>
      <c r="L2051" s="87"/>
      <c r="M2051" s="87"/>
      <c r="N2051" s="87"/>
      <c r="O2051" s="87"/>
      <c r="P2051" s="87"/>
      <c r="Q2051" s="87"/>
      <c r="R2051" s="87"/>
      <c r="S2051" s="87"/>
      <c r="T2051" s="87"/>
      <c r="U2051" s="87"/>
      <c r="V2051" s="87">
        <v>130</v>
      </c>
      <c r="W2051" s="87"/>
      <c r="X2051" s="87"/>
      <c r="Y2051" s="87"/>
      <c r="Z2051" s="87"/>
      <c r="AA2051" s="87"/>
      <c r="AB2051" s="87"/>
      <c r="AC2051" s="87">
        <v>7</v>
      </c>
      <c r="AD2051" s="87"/>
      <c r="AE2051" s="87"/>
      <c r="AF2051" s="87"/>
      <c r="AG2051" s="87"/>
      <c r="AH2051" s="87">
        <v>123</v>
      </c>
      <c r="AI2051" s="87"/>
      <c r="AJ2051" s="87"/>
      <c r="AK2051" s="87"/>
      <c r="AL2051" s="87"/>
      <c r="AM2051" s="87"/>
      <c r="AN2051" s="87"/>
      <c r="AO2051" s="87"/>
      <c r="AP2051" s="87">
        <v>11</v>
      </c>
      <c r="AQ2051" s="87"/>
      <c r="AR2051" s="87"/>
      <c r="AS2051" s="87"/>
      <c r="AT2051" s="87">
        <v>119</v>
      </c>
      <c r="AU2051" s="87"/>
      <c r="AV2051" s="87"/>
      <c r="AW2051" s="88" t="str">
        <f>HYPERLINK("http://www.openstreetmap.org/?mlat=36.3075&amp;mlon=43.191&amp;zoom=12#map=12/36.3075/43.191","Maplink1")</f>
        <v>Maplink1</v>
      </c>
      <c r="AX2051" s="88" t="str">
        <f>HYPERLINK("https://www.google.iq/maps/search/+36.3075,43.191/@36.3075,43.191,14z?hl=en","Maplink2")</f>
        <v>Maplink2</v>
      </c>
      <c r="AY2051" s="88" t="str">
        <f>HYPERLINK("http://www.bing.com/maps/?lvl=14&amp;sty=h&amp;cp=36.3075~43.191&amp;sp=point.36.3075_43.191","Maplink3")</f>
        <v>Maplink3</v>
      </c>
      <c r="AZ2051" s="76"/>
    </row>
    <row r="2052" spans="1:52" x14ac:dyDescent="0.25">
      <c r="A2052" s="86">
        <v>33374</v>
      </c>
      <c r="B2052" s="87" t="s">
        <v>24</v>
      </c>
      <c r="C2052" s="87" t="s">
        <v>3781</v>
      </c>
      <c r="D2052" s="87" t="s">
        <v>3954</v>
      </c>
      <c r="E2052" s="87" t="s">
        <v>3955</v>
      </c>
      <c r="F2052" s="87">
        <v>36.36553</v>
      </c>
      <c r="G2052" s="87">
        <v>43.208373047599999</v>
      </c>
      <c r="H2052" s="86">
        <v>85</v>
      </c>
      <c r="I2052" s="86">
        <v>510</v>
      </c>
      <c r="J2052" s="87"/>
      <c r="K2052" s="87"/>
      <c r="L2052" s="87"/>
      <c r="M2052" s="87"/>
      <c r="N2052" s="87"/>
      <c r="O2052" s="87"/>
      <c r="P2052" s="87"/>
      <c r="Q2052" s="87"/>
      <c r="R2052" s="87"/>
      <c r="S2052" s="87"/>
      <c r="T2052" s="87"/>
      <c r="U2052" s="87"/>
      <c r="V2052" s="87">
        <v>85</v>
      </c>
      <c r="W2052" s="87"/>
      <c r="X2052" s="87"/>
      <c r="Y2052" s="87"/>
      <c r="Z2052" s="87"/>
      <c r="AA2052" s="87"/>
      <c r="AB2052" s="87"/>
      <c r="AC2052" s="87"/>
      <c r="AD2052" s="87"/>
      <c r="AE2052" s="87"/>
      <c r="AF2052" s="87"/>
      <c r="AG2052" s="87"/>
      <c r="AH2052" s="87">
        <v>85</v>
      </c>
      <c r="AI2052" s="87"/>
      <c r="AJ2052" s="87"/>
      <c r="AK2052" s="87"/>
      <c r="AL2052" s="87"/>
      <c r="AM2052" s="87"/>
      <c r="AN2052" s="87"/>
      <c r="AO2052" s="87"/>
      <c r="AP2052" s="87">
        <v>20</v>
      </c>
      <c r="AQ2052" s="87"/>
      <c r="AR2052" s="87"/>
      <c r="AS2052" s="87"/>
      <c r="AT2052" s="87">
        <v>65</v>
      </c>
      <c r="AU2052" s="87"/>
      <c r="AV2052" s="87"/>
      <c r="AW2052" s="88" t="str">
        <f>HYPERLINK("http://www.openstreetmap.org/?mlat=36.3655&amp;mlon=43.2084&amp;zoom=12#map=12/36.3655/43.2084","Maplink1")</f>
        <v>Maplink1</v>
      </c>
      <c r="AX2052" s="88" t="str">
        <f>HYPERLINK("https://www.google.iq/maps/search/+36.3655,43.2084/@36.3655,43.2084,14z?hl=en","Maplink2")</f>
        <v>Maplink2</v>
      </c>
      <c r="AY2052" s="88" t="str">
        <f>HYPERLINK("http://www.bing.com/maps/?lvl=14&amp;sty=h&amp;cp=36.3655~43.2084&amp;sp=point.36.3655_43.2084","Maplink3")</f>
        <v>Maplink3</v>
      </c>
      <c r="AZ2052" s="76"/>
    </row>
    <row r="2053" spans="1:52" x14ac:dyDescent="0.25">
      <c r="A2053" s="86">
        <v>21336</v>
      </c>
      <c r="B2053" s="87" t="s">
        <v>24</v>
      </c>
      <c r="C2053" s="87" t="s">
        <v>3781</v>
      </c>
      <c r="D2053" s="87" t="s">
        <v>3956</v>
      </c>
      <c r="E2053" s="87" t="s">
        <v>3957</v>
      </c>
      <c r="F2053" s="87">
        <v>36.298921345099998</v>
      </c>
      <c r="G2053" s="87">
        <v>43.192459444500003</v>
      </c>
      <c r="H2053" s="86">
        <v>321</v>
      </c>
      <c r="I2053" s="86">
        <v>1926</v>
      </c>
      <c r="J2053" s="87"/>
      <c r="K2053" s="87"/>
      <c r="L2053" s="87"/>
      <c r="M2053" s="87"/>
      <c r="N2053" s="87"/>
      <c r="O2053" s="87"/>
      <c r="P2053" s="87"/>
      <c r="Q2053" s="87"/>
      <c r="R2053" s="87"/>
      <c r="S2053" s="87"/>
      <c r="T2053" s="87"/>
      <c r="U2053" s="87"/>
      <c r="V2053" s="87">
        <v>321</v>
      </c>
      <c r="W2053" s="87"/>
      <c r="X2053" s="87"/>
      <c r="Y2053" s="87"/>
      <c r="Z2053" s="87"/>
      <c r="AA2053" s="87"/>
      <c r="AB2053" s="87"/>
      <c r="AC2053" s="87">
        <v>22</v>
      </c>
      <c r="AD2053" s="87"/>
      <c r="AE2053" s="87"/>
      <c r="AF2053" s="87"/>
      <c r="AG2053" s="87"/>
      <c r="AH2053" s="87">
        <v>297</v>
      </c>
      <c r="AI2053" s="87"/>
      <c r="AJ2053" s="87"/>
      <c r="AK2053" s="87">
        <v>2</v>
      </c>
      <c r="AL2053" s="87"/>
      <c r="AM2053" s="87"/>
      <c r="AN2053" s="87"/>
      <c r="AO2053" s="87"/>
      <c r="AP2053" s="87">
        <v>63</v>
      </c>
      <c r="AQ2053" s="87"/>
      <c r="AR2053" s="87"/>
      <c r="AS2053" s="87"/>
      <c r="AT2053" s="87">
        <v>258</v>
      </c>
      <c r="AU2053" s="87"/>
      <c r="AV2053" s="87"/>
      <c r="AW2053" s="88" t="str">
        <f>HYPERLINK("http://www.openstreetmap.org/?mlat=36.2989&amp;mlon=43.1925&amp;zoom=12#map=12/36.2989/43.1925","Maplink1")</f>
        <v>Maplink1</v>
      </c>
      <c r="AX2053" s="88" t="str">
        <f>HYPERLINK("https://www.google.iq/maps/search/+36.2989,43.1925/@36.2989,43.1925,14z?hl=en","Maplink2")</f>
        <v>Maplink2</v>
      </c>
      <c r="AY2053" s="88" t="str">
        <f>HYPERLINK("http://www.bing.com/maps/?lvl=14&amp;sty=h&amp;cp=36.2989~43.1925&amp;sp=point.36.2989_43.1925","Maplink3")</f>
        <v>Maplink3</v>
      </c>
      <c r="AZ2053" s="76"/>
    </row>
    <row r="2054" spans="1:52" x14ac:dyDescent="0.25">
      <c r="A2054" s="86">
        <v>32085</v>
      </c>
      <c r="B2054" s="87" t="s">
        <v>24</v>
      </c>
      <c r="C2054" s="87" t="s">
        <v>3781</v>
      </c>
      <c r="D2054" s="87" t="s">
        <v>3958</v>
      </c>
      <c r="E2054" s="87" t="s">
        <v>3959</v>
      </c>
      <c r="F2054" s="87">
        <v>35.6986844292</v>
      </c>
      <c r="G2054" s="87">
        <v>43.277284416999997</v>
      </c>
      <c r="H2054" s="86">
        <v>10</v>
      </c>
      <c r="I2054" s="86">
        <v>60</v>
      </c>
      <c r="J2054" s="87"/>
      <c r="K2054" s="87"/>
      <c r="L2054" s="87"/>
      <c r="M2054" s="87"/>
      <c r="N2054" s="87"/>
      <c r="O2054" s="87"/>
      <c r="P2054" s="87"/>
      <c r="Q2054" s="87"/>
      <c r="R2054" s="87"/>
      <c r="S2054" s="87"/>
      <c r="T2054" s="87"/>
      <c r="U2054" s="87"/>
      <c r="V2054" s="87">
        <v>10</v>
      </c>
      <c r="W2054" s="87"/>
      <c r="X2054" s="87"/>
      <c r="Y2054" s="87"/>
      <c r="Z2054" s="87"/>
      <c r="AA2054" s="87"/>
      <c r="AB2054" s="87"/>
      <c r="AC2054" s="87"/>
      <c r="AD2054" s="87"/>
      <c r="AE2054" s="87"/>
      <c r="AF2054" s="87"/>
      <c r="AG2054" s="87"/>
      <c r="AH2054" s="87">
        <v>10</v>
      </c>
      <c r="AI2054" s="87"/>
      <c r="AJ2054" s="87"/>
      <c r="AK2054" s="87"/>
      <c r="AL2054" s="87"/>
      <c r="AM2054" s="87"/>
      <c r="AN2054" s="87"/>
      <c r="AO2054" s="87"/>
      <c r="AP2054" s="87"/>
      <c r="AQ2054" s="87"/>
      <c r="AR2054" s="87"/>
      <c r="AS2054" s="87"/>
      <c r="AT2054" s="87"/>
      <c r="AU2054" s="87">
        <v>10</v>
      </c>
      <c r="AV2054" s="87"/>
      <c r="AW2054" s="88" t="str">
        <f>HYPERLINK("http://www.openstreetmap.org/?mlat=35.6987&amp;mlon=43.2773&amp;zoom=12#map=12/35.6987/43.2773","Maplink1")</f>
        <v>Maplink1</v>
      </c>
      <c r="AX2054" s="88" t="str">
        <f>HYPERLINK("https://www.google.iq/maps/search/+35.6987,43.2773/@35.6987,43.2773,14z?hl=en","Maplink2")</f>
        <v>Maplink2</v>
      </c>
      <c r="AY2054" s="88" t="str">
        <f>HYPERLINK("http://www.bing.com/maps/?lvl=14&amp;sty=h&amp;cp=35.6987~43.2773&amp;sp=point.35.6987_43.2773","Maplink3")</f>
        <v>Maplink3</v>
      </c>
      <c r="AZ2054" s="76"/>
    </row>
    <row r="2055" spans="1:52" x14ac:dyDescent="0.25">
      <c r="A2055" s="86">
        <v>31771</v>
      </c>
      <c r="B2055" s="87" t="s">
        <v>24</v>
      </c>
      <c r="C2055" s="87" t="s">
        <v>3781</v>
      </c>
      <c r="D2055" s="87" t="s">
        <v>3960</v>
      </c>
      <c r="E2055" s="87" t="s">
        <v>3961</v>
      </c>
      <c r="F2055" s="87">
        <v>36.2388883514</v>
      </c>
      <c r="G2055" s="87">
        <v>43.178232075300002</v>
      </c>
      <c r="H2055" s="86">
        <v>5</v>
      </c>
      <c r="I2055" s="86">
        <v>30</v>
      </c>
      <c r="J2055" s="87"/>
      <c r="K2055" s="87"/>
      <c r="L2055" s="87"/>
      <c r="M2055" s="87"/>
      <c r="N2055" s="87"/>
      <c r="O2055" s="87"/>
      <c r="P2055" s="87"/>
      <c r="Q2055" s="87"/>
      <c r="R2055" s="87"/>
      <c r="S2055" s="87"/>
      <c r="T2055" s="87"/>
      <c r="U2055" s="87"/>
      <c r="V2055" s="87">
        <v>5</v>
      </c>
      <c r="W2055" s="87"/>
      <c r="X2055" s="87"/>
      <c r="Y2055" s="87"/>
      <c r="Z2055" s="87"/>
      <c r="AA2055" s="87"/>
      <c r="AB2055" s="87"/>
      <c r="AC2055" s="87"/>
      <c r="AD2055" s="87"/>
      <c r="AE2055" s="87"/>
      <c r="AF2055" s="87"/>
      <c r="AG2055" s="87"/>
      <c r="AH2055" s="87">
        <v>5</v>
      </c>
      <c r="AI2055" s="87"/>
      <c r="AJ2055" s="87"/>
      <c r="AK2055" s="87"/>
      <c r="AL2055" s="87"/>
      <c r="AM2055" s="87"/>
      <c r="AN2055" s="87"/>
      <c r="AO2055" s="87"/>
      <c r="AP2055" s="87"/>
      <c r="AQ2055" s="87"/>
      <c r="AR2055" s="87"/>
      <c r="AS2055" s="87"/>
      <c r="AT2055" s="87">
        <v>5</v>
      </c>
      <c r="AU2055" s="87"/>
      <c r="AV2055" s="87"/>
      <c r="AW2055" s="88" t="str">
        <f>HYPERLINK("http://www.openstreetmap.org/?mlat=36.2389&amp;mlon=43.1782&amp;zoom=12#map=12/36.2389/43.1782","Maplink1")</f>
        <v>Maplink1</v>
      </c>
      <c r="AX2055" s="88" t="str">
        <f>HYPERLINK("https://www.google.iq/maps/search/+36.2389,43.1782/@36.2389,43.1782,14z?hl=en","Maplink2")</f>
        <v>Maplink2</v>
      </c>
      <c r="AY2055" s="88" t="str">
        <f>HYPERLINK("http://www.bing.com/maps/?lvl=14&amp;sty=h&amp;cp=36.2389~43.1782&amp;sp=point.36.2389_43.1782","Maplink3")</f>
        <v>Maplink3</v>
      </c>
      <c r="AZ2055" s="76"/>
    </row>
    <row r="2056" spans="1:52" x14ac:dyDescent="0.25">
      <c r="A2056" s="86">
        <v>18376</v>
      </c>
      <c r="B2056" s="87" t="s">
        <v>24</v>
      </c>
      <c r="C2056" s="87" t="s">
        <v>3781</v>
      </c>
      <c r="D2056" s="87" t="s">
        <v>3962</v>
      </c>
      <c r="E2056" s="87" t="s">
        <v>3963</v>
      </c>
      <c r="F2056" s="87">
        <v>36.358913579800003</v>
      </c>
      <c r="G2056" s="87">
        <v>43.253155303900002</v>
      </c>
      <c r="H2056" s="86">
        <v>270</v>
      </c>
      <c r="I2056" s="86">
        <v>1620</v>
      </c>
      <c r="J2056" s="87"/>
      <c r="K2056" s="87"/>
      <c r="L2056" s="87"/>
      <c r="M2056" s="87"/>
      <c r="N2056" s="87"/>
      <c r="O2056" s="87"/>
      <c r="P2056" s="87"/>
      <c r="Q2056" s="87"/>
      <c r="R2056" s="87"/>
      <c r="S2056" s="87"/>
      <c r="T2056" s="87"/>
      <c r="U2056" s="87"/>
      <c r="V2056" s="87">
        <v>270</v>
      </c>
      <c r="W2056" s="87"/>
      <c r="X2056" s="87"/>
      <c r="Y2056" s="87"/>
      <c r="Z2056" s="87"/>
      <c r="AA2056" s="87"/>
      <c r="AB2056" s="87"/>
      <c r="AC2056" s="87">
        <v>200</v>
      </c>
      <c r="AD2056" s="87"/>
      <c r="AE2056" s="87"/>
      <c r="AF2056" s="87"/>
      <c r="AG2056" s="87"/>
      <c r="AH2056" s="87">
        <v>70</v>
      </c>
      <c r="AI2056" s="87"/>
      <c r="AJ2056" s="87"/>
      <c r="AK2056" s="87"/>
      <c r="AL2056" s="87"/>
      <c r="AM2056" s="87"/>
      <c r="AN2056" s="87"/>
      <c r="AO2056" s="87"/>
      <c r="AP2056" s="87"/>
      <c r="AQ2056" s="87"/>
      <c r="AR2056" s="87"/>
      <c r="AS2056" s="87"/>
      <c r="AT2056" s="87">
        <v>270</v>
      </c>
      <c r="AU2056" s="87"/>
      <c r="AV2056" s="87"/>
      <c r="AW2056" s="88" t="str">
        <f>HYPERLINK("http://www.openstreetmap.org/?mlat=36.3589&amp;mlon=43.2532&amp;zoom=12#map=12/36.3589/43.2532","Maplink1")</f>
        <v>Maplink1</v>
      </c>
      <c r="AX2056" s="88" t="str">
        <f>HYPERLINK("https://www.google.iq/maps/search/+36.3589,43.2532/@36.3589,43.2532,14z?hl=en","Maplink2")</f>
        <v>Maplink2</v>
      </c>
      <c r="AY2056" s="88" t="str">
        <f>HYPERLINK("http://www.bing.com/maps/?lvl=14&amp;sty=h&amp;cp=36.3589~43.2532&amp;sp=point.36.3589_43.2532","Maplink3")</f>
        <v>Maplink3</v>
      </c>
      <c r="AZ2056" s="76"/>
    </row>
    <row r="2057" spans="1:52" x14ac:dyDescent="0.25">
      <c r="A2057" s="86">
        <v>17471</v>
      </c>
      <c r="B2057" s="87" t="s">
        <v>24</v>
      </c>
      <c r="C2057" s="87" t="s">
        <v>3781</v>
      </c>
      <c r="D2057" s="87" t="s">
        <v>3964</v>
      </c>
      <c r="E2057" s="87" t="s">
        <v>3965</v>
      </c>
      <c r="F2057" s="87">
        <v>36.332734849200001</v>
      </c>
      <c r="G2057" s="87">
        <v>43.1068692128</v>
      </c>
      <c r="H2057" s="86">
        <v>114</v>
      </c>
      <c r="I2057" s="86">
        <v>684</v>
      </c>
      <c r="J2057" s="87"/>
      <c r="K2057" s="87"/>
      <c r="L2057" s="87"/>
      <c r="M2057" s="87"/>
      <c r="N2057" s="87"/>
      <c r="O2057" s="87"/>
      <c r="P2057" s="87"/>
      <c r="Q2057" s="87"/>
      <c r="R2057" s="87"/>
      <c r="S2057" s="87"/>
      <c r="T2057" s="87"/>
      <c r="U2057" s="87"/>
      <c r="V2057" s="87">
        <v>114</v>
      </c>
      <c r="W2057" s="87"/>
      <c r="X2057" s="87"/>
      <c r="Y2057" s="87"/>
      <c r="Z2057" s="87"/>
      <c r="AA2057" s="87"/>
      <c r="AB2057" s="87"/>
      <c r="AC2057" s="87"/>
      <c r="AD2057" s="87"/>
      <c r="AE2057" s="87"/>
      <c r="AF2057" s="87"/>
      <c r="AG2057" s="87"/>
      <c r="AH2057" s="87">
        <v>95</v>
      </c>
      <c r="AI2057" s="87">
        <v>19</v>
      </c>
      <c r="AJ2057" s="87"/>
      <c r="AK2057" s="87"/>
      <c r="AL2057" s="87"/>
      <c r="AM2057" s="87"/>
      <c r="AN2057" s="87"/>
      <c r="AO2057" s="87"/>
      <c r="AP2057" s="87"/>
      <c r="AQ2057" s="87"/>
      <c r="AR2057" s="87">
        <v>30</v>
      </c>
      <c r="AS2057" s="87"/>
      <c r="AT2057" s="87">
        <v>84</v>
      </c>
      <c r="AU2057" s="87"/>
      <c r="AV2057" s="87"/>
      <c r="AW2057" s="88" t="str">
        <f>HYPERLINK("http://www.openstreetmap.org/?mlat=36.3327&amp;mlon=43.1069&amp;zoom=12#map=12/36.3327/43.1069","Maplink1")</f>
        <v>Maplink1</v>
      </c>
      <c r="AX2057" s="88" t="str">
        <f>HYPERLINK("https://www.google.iq/maps/search/+36.3327,43.1069/@36.3327,43.1069,14z?hl=en","Maplink2")</f>
        <v>Maplink2</v>
      </c>
      <c r="AY2057" s="88" t="str">
        <f>HYPERLINK("http://www.bing.com/maps/?lvl=14&amp;sty=h&amp;cp=36.3327~43.1069&amp;sp=point.36.3327_43.1069","Maplink3")</f>
        <v>Maplink3</v>
      </c>
      <c r="AZ2057" s="76"/>
    </row>
    <row r="2058" spans="1:52" x14ac:dyDescent="0.25">
      <c r="A2058" s="86">
        <v>33254</v>
      </c>
      <c r="B2058" s="87" t="s">
        <v>24</v>
      </c>
      <c r="C2058" s="87" t="s">
        <v>3781</v>
      </c>
      <c r="D2058" s="87" t="s">
        <v>3966</v>
      </c>
      <c r="E2058" s="87" t="s">
        <v>3967</v>
      </c>
      <c r="F2058" s="87">
        <v>36.378503539</v>
      </c>
      <c r="G2058" s="87">
        <v>43.077615410500002</v>
      </c>
      <c r="H2058" s="86">
        <v>125</v>
      </c>
      <c r="I2058" s="86">
        <v>750</v>
      </c>
      <c r="J2058" s="87"/>
      <c r="K2058" s="87"/>
      <c r="L2058" s="87"/>
      <c r="M2058" s="87"/>
      <c r="N2058" s="87"/>
      <c r="O2058" s="87"/>
      <c r="P2058" s="87"/>
      <c r="Q2058" s="87"/>
      <c r="R2058" s="87"/>
      <c r="S2058" s="87"/>
      <c r="T2058" s="87"/>
      <c r="U2058" s="87"/>
      <c r="V2058" s="87">
        <v>125</v>
      </c>
      <c r="W2058" s="87"/>
      <c r="X2058" s="87"/>
      <c r="Y2058" s="87"/>
      <c r="Z2058" s="87"/>
      <c r="AA2058" s="87"/>
      <c r="AB2058" s="87"/>
      <c r="AC2058" s="87"/>
      <c r="AD2058" s="87"/>
      <c r="AE2058" s="87"/>
      <c r="AF2058" s="87"/>
      <c r="AG2058" s="87"/>
      <c r="AH2058" s="87">
        <v>125</v>
      </c>
      <c r="AI2058" s="87"/>
      <c r="AJ2058" s="87"/>
      <c r="AK2058" s="87"/>
      <c r="AL2058" s="87"/>
      <c r="AM2058" s="87"/>
      <c r="AN2058" s="87"/>
      <c r="AO2058" s="87"/>
      <c r="AP2058" s="87"/>
      <c r="AQ2058" s="87"/>
      <c r="AR2058" s="87">
        <v>30</v>
      </c>
      <c r="AS2058" s="87"/>
      <c r="AT2058" s="87">
        <v>95</v>
      </c>
      <c r="AU2058" s="87"/>
      <c r="AV2058" s="87"/>
      <c r="AW2058" s="88" t="str">
        <f>HYPERLINK("http://www.openstreetmap.org/?mlat=36.3785&amp;mlon=43.0776&amp;zoom=12#map=12/36.3785/43.0776","Maplink1")</f>
        <v>Maplink1</v>
      </c>
      <c r="AX2058" s="88" t="str">
        <f>HYPERLINK("https://www.google.iq/maps/search/+36.3785,43.0776/@36.3785,43.0776,14z?hl=en","Maplink2")</f>
        <v>Maplink2</v>
      </c>
      <c r="AY2058" s="88" t="str">
        <f>HYPERLINK("http://www.bing.com/maps/?lvl=14&amp;sty=h&amp;cp=36.3785~43.0776&amp;sp=point.36.3785_43.0776","Maplink3")</f>
        <v>Maplink3</v>
      </c>
      <c r="AZ2058" s="76"/>
    </row>
    <row r="2059" spans="1:52" x14ac:dyDescent="0.25">
      <c r="A2059" s="86">
        <v>33257</v>
      </c>
      <c r="B2059" s="87" t="s">
        <v>24</v>
      </c>
      <c r="C2059" s="87" t="s">
        <v>3781</v>
      </c>
      <c r="D2059" s="87" t="s">
        <v>3968</v>
      </c>
      <c r="E2059" s="87" t="s">
        <v>3969</v>
      </c>
      <c r="F2059" s="87">
        <v>36.378836712599998</v>
      </c>
      <c r="G2059" s="87">
        <v>43.0738049805</v>
      </c>
      <c r="H2059" s="86">
        <v>67</v>
      </c>
      <c r="I2059" s="86">
        <v>402</v>
      </c>
      <c r="J2059" s="87"/>
      <c r="K2059" s="87"/>
      <c r="L2059" s="87"/>
      <c r="M2059" s="87"/>
      <c r="N2059" s="87"/>
      <c r="O2059" s="87"/>
      <c r="P2059" s="87"/>
      <c r="Q2059" s="87"/>
      <c r="R2059" s="87"/>
      <c r="S2059" s="87"/>
      <c r="T2059" s="87"/>
      <c r="U2059" s="87"/>
      <c r="V2059" s="87">
        <v>67</v>
      </c>
      <c r="W2059" s="87"/>
      <c r="X2059" s="87"/>
      <c r="Y2059" s="87"/>
      <c r="Z2059" s="87"/>
      <c r="AA2059" s="87"/>
      <c r="AB2059" s="87"/>
      <c r="AC2059" s="87"/>
      <c r="AD2059" s="87"/>
      <c r="AE2059" s="87"/>
      <c r="AF2059" s="87"/>
      <c r="AG2059" s="87"/>
      <c r="AH2059" s="87">
        <v>67</v>
      </c>
      <c r="AI2059" s="87"/>
      <c r="AJ2059" s="87"/>
      <c r="AK2059" s="87"/>
      <c r="AL2059" s="87"/>
      <c r="AM2059" s="87"/>
      <c r="AN2059" s="87"/>
      <c r="AO2059" s="87"/>
      <c r="AP2059" s="87"/>
      <c r="AQ2059" s="87"/>
      <c r="AR2059" s="87">
        <v>15</v>
      </c>
      <c r="AS2059" s="87"/>
      <c r="AT2059" s="87">
        <v>52</v>
      </c>
      <c r="AU2059" s="87"/>
      <c r="AV2059" s="87"/>
      <c r="AW2059" s="88" t="str">
        <f>HYPERLINK("http://www.openstreetmap.org/?mlat=36.3788&amp;mlon=43.0738&amp;zoom=12#map=12/36.3788/43.0738","Maplink1")</f>
        <v>Maplink1</v>
      </c>
      <c r="AX2059" s="88" t="str">
        <f>HYPERLINK("https://www.google.iq/maps/search/+36.3788,43.0738/@36.3788,43.0738,14z?hl=en","Maplink2")</f>
        <v>Maplink2</v>
      </c>
      <c r="AY2059" s="88" t="str">
        <f>HYPERLINK("http://www.bing.com/maps/?lvl=14&amp;sty=h&amp;cp=36.3788~43.0738&amp;sp=point.36.3788_43.0738","Maplink3")</f>
        <v>Maplink3</v>
      </c>
      <c r="AZ2059" s="76"/>
    </row>
    <row r="2060" spans="1:52" x14ac:dyDescent="0.25">
      <c r="A2060" s="86">
        <v>18332</v>
      </c>
      <c r="B2060" s="87" t="s">
        <v>24</v>
      </c>
      <c r="C2060" s="87" t="s">
        <v>3781</v>
      </c>
      <c r="D2060" s="87" t="s">
        <v>3970</v>
      </c>
      <c r="E2060" s="87" t="s">
        <v>3971</v>
      </c>
      <c r="F2060" s="87">
        <v>36.347534367100003</v>
      </c>
      <c r="G2060" s="87">
        <v>43.161804191400002</v>
      </c>
      <c r="H2060" s="86">
        <v>223</v>
      </c>
      <c r="I2060" s="86">
        <v>1338</v>
      </c>
      <c r="J2060" s="87"/>
      <c r="K2060" s="87"/>
      <c r="L2060" s="87"/>
      <c r="M2060" s="87"/>
      <c r="N2060" s="87"/>
      <c r="O2060" s="87"/>
      <c r="P2060" s="87"/>
      <c r="Q2060" s="87"/>
      <c r="R2060" s="87"/>
      <c r="S2060" s="87"/>
      <c r="T2060" s="87"/>
      <c r="U2060" s="87"/>
      <c r="V2060" s="87">
        <v>223</v>
      </c>
      <c r="W2060" s="87"/>
      <c r="X2060" s="87"/>
      <c r="Y2060" s="87"/>
      <c r="Z2060" s="87"/>
      <c r="AA2060" s="87"/>
      <c r="AB2060" s="87"/>
      <c r="AC2060" s="87"/>
      <c r="AD2060" s="87"/>
      <c r="AE2060" s="87"/>
      <c r="AF2060" s="87"/>
      <c r="AG2060" s="87"/>
      <c r="AH2060" s="87">
        <v>223</v>
      </c>
      <c r="AI2060" s="87"/>
      <c r="AJ2060" s="87"/>
      <c r="AK2060" s="87"/>
      <c r="AL2060" s="87"/>
      <c r="AM2060" s="87"/>
      <c r="AN2060" s="87"/>
      <c r="AO2060" s="87"/>
      <c r="AP2060" s="87"/>
      <c r="AQ2060" s="87"/>
      <c r="AR2060" s="87"/>
      <c r="AS2060" s="87"/>
      <c r="AT2060" s="87">
        <v>223</v>
      </c>
      <c r="AU2060" s="87"/>
      <c r="AV2060" s="87"/>
      <c r="AW2060" s="88" t="str">
        <f>HYPERLINK("http://www.openstreetmap.org/?mlat=36.3475&amp;mlon=43.1618&amp;zoom=12#map=12/36.3475/43.1618","Maplink1")</f>
        <v>Maplink1</v>
      </c>
      <c r="AX2060" s="88" t="str">
        <f>HYPERLINK("https://www.google.iq/maps/search/+36.3475,43.1618/@36.3475,43.1618,14z?hl=en","Maplink2")</f>
        <v>Maplink2</v>
      </c>
      <c r="AY2060" s="88" t="str">
        <f>HYPERLINK("http://www.bing.com/maps/?lvl=14&amp;sty=h&amp;cp=36.3475~43.1618&amp;sp=point.36.3475_43.1618","Maplink3")</f>
        <v>Maplink3</v>
      </c>
      <c r="AZ2060" s="76"/>
    </row>
    <row r="2061" spans="1:52" x14ac:dyDescent="0.25">
      <c r="A2061" s="86">
        <v>22510</v>
      </c>
      <c r="B2061" s="87" t="s">
        <v>24</v>
      </c>
      <c r="C2061" s="87" t="s">
        <v>3781</v>
      </c>
      <c r="D2061" s="87" t="s">
        <v>3972</v>
      </c>
      <c r="E2061" s="87" t="s">
        <v>3973</v>
      </c>
      <c r="F2061" s="87">
        <v>36.348913000000003</v>
      </c>
      <c r="G2061" s="87">
        <v>43.166256266399998</v>
      </c>
      <c r="H2061" s="86">
        <v>830</v>
      </c>
      <c r="I2061" s="86">
        <v>4980</v>
      </c>
      <c r="J2061" s="87"/>
      <c r="K2061" s="87"/>
      <c r="L2061" s="87"/>
      <c r="M2061" s="87"/>
      <c r="N2061" s="87"/>
      <c r="O2061" s="87"/>
      <c r="P2061" s="87"/>
      <c r="Q2061" s="87"/>
      <c r="R2061" s="87"/>
      <c r="S2061" s="87"/>
      <c r="T2061" s="87"/>
      <c r="U2061" s="87"/>
      <c r="V2061" s="87">
        <v>830</v>
      </c>
      <c r="W2061" s="87"/>
      <c r="X2061" s="87"/>
      <c r="Y2061" s="87"/>
      <c r="Z2061" s="87"/>
      <c r="AA2061" s="87"/>
      <c r="AB2061" s="87"/>
      <c r="AC2061" s="87"/>
      <c r="AD2061" s="87"/>
      <c r="AE2061" s="87"/>
      <c r="AF2061" s="87"/>
      <c r="AG2061" s="87"/>
      <c r="AH2061" s="87">
        <v>830</v>
      </c>
      <c r="AI2061" s="87"/>
      <c r="AJ2061" s="87"/>
      <c r="AK2061" s="87"/>
      <c r="AL2061" s="87"/>
      <c r="AM2061" s="87"/>
      <c r="AN2061" s="87"/>
      <c r="AO2061" s="87"/>
      <c r="AP2061" s="87"/>
      <c r="AQ2061" s="87"/>
      <c r="AR2061" s="87"/>
      <c r="AS2061" s="87"/>
      <c r="AT2061" s="87">
        <v>830</v>
      </c>
      <c r="AU2061" s="87"/>
      <c r="AV2061" s="87"/>
      <c r="AW2061" s="88" t="str">
        <f>HYPERLINK("http://www.openstreetmap.org/?mlat=36.3489&amp;mlon=43.1663&amp;zoom=12#map=12/36.3489/43.1663","Maplink1")</f>
        <v>Maplink1</v>
      </c>
      <c r="AX2061" s="88" t="str">
        <f>HYPERLINK("https://www.google.iq/maps/search/+36.3489,43.1663/@36.3489,43.1663,14z?hl=en","Maplink2")</f>
        <v>Maplink2</v>
      </c>
      <c r="AY2061" s="88" t="str">
        <f>HYPERLINK("http://www.bing.com/maps/?lvl=14&amp;sty=h&amp;cp=36.3489~43.1663&amp;sp=point.36.3489_43.1663","Maplink3")</f>
        <v>Maplink3</v>
      </c>
      <c r="AZ2061" s="76"/>
    </row>
    <row r="2062" spans="1:52" x14ac:dyDescent="0.25">
      <c r="A2062" s="86">
        <v>29642</v>
      </c>
      <c r="B2062" s="87" t="s">
        <v>24</v>
      </c>
      <c r="C2062" s="87" t="s">
        <v>3781</v>
      </c>
      <c r="D2062" s="87" t="s">
        <v>3974</v>
      </c>
      <c r="E2062" s="87" t="s">
        <v>3975</v>
      </c>
      <c r="F2062" s="87">
        <v>35.7448112143</v>
      </c>
      <c r="G2062" s="87">
        <v>43.267285214700003</v>
      </c>
      <c r="H2062" s="86">
        <v>1424</v>
      </c>
      <c r="I2062" s="86">
        <v>8544</v>
      </c>
      <c r="J2062" s="87"/>
      <c r="K2062" s="87"/>
      <c r="L2062" s="87"/>
      <c r="M2062" s="87"/>
      <c r="N2062" s="87"/>
      <c r="O2062" s="87"/>
      <c r="P2062" s="87">
        <v>176</v>
      </c>
      <c r="Q2062" s="87"/>
      <c r="R2062" s="87">
        <v>16</v>
      </c>
      <c r="S2062" s="87"/>
      <c r="T2062" s="87"/>
      <c r="U2062" s="87"/>
      <c r="V2062" s="87">
        <v>990</v>
      </c>
      <c r="W2062" s="87"/>
      <c r="X2062" s="87">
        <v>242</v>
      </c>
      <c r="Y2062" s="87"/>
      <c r="Z2062" s="87"/>
      <c r="AA2062" s="87"/>
      <c r="AB2062" s="87">
        <v>1424</v>
      </c>
      <c r="AC2062" s="87"/>
      <c r="AD2062" s="87"/>
      <c r="AE2062" s="87"/>
      <c r="AF2062" s="87"/>
      <c r="AG2062" s="87"/>
      <c r="AH2062" s="87"/>
      <c r="AI2062" s="87"/>
      <c r="AJ2062" s="87"/>
      <c r="AK2062" s="87"/>
      <c r="AL2062" s="87"/>
      <c r="AM2062" s="87"/>
      <c r="AN2062" s="87"/>
      <c r="AO2062" s="87"/>
      <c r="AP2062" s="87"/>
      <c r="AQ2062" s="87"/>
      <c r="AR2062" s="87"/>
      <c r="AS2062" s="87"/>
      <c r="AT2062" s="87">
        <v>720</v>
      </c>
      <c r="AU2062" s="87">
        <v>570</v>
      </c>
      <c r="AV2062" s="87">
        <v>134</v>
      </c>
      <c r="AW2062" s="88" t="str">
        <f>HYPERLINK("http://www.openstreetmap.org/?mlat=35.7448&amp;mlon=43.2673&amp;zoom=12#map=12/35.7448/43.2673","Maplink1")</f>
        <v>Maplink1</v>
      </c>
      <c r="AX2062" s="88" t="str">
        <f>HYPERLINK("https://www.google.iq/maps/search/+35.7448,43.2673/@35.7448,43.2673,14z?hl=en","Maplink2")</f>
        <v>Maplink2</v>
      </c>
      <c r="AY2062" s="88" t="str">
        <f>HYPERLINK("http://www.bing.com/maps/?lvl=14&amp;sty=h&amp;cp=35.7448~43.2673&amp;sp=point.35.7448_43.2673","Maplink3")</f>
        <v>Maplink3</v>
      </c>
      <c r="AZ2062" s="76"/>
    </row>
    <row r="2063" spans="1:52" x14ac:dyDescent="0.25">
      <c r="A2063" s="86">
        <v>31737</v>
      </c>
      <c r="B2063" s="87" t="s">
        <v>24</v>
      </c>
      <c r="C2063" s="87" t="s">
        <v>3781</v>
      </c>
      <c r="D2063" s="87" t="s">
        <v>3976</v>
      </c>
      <c r="E2063" s="87" t="s">
        <v>3977</v>
      </c>
      <c r="F2063" s="87">
        <v>35.7676124288</v>
      </c>
      <c r="G2063" s="87">
        <v>43.255765954099999</v>
      </c>
      <c r="H2063" s="86">
        <v>5239</v>
      </c>
      <c r="I2063" s="86">
        <v>31434</v>
      </c>
      <c r="J2063" s="87">
        <v>29</v>
      </c>
      <c r="K2063" s="87"/>
      <c r="L2063" s="87"/>
      <c r="M2063" s="87"/>
      <c r="N2063" s="87"/>
      <c r="O2063" s="87"/>
      <c r="P2063" s="87">
        <v>361</v>
      </c>
      <c r="Q2063" s="87"/>
      <c r="R2063" s="87">
        <v>54</v>
      </c>
      <c r="S2063" s="87"/>
      <c r="T2063" s="87"/>
      <c r="U2063" s="87"/>
      <c r="V2063" s="87">
        <v>4475</v>
      </c>
      <c r="W2063" s="87"/>
      <c r="X2063" s="87">
        <v>320</v>
      </c>
      <c r="Y2063" s="87"/>
      <c r="Z2063" s="87"/>
      <c r="AA2063" s="87"/>
      <c r="AB2063" s="87">
        <v>5239</v>
      </c>
      <c r="AC2063" s="87"/>
      <c r="AD2063" s="87"/>
      <c r="AE2063" s="87"/>
      <c r="AF2063" s="87"/>
      <c r="AG2063" s="87"/>
      <c r="AH2063" s="87"/>
      <c r="AI2063" s="87"/>
      <c r="AJ2063" s="87"/>
      <c r="AK2063" s="87"/>
      <c r="AL2063" s="87"/>
      <c r="AM2063" s="87"/>
      <c r="AN2063" s="87"/>
      <c r="AO2063" s="87"/>
      <c r="AP2063" s="87"/>
      <c r="AQ2063" s="87"/>
      <c r="AR2063" s="87"/>
      <c r="AS2063" s="87"/>
      <c r="AT2063" s="87">
        <v>2763</v>
      </c>
      <c r="AU2063" s="87">
        <v>1963</v>
      </c>
      <c r="AV2063" s="87">
        <v>513</v>
      </c>
      <c r="AW2063" s="88" t="str">
        <f>HYPERLINK("http://www.openstreetmap.org/?mlat=35.7676&amp;mlon=43.2558&amp;zoom=12#map=12/35.7676/43.2558","Maplink1")</f>
        <v>Maplink1</v>
      </c>
      <c r="AX2063" s="88" t="str">
        <f>HYPERLINK("https://www.google.iq/maps/search/+35.7676,43.2558/@35.7676,43.2558,14z?hl=en","Maplink2")</f>
        <v>Maplink2</v>
      </c>
      <c r="AY2063" s="88" t="str">
        <f>HYPERLINK("http://www.bing.com/maps/?lvl=14&amp;sty=h&amp;cp=35.7676~43.2558&amp;sp=point.35.7676_43.2558","Maplink3")</f>
        <v>Maplink3</v>
      </c>
      <c r="AZ2063" s="76"/>
    </row>
    <row r="2064" spans="1:52" x14ac:dyDescent="0.25">
      <c r="A2064" s="86">
        <v>21258</v>
      </c>
      <c r="B2064" s="87" t="s">
        <v>24</v>
      </c>
      <c r="C2064" s="87" t="s">
        <v>3781</v>
      </c>
      <c r="D2064" s="87" t="s">
        <v>3978</v>
      </c>
      <c r="E2064" s="87" t="s">
        <v>3979</v>
      </c>
      <c r="F2064" s="87">
        <v>36.315616375499999</v>
      </c>
      <c r="G2064" s="87">
        <v>43.089962638999999</v>
      </c>
      <c r="H2064" s="86">
        <v>201</v>
      </c>
      <c r="I2064" s="86">
        <v>1206</v>
      </c>
      <c r="J2064" s="87"/>
      <c r="K2064" s="87"/>
      <c r="L2064" s="87"/>
      <c r="M2064" s="87"/>
      <c r="N2064" s="87"/>
      <c r="O2064" s="87"/>
      <c r="P2064" s="87"/>
      <c r="Q2064" s="87"/>
      <c r="R2064" s="87"/>
      <c r="S2064" s="87"/>
      <c r="T2064" s="87"/>
      <c r="U2064" s="87"/>
      <c r="V2064" s="87">
        <v>201</v>
      </c>
      <c r="W2064" s="87"/>
      <c r="X2064" s="87"/>
      <c r="Y2064" s="87"/>
      <c r="Z2064" s="87"/>
      <c r="AA2064" s="87"/>
      <c r="AB2064" s="87"/>
      <c r="AC2064" s="87">
        <v>50</v>
      </c>
      <c r="AD2064" s="87"/>
      <c r="AE2064" s="87"/>
      <c r="AF2064" s="87"/>
      <c r="AG2064" s="87"/>
      <c r="AH2064" s="87">
        <v>131</v>
      </c>
      <c r="AI2064" s="87">
        <v>20</v>
      </c>
      <c r="AJ2064" s="87"/>
      <c r="AK2064" s="87"/>
      <c r="AL2064" s="87"/>
      <c r="AM2064" s="87"/>
      <c r="AN2064" s="87"/>
      <c r="AO2064" s="87"/>
      <c r="AP2064" s="87"/>
      <c r="AQ2064" s="87"/>
      <c r="AR2064" s="87"/>
      <c r="AS2064" s="87"/>
      <c r="AT2064" s="87">
        <v>201</v>
      </c>
      <c r="AU2064" s="87"/>
      <c r="AV2064" s="87"/>
      <c r="AW2064" s="88" t="str">
        <f>HYPERLINK("http://www.openstreetmap.org/?mlat=36.3156&amp;mlon=43.09&amp;zoom=12#map=12/36.3156/43.09","Maplink1")</f>
        <v>Maplink1</v>
      </c>
      <c r="AX2064" s="88" t="str">
        <f>HYPERLINK("https://www.google.iq/maps/search/+36.3156,43.09/@36.3156,43.09,14z?hl=en","Maplink2")</f>
        <v>Maplink2</v>
      </c>
      <c r="AY2064" s="88" t="str">
        <f>HYPERLINK("http://www.bing.com/maps/?lvl=14&amp;sty=h&amp;cp=36.3156~43.09&amp;sp=point.36.3156_43.09","Maplink3")</f>
        <v>Maplink3</v>
      </c>
      <c r="AZ2064" s="76"/>
    </row>
    <row r="2065" spans="1:52" x14ac:dyDescent="0.25">
      <c r="A2065" s="86">
        <v>33242</v>
      </c>
      <c r="B2065" s="87" t="s">
        <v>24</v>
      </c>
      <c r="C2065" s="87" t="s">
        <v>3781</v>
      </c>
      <c r="D2065" s="87" t="s">
        <v>3980</v>
      </c>
      <c r="E2065" s="87" t="s">
        <v>3981</v>
      </c>
      <c r="F2065" s="87">
        <v>36.070309180099997</v>
      </c>
      <c r="G2065" s="87">
        <v>42.685073831399997</v>
      </c>
      <c r="H2065" s="86">
        <v>7</v>
      </c>
      <c r="I2065" s="86">
        <v>42</v>
      </c>
      <c r="J2065" s="87"/>
      <c r="K2065" s="87"/>
      <c r="L2065" s="87"/>
      <c r="M2065" s="87"/>
      <c r="N2065" s="87"/>
      <c r="O2065" s="87"/>
      <c r="P2065" s="87"/>
      <c r="Q2065" s="87"/>
      <c r="R2065" s="87"/>
      <c r="S2065" s="87"/>
      <c r="T2065" s="87"/>
      <c r="U2065" s="87"/>
      <c r="V2065" s="87">
        <v>7</v>
      </c>
      <c r="W2065" s="87"/>
      <c r="X2065" s="87"/>
      <c r="Y2065" s="87"/>
      <c r="Z2065" s="87"/>
      <c r="AA2065" s="87"/>
      <c r="AB2065" s="87"/>
      <c r="AC2065" s="87"/>
      <c r="AD2065" s="87"/>
      <c r="AE2065" s="87"/>
      <c r="AF2065" s="87"/>
      <c r="AG2065" s="87"/>
      <c r="AH2065" s="87">
        <v>7</v>
      </c>
      <c r="AI2065" s="87"/>
      <c r="AJ2065" s="87"/>
      <c r="AK2065" s="87"/>
      <c r="AL2065" s="87"/>
      <c r="AM2065" s="87"/>
      <c r="AN2065" s="87"/>
      <c r="AO2065" s="87"/>
      <c r="AP2065" s="87"/>
      <c r="AQ2065" s="87"/>
      <c r="AR2065" s="87"/>
      <c r="AS2065" s="87"/>
      <c r="AT2065" s="87"/>
      <c r="AU2065" s="87">
        <v>7</v>
      </c>
      <c r="AV2065" s="87"/>
      <c r="AW2065" s="88" t="str">
        <f>HYPERLINK("http://www.openstreetmap.org/?mlat=36.0703&amp;mlon=42.6851&amp;zoom=12#map=12/36.0703/42.6851","Maplink1")</f>
        <v>Maplink1</v>
      </c>
      <c r="AX2065" s="88" t="str">
        <f>HYPERLINK("https://www.google.iq/maps/search/+36.0703,42.6851/@36.0703,42.6851,14z?hl=en","Maplink2")</f>
        <v>Maplink2</v>
      </c>
      <c r="AY2065" s="88" t="str">
        <f>HYPERLINK("http://www.bing.com/maps/?lvl=14&amp;sty=h&amp;cp=36.0703~42.6851&amp;sp=point.36.0703_42.6851","Maplink3")</f>
        <v>Maplink3</v>
      </c>
      <c r="AZ2065" s="76"/>
    </row>
    <row r="2066" spans="1:52" x14ac:dyDescent="0.25">
      <c r="A2066" s="86">
        <v>18040</v>
      </c>
      <c r="B2066" s="87" t="s">
        <v>24</v>
      </c>
      <c r="C2066" s="87" t="s">
        <v>3781</v>
      </c>
      <c r="D2066" s="87" t="s">
        <v>3982</v>
      </c>
      <c r="E2066" s="87" t="s">
        <v>3983</v>
      </c>
      <c r="F2066" s="87">
        <v>36.413694737999997</v>
      </c>
      <c r="G2066" s="87">
        <v>42.968216423299999</v>
      </c>
      <c r="H2066" s="86">
        <v>3</v>
      </c>
      <c r="I2066" s="86">
        <v>18</v>
      </c>
      <c r="J2066" s="87"/>
      <c r="K2066" s="87"/>
      <c r="L2066" s="87"/>
      <c r="M2066" s="87"/>
      <c r="N2066" s="87"/>
      <c r="O2066" s="87"/>
      <c r="P2066" s="87"/>
      <c r="Q2066" s="87"/>
      <c r="R2066" s="87"/>
      <c r="S2066" s="87"/>
      <c r="T2066" s="87"/>
      <c r="U2066" s="87"/>
      <c r="V2066" s="87">
        <v>3</v>
      </c>
      <c r="W2066" s="87"/>
      <c r="X2066" s="87"/>
      <c r="Y2066" s="87"/>
      <c r="Z2066" s="87"/>
      <c r="AA2066" s="87"/>
      <c r="AB2066" s="87"/>
      <c r="AC2066" s="87"/>
      <c r="AD2066" s="87"/>
      <c r="AE2066" s="87"/>
      <c r="AF2066" s="87"/>
      <c r="AG2066" s="87"/>
      <c r="AH2066" s="87">
        <v>3</v>
      </c>
      <c r="AI2066" s="87"/>
      <c r="AJ2066" s="87"/>
      <c r="AK2066" s="87"/>
      <c r="AL2066" s="87"/>
      <c r="AM2066" s="87"/>
      <c r="AN2066" s="87"/>
      <c r="AO2066" s="87"/>
      <c r="AP2066" s="87"/>
      <c r="AQ2066" s="87"/>
      <c r="AR2066" s="87"/>
      <c r="AS2066" s="87"/>
      <c r="AT2066" s="87"/>
      <c r="AU2066" s="87">
        <v>3</v>
      </c>
      <c r="AV2066" s="87"/>
      <c r="AW2066" s="88" t="str">
        <f>HYPERLINK("http://www.openstreetmap.org/?mlat=36.4137&amp;mlon=42.9682&amp;zoom=12#map=12/36.4137/42.9682","Maplink1")</f>
        <v>Maplink1</v>
      </c>
      <c r="AX2066" s="88" t="str">
        <f>HYPERLINK("https://www.google.iq/maps/search/+36.4137,42.9682/@36.4137,42.9682,14z?hl=en","Maplink2")</f>
        <v>Maplink2</v>
      </c>
      <c r="AY2066" s="88" t="str">
        <f>HYPERLINK("http://www.bing.com/maps/?lvl=14&amp;sty=h&amp;cp=36.4137~42.9682&amp;sp=point.36.4137_42.9682","Maplink3")</f>
        <v>Maplink3</v>
      </c>
      <c r="AZ2066" s="76"/>
    </row>
    <row r="2067" spans="1:52" x14ac:dyDescent="0.25">
      <c r="A2067" s="86">
        <v>33249</v>
      </c>
      <c r="B2067" s="87" t="s">
        <v>24</v>
      </c>
      <c r="C2067" s="87" t="s">
        <v>3781</v>
      </c>
      <c r="D2067" s="87" t="s">
        <v>3984</v>
      </c>
      <c r="E2067" s="87" t="s">
        <v>3985</v>
      </c>
      <c r="F2067" s="87">
        <v>36.327541749799998</v>
      </c>
      <c r="G2067" s="87">
        <v>43.102868076599997</v>
      </c>
      <c r="H2067" s="86">
        <v>5</v>
      </c>
      <c r="I2067" s="86">
        <v>30</v>
      </c>
      <c r="J2067" s="87"/>
      <c r="K2067" s="87"/>
      <c r="L2067" s="87"/>
      <c r="M2067" s="87"/>
      <c r="N2067" s="87"/>
      <c r="O2067" s="87"/>
      <c r="P2067" s="87"/>
      <c r="Q2067" s="87"/>
      <c r="R2067" s="87"/>
      <c r="S2067" s="87"/>
      <c r="T2067" s="87"/>
      <c r="U2067" s="87"/>
      <c r="V2067" s="87">
        <v>5</v>
      </c>
      <c r="W2067" s="87"/>
      <c r="X2067" s="87"/>
      <c r="Y2067" s="87"/>
      <c r="Z2067" s="87"/>
      <c r="AA2067" s="87"/>
      <c r="AB2067" s="87"/>
      <c r="AC2067" s="87"/>
      <c r="AD2067" s="87"/>
      <c r="AE2067" s="87"/>
      <c r="AF2067" s="87"/>
      <c r="AG2067" s="87"/>
      <c r="AH2067" s="87">
        <v>5</v>
      </c>
      <c r="AI2067" s="87"/>
      <c r="AJ2067" s="87"/>
      <c r="AK2067" s="87"/>
      <c r="AL2067" s="87"/>
      <c r="AM2067" s="87"/>
      <c r="AN2067" s="87"/>
      <c r="AO2067" s="87"/>
      <c r="AP2067" s="87"/>
      <c r="AQ2067" s="87"/>
      <c r="AR2067" s="87"/>
      <c r="AS2067" s="87"/>
      <c r="AT2067" s="87">
        <v>5</v>
      </c>
      <c r="AU2067" s="87"/>
      <c r="AV2067" s="87"/>
      <c r="AW2067" s="88" t="str">
        <f>HYPERLINK("http://www.openstreetmap.org/?mlat=36.3275&amp;mlon=43.1029&amp;zoom=12#map=12/36.3275/43.1029","Maplink1")</f>
        <v>Maplink1</v>
      </c>
      <c r="AX2067" s="88" t="str">
        <f>HYPERLINK("https://www.google.iq/maps/search/+36.3275,43.1029/@36.3275,43.1029,14z?hl=en","Maplink2")</f>
        <v>Maplink2</v>
      </c>
      <c r="AY2067" s="88" t="str">
        <f>HYPERLINK("http://www.bing.com/maps/?lvl=14&amp;sty=h&amp;cp=36.3275~43.1029&amp;sp=point.36.3275_43.1029","Maplink3")</f>
        <v>Maplink3</v>
      </c>
      <c r="AZ2067" s="76"/>
    </row>
    <row r="2068" spans="1:52" x14ac:dyDescent="0.25">
      <c r="A2068" s="86">
        <v>18368</v>
      </c>
      <c r="B2068" s="87" t="s">
        <v>24</v>
      </c>
      <c r="C2068" s="87" t="s">
        <v>3781</v>
      </c>
      <c r="D2068" s="87" t="s">
        <v>3986</v>
      </c>
      <c r="E2068" s="87" t="s">
        <v>3987</v>
      </c>
      <c r="F2068" s="87">
        <v>36.321125484900001</v>
      </c>
      <c r="G2068" s="87">
        <v>43.1254966435</v>
      </c>
      <c r="H2068" s="86">
        <v>221</v>
      </c>
      <c r="I2068" s="86">
        <v>1326</v>
      </c>
      <c r="J2068" s="87"/>
      <c r="K2068" s="87"/>
      <c r="L2068" s="87"/>
      <c r="M2068" s="87"/>
      <c r="N2068" s="87"/>
      <c r="O2068" s="87"/>
      <c r="P2068" s="87"/>
      <c r="Q2068" s="87"/>
      <c r="R2068" s="87"/>
      <c r="S2068" s="87"/>
      <c r="T2068" s="87"/>
      <c r="U2068" s="87"/>
      <c r="V2068" s="87">
        <v>221</v>
      </c>
      <c r="W2068" s="87"/>
      <c r="X2068" s="87"/>
      <c r="Y2068" s="87"/>
      <c r="Z2068" s="87"/>
      <c r="AA2068" s="87"/>
      <c r="AB2068" s="87"/>
      <c r="AC2068" s="87"/>
      <c r="AD2068" s="87"/>
      <c r="AE2068" s="87"/>
      <c r="AF2068" s="87"/>
      <c r="AG2068" s="87"/>
      <c r="AH2068" s="87">
        <v>205</v>
      </c>
      <c r="AI2068" s="87">
        <v>16</v>
      </c>
      <c r="AJ2068" s="87"/>
      <c r="AK2068" s="87"/>
      <c r="AL2068" s="87"/>
      <c r="AM2068" s="87"/>
      <c r="AN2068" s="87"/>
      <c r="AO2068" s="87"/>
      <c r="AP2068" s="87"/>
      <c r="AQ2068" s="87"/>
      <c r="AR2068" s="87">
        <v>11</v>
      </c>
      <c r="AS2068" s="87"/>
      <c r="AT2068" s="87">
        <v>210</v>
      </c>
      <c r="AU2068" s="87"/>
      <c r="AV2068" s="87"/>
      <c r="AW2068" s="88" t="str">
        <f>HYPERLINK("http://www.openstreetmap.org/?mlat=36.3211&amp;mlon=43.1255&amp;zoom=12#map=12/36.3211/43.1255","Maplink1")</f>
        <v>Maplink1</v>
      </c>
      <c r="AX2068" s="88" t="str">
        <f>HYPERLINK("https://www.google.iq/maps/search/+36.3211,43.1255/@36.3211,43.1255,14z?hl=en","Maplink2")</f>
        <v>Maplink2</v>
      </c>
      <c r="AY2068" s="88" t="str">
        <f>HYPERLINK("http://www.bing.com/maps/?lvl=14&amp;sty=h&amp;cp=36.3211~43.1255&amp;sp=point.36.3211_43.1255","Maplink3")</f>
        <v>Maplink3</v>
      </c>
      <c r="AZ2068" s="76"/>
    </row>
    <row r="2069" spans="1:52" x14ac:dyDescent="0.25">
      <c r="A2069" s="86">
        <v>31916</v>
      </c>
      <c r="B2069" s="87" t="s">
        <v>24</v>
      </c>
      <c r="C2069" s="87" t="s">
        <v>3781</v>
      </c>
      <c r="D2069" s="87" t="s">
        <v>3988</v>
      </c>
      <c r="E2069" s="87" t="s">
        <v>3989</v>
      </c>
      <c r="F2069" s="87">
        <v>36.3052153852</v>
      </c>
      <c r="G2069" s="87">
        <v>43.183373213800003</v>
      </c>
      <c r="H2069" s="86">
        <v>186</v>
      </c>
      <c r="I2069" s="86">
        <v>1116</v>
      </c>
      <c r="J2069" s="87"/>
      <c r="K2069" s="87"/>
      <c r="L2069" s="87"/>
      <c r="M2069" s="87"/>
      <c r="N2069" s="87"/>
      <c r="O2069" s="87"/>
      <c r="P2069" s="87"/>
      <c r="Q2069" s="87"/>
      <c r="R2069" s="87"/>
      <c r="S2069" s="87"/>
      <c r="T2069" s="87"/>
      <c r="U2069" s="87"/>
      <c r="V2069" s="87">
        <v>186</v>
      </c>
      <c r="W2069" s="87"/>
      <c r="X2069" s="87"/>
      <c r="Y2069" s="87"/>
      <c r="Z2069" s="87"/>
      <c r="AA2069" s="87"/>
      <c r="AB2069" s="87"/>
      <c r="AC2069" s="87">
        <v>3</v>
      </c>
      <c r="AD2069" s="87"/>
      <c r="AE2069" s="87"/>
      <c r="AF2069" s="87"/>
      <c r="AG2069" s="87"/>
      <c r="AH2069" s="87">
        <v>161</v>
      </c>
      <c r="AI2069" s="87"/>
      <c r="AJ2069" s="87"/>
      <c r="AK2069" s="87">
        <v>22</v>
      </c>
      <c r="AL2069" s="87"/>
      <c r="AM2069" s="87"/>
      <c r="AN2069" s="87"/>
      <c r="AO2069" s="87"/>
      <c r="AP2069" s="87">
        <v>36</v>
      </c>
      <c r="AQ2069" s="87"/>
      <c r="AR2069" s="87"/>
      <c r="AS2069" s="87"/>
      <c r="AT2069" s="87">
        <v>150</v>
      </c>
      <c r="AU2069" s="87"/>
      <c r="AV2069" s="87"/>
      <c r="AW2069" s="88" t="str">
        <f>HYPERLINK("http://www.openstreetmap.org/?mlat=36.3052&amp;mlon=43.1834&amp;zoom=12#map=12/36.3052/43.1834","Maplink1")</f>
        <v>Maplink1</v>
      </c>
      <c r="AX2069" s="88" t="str">
        <f>HYPERLINK("https://www.google.iq/maps/search/+36.3052,43.1834/@36.3052,43.1834,14z?hl=en","Maplink2")</f>
        <v>Maplink2</v>
      </c>
      <c r="AY2069" s="88" t="str">
        <f>HYPERLINK("http://www.bing.com/maps/?lvl=14&amp;sty=h&amp;cp=36.3052~43.1834&amp;sp=point.36.3052_43.1834","Maplink3")</f>
        <v>Maplink3</v>
      </c>
      <c r="AZ2069" s="76"/>
    </row>
    <row r="2070" spans="1:52" x14ac:dyDescent="0.25">
      <c r="A2070" s="86">
        <v>31917</v>
      </c>
      <c r="B2070" s="87" t="s">
        <v>24</v>
      </c>
      <c r="C2070" s="87" t="s">
        <v>3781</v>
      </c>
      <c r="D2070" s="87" t="s">
        <v>3990</v>
      </c>
      <c r="E2070" s="87" t="s">
        <v>3991</v>
      </c>
      <c r="F2070" s="87">
        <v>36.294892998000002</v>
      </c>
      <c r="G2070" s="87">
        <v>43.208224735400002</v>
      </c>
      <c r="H2070" s="86">
        <v>473</v>
      </c>
      <c r="I2070" s="86">
        <v>2838</v>
      </c>
      <c r="J2070" s="87"/>
      <c r="K2070" s="87"/>
      <c r="L2070" s="87"/>
      <c r="M2070" s="87"/>
      <c r="N2070" s="87"/>
      <c r="O2070" s="87"/>
      <c r="P2070" s="87"/>
      <c r="Q2070" s="87"/>
      <c r="R2070" s="87"/>
      <c r="S2070" s="87"/>
      <c r="T2070" s="87"/>
      <c r="U2070" s="87"/>
      <c r="V2070" s="87">
        <v>473</v>
      </c>
      <c r="W2070" s="87"/>
      <c r="X2070" s="87"/>
      <c r="Y2070" s="87"/>
      <c r="Z2070" s="87"/>
      <c r="AA2070" s="87"/>
      <c r="AB2070" s="87"/>
      <c r="AC2070" s="87">
        <v>24</v>
      </c>
      <c r="AD2070" s="87"/>
      <c r="AE2070" s="87"/>
      <c r="AF2070" s="87"/>
      <c r="AG2070" s="87"/>
      <c r="AH2070" s="87">
        <v>404</v>
      </c>
      <c r="AI2070" s="87"/>
      <c r="AJ2070" s="87"/>
      <c r="AK2070" s="87">
        <v>45</v>
      </c>
      <c r="AL2070" s="87"/>
      <c r="AM2070" s="87"/>
      <c r="AN2070" s="87"/>
      <c r="AO2070" s="87"/>
      <c r="AP2070" s="87">
        <v>219</v>
      </c>
      <c r="AQ2070" s="87"/>
      <c r="AR2070" s="87"/>
      <c r="AS2070" s="87"/>
      <c r="AT2070" s="87">
        <v>254</v>
      </c>
      <c r="AU2070" s="87"/>
      <c r="AV2070" s="87"/>
      <c r="AW2070" s="88" t="str">
        <f>HYPERLINK("http://www.openstreetmap.org/?mlat=36.2949&amp;mlon=43.2082&amp;zoom=12#map=12/36.2949/43.2082","Maplink1")</f>
        <v>Maplink1</v>
      </c>
      <c r="AX2070" s="88" t="str">
        <f>HYPERLINK("https://www.google.iq/maps/search/+36.2949,43.2082/@36.2949,43.2082,14z?hl=en","Maplink2")</f>
        <v>Maplink2</v>
      </c>
      <c r="AY2070" s="88" t="str">
        <f>HYPERLINK("http://www.bing.com/maps/?lvl=14&amp;sty=h&amp;cp=36.2949~43.2082&amp;sp=point.36.2949_43.2082","Maplink3")</f>
        <v>Maplink3</v>
      </c>
      <c r="AZ2070" s="76"/>
    </row>
    <row r="2071" spans="1:52" x14ac:dyDescent="0.25">
      <c r="A2071" s="86">
        <v>21007</v>
      </c>
      <c r="B2071" s="87" t="s">
        <v>24</v>
      </c>
      <c r="C2071" s="87" t="s">
        <v>3781</v>
      </c>
      <c r="D2071" s="87" t="s">
        <v>3992</v>
      </c>
      <c r="E2071" s="87" t="s">
        <v>3993</v>
      </c>
      <c r="F2071" s="87">
        <v>36.349757511299998</v>
      </c>
      <c r="G2071" s="87">
        <v>43.110493027399997</v>
      </c>
      <c r="H2071" s="86">
        <v>53</v>
      </c>
      <c r="I2071" s="86">
        <v>318</v>
      </c>
      <c r="J2071" s="87"/>
      <c r="K2071" s="87"/>
      <c r="L2071" s="87"/>
      <c r="M2071" s="87"/>
      <c r="N2071" s="87"/>
      <c r="O2071" s="87"/>
      <c r="P2071" s="87"/>
      <c r="Q2071" s="87"/>
      <c r="R2071" s="87"/>
      <c r="S2071" s="87"/>
      <c r="T2071" s="87"/>
      <c r="U2071" s="87"/>
      <c r="V2071" s="87">
        <v>53</v>
      </c>
      <c r="W2071" s="87"/>
      <c r="X2071" s="87"/>
      <c r="Y2071" s="87"/>
      <c r="Z2071" s="87"/>
      <c r="AA2071" s="87"/>
      <c r="AB2071" s="87"/>
      <c r="AC2071" s="87"/>
      <c r="AD2071" s="87"/>
      <c r="AE2071" s="87"/>
      <c r="AF2071" s="87"/>
      <c r="AG2071" s="87"/>
      <c r="AH2071" s="87">
        <v>20</v>
      </c>
      <c r="AI2071" s="87">
        <v>33</v>
      </c>
      <c r="AJ2071" s="87"/>
      <c r="AK2071" s="87"/>
      <c r="AL2071" s="87"/>
      <c r="AM2071" s="87"/>
      <c r="AN2071" s="87"/>
      <c r="AO2071" s="87"/>
      <c r="AP2071" s="87"/>
      <c r="AQ2071" s="87"/>
      <c r="AR2071" s="87">
        <v>10</v>
      </c>
      <c r="AS2071" s="87"/>
      <c r="AT2071" s="87">
        <v>43</v>
      </c>
      <c r="AU2071" s="87"/>
      <c r="AV2071" s="87"/>
      <c r="AW2071" s="88" t="str">
        <f>HYPERLINK("http://www.openstreetmap.org/?mlat=36.3498&amp;mlon=43.1105&amp;zoom=12#map=12/36.3498/43.1105","Maplink1")</f>
        <v>Maplink1</v>
      </c>
      <c r="AX2071" s="88" t="str">
        <f>HYPERLINK("https://www.google.iq/maps/search/+36.3498,43.1105/@36.3498,43.1105,14z?hl=en","Maplink2")</f>
        <v>Maplink2</v>
      </c>
      <c r="AY2071" s="88" t="str">
        <f>HYPERLINK("http://www.bing.com/maps/?lvl=14&amp;sty=h&amp;cp=36.3498~43.1105&amp;sp=point.36.3498_43.1105","Maplink3")</f>
        <v>Maplink3</v>
      </c>
      <c r="AZ2071" s="76"/>
    </row>
    <row r="2072" spans="1:52" x14ac:dyDescent="0.25">
      <c r="A2072" s="86">
        <v>27396</v>
      </c>
      <c r="B2072" s="87" t="s">
        <v>24</v>
      </c>
      <c r="C2072" s="87" t="s">
        <v>3994</v>
      </c>
      <c r="D2072" s="87" t="s">
        <v>3995</v>
      </c>
      <c r="E2072" s="87" t="s">
        <v>3996</v>
      </c>
      <c r="F2072" s="87">
        <v>36.448735759800002</v>
      </c>
      <c r="G2072" s="87">
        <v>41.756054001300001</v>
      </c>
      <c r="H2072" s="86">
        <v>2</v>
      </c>
      <c r="I2072" s="86">
        <v>12</v>
      </c>
      <c r="J2072" s="87"/>
      <c r="K2072" s="87"/>
      <c r="L2072" s="87"/>
      <c r="M2072" s="87"/>
      <c r="N2072" s="87"/>
      <c r="O2072" s="87"/>
      <c r="P2072" s="87"/>
      <c r="Q2072" s="87"/>
      <c r="R2072" s="87"/>
      <c r="S2072" s="87"/>
      <c r="T2072" s="87"/>
      <c r="U2072" s="87"/>
      <c r="V2072" s="87">
        <v>2</v>
      </c>
      <c r="W2072" s="87"/>
      <c r="X2072" s="87"/>
      <c r="Y2072" s="87"/>
      <c r="Z2072" s="87"/>
      <c r="AA2072" s="87"/>
      <c r="AB2072" s="87"/>
      <c r="AC2072" s="87">
        <v>2</v>
      </c>
      <c r="AD2072" s="87"/>
      <c r="AE2072" s="87"/>
      <c r="AF2072" s="87"/>
      <c r="AG2072" s="87"/>
      <c r="AH2072" s="87"/>
      <c r="AI2072" s="87"/>
      <c r="AJ2072" s="87"/>
      <c r="AK2072" s="87"/>
      <c r="AL2072" s="87"/>
      <c r="AM2072" s="87"/>
      <c r="AN2072" s="87"/>
      <c r="AO2072" s="87"/>
      <c r="AP2072" s="87">
        <v>2</v>
      </c>
      <c r="AQ2072" s="87"/>
      <c r="AR2072" s="87"/>
      <c r="AS2072" s="87"/>
      <c r="AT2072" s="87"/>
      <c r="AU2072" s="87"/>
      <c r="AV2072" s="87"/>
      <c r="AW2072" s="88" t="str">
        <f>HYPERLINK("http://www.openstreetmap.org/?mlat=36.4487&amp;mlon=41.7561&amp;zoom=12#map=12/36.4487/41.7561","Maplink1")</f>
        <v>Maplink1</v>
      </c>
      <c r="AX2072" s="88" t="str">
        <f>HYPERLINK("https://www.google.iq/maps/search/+36.4487,41.7561/@36.4487,41.7561,14z?hl=en","Maplink2")</f>
        <v>Maplink2</v>
      </c>
      <c r="AY2072" s="88" t="str">
        <f>HYPERLINK("http://www.bing.com/maps/?lvl=14&amp;sty=h&amp;cp=36.4487~41.7561&amp;sp=point.36.4487_41.7561","Maplink3")</f>
        <v>Maplink3</v>
      </c>
      <c r="AZ2072" s="76"/>
    </row>
    <row r="2073" spans="1:52" x14ac:dyDescent="0.25">
      <c r="A2073" s="86">
        <v>27403</v>
      </c>
      <c r="B2073" s="87" t="s">
        <v>24</v>
      </c>
      <c r="C2073" s="87" t="s">
        <v>3994</v>
      </c>
      <c r="D2073" s="87" t="s">
        <v>3997</v>
      </c>
      <c r="E2073" s="87" t="s">
        <v>3998</v>
      </c>
      <c r="F2073" s="87">
        <v>36.452794037099999</v>
      </c>
      <c r="G2073" s="87">
        <v>41.707408143899997</v>
      </c>
      <c r="H2073" s="86">
        <v>118</v>
      </c>
      <c r="I2073" s="86">
        <v>708</v>
      </c>
      <c r="J2073" s="87"/>
      <c r="K2073" s="87"/>
      <c r="L2073" s="87"/>
      <c r="M2073" s="87"/>
      <c r="N2073" s="87"/>
      <c r="O2073" s="87"/>
      <c r="P2073" s="87"/>
      <c r="Q2073" s="87"/>
      <c r="R2073" s="87"/>
      <c r="S2073" s="87"/>
      <c r="T2073" s="87"/>
      <c r="U2073" s="87"/>
      <c r="V2073" s="87">
        <v>118</v>
      </c>
      <c r="W2073" s="87"/>
      <c r="X2073" s="87"/>
      <c r="Y2073" s="87"/>
      <c r="Z2073" s="87"/>
      <c r="AA2073" s="87"/>
      <c r="AB2073" s="87"/>
      <c r="AC2073" s="87">
        <v>118</v>
      </c>
      <c r="AD2073" s="87"/>
      <c r="AE2073" s="87"/>
      <c r="AF2073" s="87"/>
      <c r="AG2073" s="87"/>
      <c r="AH2073" s="87"/>
      <c r="AI2073" s="87"/>
      <c r="AJ2073" s="87"/>
      <c r="AK2073" s="87"/>
      <c r="AL2073" s="87"/>
      <c r="AM2073" s="87"/>
      <c r="AN2073" s="87"/>
      <c r="AO2073" s="87"/>
      <c r="AP2073" s="87">
        <v>118</v>
      </c>
      <c r="AQ2073" s="87"/>
      <c r="AR2073" s="87"/>
      <c r="AS2073" s="87"/>
      <c r="AT2073" s="87"/>
      <c r="AU2073" s="87"/>
      <c r="AV2073" s="87"/>
      <c r="AW2073" s="88" t="str">
        <f>HYPERLINK("http://www.openstreetmap.org/?mlat=36.4528&amp;mlon=41.7074&amp;zoom=12#map=12/36.4528/41.7074","Maplink1")</f>
        <v>Maplink1</v>
      </c>
      <c r="AX2073" s="88" t="str">
        <f>HYPERLINK("https://www.google.iq/maps/search/+36.4528,41.7074/@36.4528,41.7074,14z?hl=en","Maplink2")</f>
        <v>Maplink2</v>
      </c>
      <c r="AY2073" s="88" t="str">
        <f>HYPERLINK("http://www.bing.com/maps/?lvl=14&amp;sty=h&amp;cp=36.4528~41.7074&amp;sp=point.36.4528_41.7074","Maplink3")</f>
        <v>Maplink3</v>
      </c>
      <c r="AZ2073" s="76"/>
    </row>
    <row r="2074" spans="1:52" x14ac:dyDescent="0.25">
      <c r="A2074" s="86">
        <v>27366</v>
      </c>
      <c r="B2074" s="87" t="s">
        <v>24</v>
      </c>
      <c r="C2074" s="87" t="s">
        <v>3994</v>
      </c>
      <c r="D2074" s="87" t="s">
        <v>3999</v>
      </c>
      <c r="E2074" s="87" t="s">
        <v>4000</v>
      </c>
      <c r="F2074" s="87">
        <v>36.428698603699999</v>
      </c>
      <c r="G2074" s="87">
        <v>41.698919140199997</v>
      </c>
      <c r="H2074" s="86">
        <v>126</v>
      </c>
      <c r="I2074" s="86">
        <v>756</v>
      </c>
      <c r="J2074" s="87"/>
      <c r="K2074" s="87"/>
      <c r="L2074" s="87"/>
      <c r="M2074" s="87"/>
      <c r="N2074" s="87"/>
      <c r="O2074" s="87"/>
      <c r="P2074" s="87"/>
      <c r="Q2074" s="87"/>
      <c r="R2074" s="87"/>
      <c r="S2074" s="87"/>
      <c r="T2074" s="87"/>
      <c r="U2074" s="87"/>
      <c r="V2074" s="87">
        <v>126</v>
      </c>
      <c r="W2074" s="87"/>
      <c r="X2074" s="87"/>
      <c r="Y2074" s="87"/>
      <c r="Z2074" s="87"/>
      <c r="AA2074" s="87"/>
      <c r="AB2074" s="87"/>
      <c r="AC2074" s="87">
        <v>100</v>
      </c>
      <c r="AD2074" s="87"/>
      <c r="AE2074" s="87">
        <v>26</v>
      </c>
      <c r="AF2074" s="87"/>
      <c r="AG2074" s="87"/>
      <c r="AH2074" s="87"/>
      <c r="AI2074" s="87"/>
      <c r="AJ2074" s="87"/>
      <c r="AK2074" s="87"/>
      <c r="AL2074" s="87"/>
      <c r="AM2074" s="87"/>
      <c r="AN2074" s="87"/>
      <c r="AO2074" s="87"/>
      <c r="AP2074" s="87">
        <v>126</v>
      </c>
      <c r="AQ2074" s="87"/>
      <c r="AR2074" s="87"/>
      <c r="AS2074" s="87"/>
      <c r="AT2074" s="87"/>
      <c r="AU2074" s="87"/>
      <c r="AV2074" s="87"/>
      <c r="AW2074" s="88" t="str">
        <f>HYPERLINK("http://www.openstreetmap.org/?mlat=36.4287&amp;mlon=41.6989&amp;zoom=12#map=12/36.4287/41.6989","Maplink1")</f>
        <v>Maplink1</v>
      </c>
      <c r="AX2074" s="88" t="str">
        <f>HYPERLINK("https://www.google.iq/maps/search/+36.4287,41.6989/@36.4287,41.6989,14z?hl=en","Maplink2")</f>
        <v>Maplink2</v>
      </c>
      <c r="AY2074" s="88" t="str">
        <f>HYPERLINK("http://www.bing.com/maps/?lvl=14&amp;sty=h&amp;cp=36.4287~41.6989&amp;sp=point.36.4287_41.6989","Maplink3")</f>
        <v>Maplink3</v>
      </c>
      <c r="AZ2074" s="76"/>
    </row>
    <row r="2075" spans="1:52" x14ac:dyDescent="0.25">
      <c r="A2075" s="86">
        <v>27360</v>
      </c>
      <c r="B2075" s="87" t="s">
        <v>24</v>
      </c>
      <c r="C2075" s="87" t="s">
        <v>3994</v>
      </c>
      <c r="D2075" s="87" t="s">
        <v>4001</v>
      </c>
      <c r="E2075" s="87" t="s">
        <v>4002</v>
      </c>
      <c r="F2075" s="87">
        <v>36.371200000000002</v>
      </c>
      <c r="G2075" s="87">
        <v>41.490699999999997</v>
      </c>
      <c r="H2075" s="86">
        <v>11</v>
      </c>
      <c r="I2075" s="86">
        <v>66</v>
      </c>
      <c r="J2075" s="87"/>
      <c r="K2075" s="87"/>
      <c r="L2075" s="87"/>
      <c r="M2075" s="87"/>
      <c r="N2075" s="87"/>
      <c r="O2075" s="87"/>
      <c r="P2075" s="87"/>
      <c r="Q2075" s="87"/>
      <c r="R2075" s="87"/>
      <c r="S2075" s="87"/>
      <c r="T2075" s="87"/>
      <c r="U2075" s="87"/>
      <c r="V2075" s="87">
        <v>11</v>
      </c>
      <c r="W2075" s="87"/>
      <c r="X2075" s="87"/>
      <c r="Y2075" s="87"/>
      <c r="Z2075" s="87"/>
      <c r="AA2075" s="87"/>
      <c r="AB2075" s="87"/>
      <c r="AC2075" s="87">
        <v>11</v>
      </c>
      <c r="AD2075" s="87"/>
      <c r="AE2075" s="87"/>
      <c r="AF2075" s="87"/>
      <c r="AG2075" s="87"/>
      <c r="AH2075" s="87"/>
      <c r="AI2075" s="87"/>
      <c r="AJ2075" s="87"/>
      <c r="AK2075" s="87"/>
      <c r="AL2075" s="87"/>
      <c r="AM2075" s="87"/>
      <c r="AN2075" s="87"/>
      <c r="AO2075" s="87"/>
      <c r="AP2075" s="87">
        <v>11</v>
      </c>
      <c r="AQ2075" s="87"/>
      <c r="AR2075" s="87"/>
      <c r="AS2075" s="87"/>
      <c r="AT2075" s="87"/>
      <c r="AU2075" s="87"/>
      <c r="AV2075" s="87"/>
      <c r="AW2075" s="88" t="str">
        <f>HYPERLINK("http://www.openstreetmap.org/?mlat=36.3712&amp;mlon=41.4907&amp;zoom=12#map=12/36.3712/41.4907","Maplink1")</f>
        <v>Maplink1</v>
      </c>
      <c r="AX2075" s="88" t="str">
        <f>HYPERLINK("https://www.google.iq/maps/search/+36.3712,41.4907/@36.3712,41.4907,14z?hl=en","Maplink2")</f>
        <v>Maplink2</v>
      </c>
      <c r="AY2075" s="88" t="str">
        <f>HYPERLINK("http://www.bing.com/maps/?lvl=14&amp;sty=h&amp;cp=36.3712~41.4907&amp;sp=point.36.3712_41.4907","Maplink3")</f>
        <v>Maplink3</v>
      </c>
      <c r="AZ2075" s="76"/>
    </row>
    <row r="2076" spans="1:52" x14ac:dyDescent="0.25">
      <c r="A2076" s="86">
        <v>27365</v>
      </c>
      <c r="B2076" s="87" t="s">
        <v>24</v>
      </c>
      <c r="C2076" s="87" t="s">
        <v>3994</v>
      </c>
      <c r="D2076" s="87" t="s">
        <v>4003</v>
      </c>
      <c r="E2076" s="87" t="s">
        <v>4004</v>
      </c>
      <c r="F2076" s="87">
        <v>36.4342847104</v>
      </c>
      <c r="G2076" s="87">
        <v>41.906650339199999</v>
      </c>
      <c r="H2076" s="86">
        <v>4</v>
      </c>
      <c r="I2076" s="86">
        <v>24</v>
      </c>
      <c r="J2076" s="87"/>
      <c r="K2076" s="87"/>
      <c r="L2076" s="87"/>
      <c r="M2076" s="87"/>
      <c r="N2076" s="87"/>
      <c r="O2076" s="87"/>
      <c r="P2076" s="87"/>
      <c r="Q2076" s="87"/>
      <c r="R2076" s="87"/>
      <c r="S2076" s="87"/>
      <c r="T2076" s="87"/>
      <c r="U2076" s="87"/>
      <c r="V2076" s="87">
        <v>4</v>
      </c>
      <c r="W2076" s="87"/>
      <c r="X2076" s="87"/>
      <c r="Y2076" s="87"/>
      <c r="Z2076" s="87"/>
      <c r="AA2076" s="87"/>
      <c r="AB2076" s="87"/>
      <c r="AC2076" s="87">
        <v>2</v>
      </c>
      <c r="AD2076" s="87"/>
      <c r="AE2076" s="87">
        <v>2</v>
      </c>
      <c r="AF2076" s="87"/>
      <c r="AG2076" s="87"/>
      <c r="AH2076" s="87"/>
      <c r="AI2076" s="87"/>
      <c r="AJ2076" s="87"/>
      <c r="AK2076" s="87"/>
      <c r="AL2076" s="87"/>
      <c r="AM2076" s="87"/>
      <c r="AN2076" s="87"/>
      <c r="AO2076" s="87"/>
      <c r="AP2076" s="87">
        <v>4</v>
      </c>
      <c r="AQ2076" s="87"/>
      <c r="AR2076" s="87"/>
      <c r="AS2076" s="87"/>
      <c r="AT2076" s="87"/>
      <c r="AU2076" s="87"/>
      <c r="AV2076" s="87"/>
      <c r="AW2076" s="88" t="str">
        <f>HYPERLINK("http://www.openstreetmap.org/?mlat=36.4343&amp;mlon=41.9067&amp;zoom=12#map=12/36.4343/41.9067","Maplink1")</f>
        <v>Maplink1</v>
      </c>
      <c r="AX2076" s="88" t="str">
        <f>HYPERLINK("https://www.google.iq/maps/search/+36.4343,41.9067/@36.4343,41.9067,14z?hl=en","Maplink2")</f>
        <v>Maplink2</v>
      </c>
      <c r="AY2076" s="88" t="str">
        <f>HYPERLINK("http://www.bing.com/maps/?lvl=14&amp;sty=h&amp;cp=36.4343~41.9067&amp;sp=point.36.4343_41.9067","Maplink3")</f>
        <v>Maplink3</v>
      </c>
      <c r="AZ2076" s="76"/>
    </row>
    <row r="2077" spans="1:52" x14ac:dyDescent="0.25">
      <c r="A2077" s="86">
        <v>17720</v>
      </c>
      <c r="B2077" s="87" t="s">
        <v>24</v>
      </c>
      <c r="C2077" s="87" t="s">
        <v>3994</v>
      </c>
      <c r="D2077" s="87" t="s">
        <v>4005</v>
      </c>
      <c r="E2077" s="87" t="s">
        <v>4006</v>
      </c>
      <c r="F2077" s="87">
        <v>36.542274243199998</v>
      </c>
      <c r="G2077" s="87">
        <v>41.672109928499999</v>
      </c>
      <c r="H2077" s="86">
        <v>9</v>
      </c>
      <c r="I2077" s="86">
        <v>54</v>
      </c>
      <c r="J2077" s="87"/>
      <c r="K2077" s="87"/>
      <c r="L2077" s="87"/>
      <c r="M2077" s="87"/>
      <c r="N2077" s="87"/>
      <c r="O2077" s="87"/>
      <c r="P2077" s="87"/>
      <c r="Q2077" s="87"/>
      <c r="R2077" s="87"/>
      <c r="S2077" s="87"/>
      <c r="T2077" s="87"/>
      <c r="U2077" s="87"/>
      <c r="V2077" s="87">
        <v>9</v>
      </c>
      <c r="W2077" s="87"/>
      <c r="X2077" s="87"/>
      <c r="Y2077" s="87"/>
      <c r="Z2077" s="87"/>
      <c r="AA2077" s="87"/>
      <c r="AB2077" s="87"/>
      <c r="AC2077" s="87">
        <v>7</v>
      </c>
      <c r="AD2077" s="87"/>
      <c r="AE2077" s="87">
        <v>2</v>
      </c>
      <c r="AF2077" s="87"/>
      <c r="AG2077" s="87"/>
      <c r="AH2077" s="87"/>
      <c r="AI2077" s="87"/>
      <c r="AJ2077" s="87"/>
      <c r="AK2077" s="87"/>
      <c r="AL2077" s="87"/>
      <c r="AM2077" s="87"/>
      <c r="AN2077" s="87"/>
      <c r="AO2077" s="87"/>
      <c r="AP2077" s="87">
        <v>9</v>
      </c>
      <c r="AQ2077" s="87"/>
      <c r="AR2077" s="87"/>
      <c r="AS2077" s="87"/>
      <c r="AT2077" s="87"/>
      <c r="AU2077" s="87"/>
      <c r="AV2077" s="87"/>
      <c r="AW2077" s="88" t="str">
        <f>HYPERLINK("http://www.openstreetmap.org/?mlat=36.5423&amp;mlon=41.6721&amp;zoom=12#map=12/36.5423/41.6721","Maplink1")</f>
        <v>Maplink1</v>
      </c>
      <c r="AX2077" s="88" t="str">
        <f>HYPERLINK("https://www.google.iq/maps/search/+36.5423,41.6721/@36.5423,41.6721,14z?hl=en","Maplink2")</f>
        <v>Maplink2</v>
      </c>
      <c r="AY2077" s="88" t="str">
        <f>HYPERLINK("http://www.bing.com/maps/?lvl=14&amp;sty=h&amp;cp=36.5423~41.6721&amp;sp=point.36.5423_41.6721","Maplink3")</f>
        <v>Maplink3</v>
      </c>
      <c r="AZ2077" s="76"/>
    </row>
    <row r="2078" spans="1:52" x14ac:dyDescent="0.25">
      <c r="A2078" s="86">
        <v>27285</v>
      </c>
      <c r="B2078" s="87" t="s">
        <v>24</v>
      </c>
      <c r="C2078" s="87" t="s">
        <v>3994</v>
      </c>
      <c r="D2078" s="87" t="s">
        <v>4007</v>
      </c>
      <c r="E2078" s="87" t="s">
        <v>5922</v>
      </c>
      <c r="F2078" s="87">
        <v>36.4943673864</v>
      </c>
      <c r="G2078" s="87">
        <v>41.868206134399998</v>
      </c>
      <c r="H2078" s="86">
        <v>160</v>
      </c>
      <c r="I2078" s="86">
        <v>960</v>
      </c>
      <c r="J2078" s="87"/>
      <c r="K2078" s="87"/>
      <c r="L2078" s="87"/>
      <c r="M2078" s="87"/>
      <c r="N2078" s="87"/>
      <c r="O2078" s="87"/>
      <c r="P2078" s="87"/>
      <c r="Q2078" s="87"/>
      <c r="R2078" s="87"/>
      <c r="S2078" s="87"/>
      <c r="T2078" s="87"/>
      <c r="U2078" s="87"/>
      <c r="V2078" s="87">
        <v>160</v>
      </c>
      <c r="W2078" s="87"/>
      <c r="X2078" s="87"/>
      <c r="Y2078" s="87"/>
      <c r="Z2078" s="87"/>
      <c r="AA2078" s="87"/>
      <c r="AB2078" s="87"/>
      <c r="AC2078" s="87">
        <v>160</v>
      </c>
      <c r="AD2078" s="87"/>
      <c r="AE2078" s="87"/>
      <c r="AF2078" s="87"/>
      <c r="AG2078" s="87"/>
      <c r="AH2078" s="87"/>
      <c r="AI2078" s="87"/>
      <c r="AJ2078" s="87"/>
      <c r="AK2078" s="87"/>
      <c r="AL2078" s="87"/>
      <c r="AM2078" s="87"/>
      <c r="AN2078" s="87"/>
      <c r="AO2078" s="87"/>
      <c r="AP2078" s="87">
        <v>160</v>
      </c>
      <c r="AQ2078" s="87"/>
      <c r="AR2078" s="87"/>
      <c r="AS2078" s="87"/>
      <c r="AT2078" s="87"/>
      <c r="AU2078" s="87"/>
      <c r="AV2078" s="87"/>
      <c r="AW2078" s="88" t="str">
        <f>HYPERLINK("http://www.openstreetmap.org/?mlat=36.4944&amp;mlon=41.8682&amp;zoom=12#map=12/36.4944/41.8682","Maplink1")</f>
        <v>Maplink1</v>
      </c>
      <c r="AX2078" s="88" t="str">
        <f>HYPERLINK("https://www.google.iq/maps/search/+36.4944,41.8682/@36.4944,41.8682,14z?hl=en","Maplink2")</f>
        <v>Maplink2</v>
      </c>
      <c r="AY2078" s="88" t="str">
        <f>HYPERLINK("http://www.bing.com/maps/?lvl=14&amp;sty=h&amp;cp=36.4944~41.8682&amp;sp=point.36.4944_41.8682","Maplink3")</f>
        <v>Maplink3</v>
      </c>
      <c r="AZ2078" s="76"/>
    </row>
    <row r="2079" spans="1:52" x14ac:dyDescent="0.25">
      <c r="A2079" s="86">
        <v>27398</v>
      </c>
      <c r="B2079" s="87" t="s">
        <v>24</v>
      </c>
      <c r="C2079" s="87" t="s">
        <v>3994</v>
      </c>
      <c r="D2079" s="87" t="s">
        <v>4008</v>
      </c>
      <c r="E2079" s="87" t="s">
        <v>4009</v>
      </c>
      <c r="F2079" s="87">
        <v>36.392418669400001</v>
      </c>
      <c r="G2079" s="87">
        <v>41.832972134499997</v>
      </c>
      <c r="H2079" s="86">
        <v>33</v>
      </c>
      <c r="I2079" s="86">
        <v>198</v>
      </c>
      <c r="J2079" s="87"/>
      <c r="K2079" s="87"/>
      <c r="L2079" s="87"/>
      <c r="M2079" s="87"/>
      <c r="N2079" s="87"/>
      <c r="O2079" s="87"/>
      <c r="P2079" s="87"/>
      <c r="Q2079" s="87"/>
      <c r="R2079" s="87"/>
      <c r="S2079" s="87"/>
      <c r="T2079" s="87"/>
      <c r="U2079" s="87"/>
      <c r="V2079" s="87">
        <v>33</v>
      </c>
      <c r="W2079" s="87"/>
      <c r="X2079" s="87"/>
      <c r="Y2079" s="87"/>
      <c r="Z2079" s="87"/>
      <c r="AA2079" s="87"/>
      <c r="AB2079" s="87"/>
      <c r="AC2079" s="87">
        <v>15</v>
      </c>
      <c r="AD2079" s="87"/>
      <c r="AE2079" s="87"/>
      <c r="AF2079" s="87"/>
      <c r="AG2079" s="87"/>
      <c r="AH2079" s="87"/>
      <c r="AI2079" s="87"/>
      <c r="AJ2079" s="87"/>
      <c r="AK2079" s="87">
        <v>18</v>
      </c>
      <c r="AL2079" s="87"/>
      <c r="AM2079" s="87"/>
      <c r="AN2079" s="87"/>
      <c r="AO2079" s="87"/>
      <c r="AP2079" s="87">
        <v>33</v>
      </c>
      <c r="AQ2079" s="87"/>
      <c r="AR2079" s="87"/>
      <c r="AS2079" s="87"/>
      <c r="AT2079" s="87"/>
      <c r="AU2079" s="87"/>
      <c r="AV2079" s="87"/>
      <c r="AW2079" s="88" t="str">
        <f>HYPERLINK("http://www.openstreetmap.org/?mlat=36.3924&amp;mlon=41.833&amp;zoom=12#map=12/36.3924/41.833","Maplink1")</f>
        <v>Maplink1</v>
      </c>
      <c r="AX2079" s="88" t="str">
        <f>HYPERLINK("https://www.google.iq/maps/search/+36.3924,41.833/@36.3924,41.833,14z?hl=en","Maplink2")</f>
        <v>Maplink2</v>
      </c>
      <c r="AY2079" s="88" t="str">
        <f>HYPERLINK("http://www.bing.com/maps/?lvl=14&amp;sty=h&amp;cp=36.3924~41.833&amp;sp=point.36.3924_41.833","Maplink3")</f>
        <v>Maplink3</v>
      </c>
      <c r="AZ2079" s="76"/>
    </row>
    <row r="2080" spans="1:52" x14ac:dyDescent="0.25">
      <c r="A2080" s="86">
        <v>28418</v>
      </c>
      <c r="B2080" s="87" t="s">
        <v>24</v>
      </c>
      <c r="C2080" s="87" t="s">
        <v>3994</v>
      </c>
      <c r="D2080" s="87" t="s">
        <v>4010</v>
      </c>
      <c r="E2080" s="87" t="s">
        <v>4011</v>
      </c>
      <c r="F2080" s="87">
        <v>36.375829244999998</v>
      </c>
      <c r="G2080" s="87">
        <v>41.763158518399997</v>
      </c>
      <c r="H2080" s="86">
        <v>88</v>
      </c>
      <c r="I2080" s="86">
        <v>528</v>
      </c>
      <c r="J2080" s="87"/>
      <c r="K2080" s="87"/>
      <c r="L2080" s="87"/>
      <c r="M2080" s="87"/>
      <c r="N2080" s="87"/>
      <c r="O2080" s="87"/>
      <c r="P2080" s="87"/>
      <c r="Q2080" s="87"/>
      <c r="R2080" s="87"/>
      <c r="S2080" s="87"/>
      <c r="T2080" s="87"/>
      <c r="U2080" s="87"/>
      <c r="V2080" s="87">
        <v>88</v>
      </c>
      <c r="W2080" s="87"/>
      <c r="X2080" s="87"/>
      <c r="Y2080" s="87"/>
      <c r="Z2080" s="87"/>
      <c r="AA2080" s="87"/>
      <c r="AB2080" s="87"/>
      <c r="AC2080" s="87"/>
      <c r="AD2080" s="87"/>
      <c r="AE2080" s="87">
        <v>88</v>
      </c>
      <c r="AF2080" s="87"/>
      <c r="AG2080" s="87"/>
      <c r="AH2080" s="87"/>
      <c r="AI2080" s="87"/>
      <c r="AJ2080" s="87"/>
      <c r="AK2080" s="87"/>
      <c r="AL2080" s="87"/>
      <c r="AM2080" s="87"/>
      <c r="AN2080" s="87"/>
      <c r="AO2080" s="87"/>
      <c r="AP2080" s="87">
        <v>88</v>
      </c>
      <c r="AQ2080" s="87"/>
      <c r="AR2080" s="87"/>
      <c r="AS2080" s="87"/>
      <c r="AT2080" s="87"/>
      <c r="AU2080" s="87"/>
      <c r="AV2080" s="87"/>
      <c r="AW2080" s="88" t="str">
        <f>HYPERLINK("http://www.openstreetmap.org/?mlat=36.3758&amp;mlon=41.7632&amp;zoom=12#map=12/36.3758/41.7632","Maplink1")</f>
        <v>Maplink1</v>
      </c>
      <c r="AX2080" s="88" t="str">
        <f>HYPERLINK("https://www.google.iq/maps/search/+36.3758,41.7632/@36.3758,41.7632,14z?hl=en","Maplink2")</f>
        <v>Maplink2</v>
      </c>
      <c r="AY2080" s="88" t="str">
        <f>HYPERLINK("http://www.bing.com/maps/?lvl=14&amp;sty=h&amp;cp=36.3758~41.7632&amp;sp=point.36.3758_41.7632","Maplink3")</f>
        <v>Maplink3</v>
      </c>
      <c r="AZ2080" s="76"/>
    </row>
    <row r="2081" spans="1:52" x14ac:dyDescent="0.25">
      <c r="A2081" s="86">
        <v>27283</v>
      </c>
      <c r="B2081" s="87" t="s">
        <v>24</v>
      </c>
      <c r="C2081" s="87" t="s">
        <v>3994</v>
      </c>
      <c r="D2081" s="87" t="s">
        <v>4012</v>
      </c>
      <c r="E2081" s="87" t="s">
        <v>4013</v>
      </c>
      <c r="F2081" s="87">
        <v>36.470173343900001</v>
      </c>
      <c r="G2081" s="87">
        <v>41.738118462099997</v>
      </c>
      <c r="H2081" s="86">
        <v>30</v>
      </c>
      <c r="I2081" s="86">
        <v>180</v>
      </c>
      <c r="J2081" s="87"/>
      <c r="K2081" s="87"/>
      <c r="L2081" s="87"/>
      <c r="M2081" s="87"/>
      <c r="N2081" s="87"/>
      <c r="O2081" s="87"/>
      <c r="P2081" s="87"/>
      <c r="Q2081" s="87"/>
      <c r="R2081" s="87"/>
      <c r="S2081" s="87"/>
      <c r="T2081" s="87"/>
      <c r="U2081" s="87"/>
      <c r="V2081" s="87">
        <v>30</v>
      </c>
      <c r="W2081" s="87"/>
      <c r="X2081" s="87"/>
      <c r="Y2081" s="87"/>
      <c r="Z2081" s="87"/>
      <c r="AA2081" s="87"/>
      <c r="AB2081" s="87"/>
      <c r="AC2081" s="87">
        <v>30</v>
      </c>
      <c r="AD2081" s="87"/>
      <c r="AE2081" s="87"/>
      <c r="AF2081" s="87"/>
      <c r="AG2081" s="87"/>
      <c r="AH2081" s="87"/>
      <c r="AI2081" s="87"/>
      <c r="AJ2081" s="87"/>
      <c r="AK2081" s="87"/>
      <c r="AL2081" s="87"/>
      <c r="AM2081" s="87"/>
      <c r="AN2081" s="87"/>
      <c r="AO2081" s="87"/>
      <c r="AP2081" s="87">
        <v>30</v>
      </c>
      <c r="AQ2081" s="87"/>
      <c r="AR2081" s="87"/>
      <c r="AS2081" s="87"/>
      <c r="AT2081" s="87"/>
      <c r="AU2081" s="87"/>
      <c r="AV2081" s="87"/>
      <c r="AW2081" s="88" t="str">
        <f>HYPERLINK("http://www.openstreetmap.org/?mlat=36.4702&amp;mlon=41.7381&amp;zoom=12#map=12/36.4702/41.7381","Maplink1")</f>
        <v>Maplink1</v>
      </c>
      <c r="AX2081" s="88" t="str">
        <f>HYPERLINK("https://www.google.iq/maps/search/+36.4702,41.7381/@36.4702,41.7381,14z?hl=en","Maplink2")</f>
        <v>Maplink2</v>
      </c>
      <c r="AY2081" s="88" t="str">
        <f>HYPERLINK("http://www.bing.com/maps/?lvl=14&amp;sty=h&amp;cp=36.4702~41.7381&amp;sp=point.36.4702_41.7381","Maplink3")</f>
        <v>Maplink3</v>
      </c>
      <c r="AZ2081" s="76"/>
    </row>
    <row r="2082" spans="1:52" x14ac:dyDescent="0.25">
      <c r="A2082" s="86">
        <v>27401</v>
      </c>
      <c r="B2082" s="87" t="s">
        <v>24</v>
      </c>
      <c r="C2082" s="87" t="s">
        <v>3994</v>
      </c>
      <c r="D2082" s="87" t="s">
        <v>4014</v>
      </c>
      <c r="E2082" s="87" t="s">
        <v>4015</v>
      </c>
      <c r="F2082" s="87">
        <v>36.459690092000002</v>
      </c>
      <c r="G2082" s="87">
        <v>41.612635058199999</v>
      </c>
      <c r="H2082" s="86">
        <v>7</v>
      </c>
      <c r="I2082" s="86">
        <v>42</v>
      </c>
      <c r="J2082" s="87"/>
      <c r="K2082" s="87"/>
      <c r="L2082" s="87"/>
      <c r="M2082" s="87"/>
      <c r="N2082" s="87"/>
      <c r="O2082" s="87"/>
      <c r="P2082" s="87"/>
      <c r="Q2082" s="87"/>
      <c r="R2082" s="87"/>
      <c r="S2082" s="87"/>
      <c r="T2082" s="87"/>
      <c r="U2082" s="87"/>
      <c r="V2082" s="87">
        <v>7</v>
      </c>
      <c r="W2082" s="87"/>
      <c r="X2082" s="87"/>
      <c r="Y2082" s="87"/>
      <c r="Z2082" s="87"/>
      <c r="AA2082" s="87"/>
      <c r="AB2082" s="87"/>
      <c r="AC2082" s="87">
        <v>7</v>
      </c>
      <c r="AD2082" s="87"/>
      <c r="AE2082" s="87"/>
      <c r="AF2082" s="87"/>
      <c r="AG2082" s="87"/>
      <c r="AH2082" s="87"/>
      <c r="AI2082" s="87"/>
      <c r="AJ2082" s="87"/>
      <c r="AK2082" s="87"/>
      <c r="AL2082" s="87"/>
      <c r="AM2082" s="87"/>
      <c r="AN2082" s="87"/>
      <c r="AO2082" s="87"/>
      <c r="AP2082" s="87">
        <v>7</v>
      </c>
      <c r="AQ2082" s="87"/>
      <c r="AR2082" s="87"/>
      <c r="AS2082" s="87"/>
      <c r="AT2082" s="87"/>
      <c r="AU2082" s="87"/>
      <c r="AV2082" s="87"/>
      <c r="AW2082" s="88" t="str">
        <f>HYPERLINK("http://www.openstreetmap.org/?mlat=36.4597&amp;mlon=41.6126&amp;zoom=12#map=12/36.4597/41.6126","Maplink1")</f>
        <v>Maplink1</v>
      </c>
      <c r="AX2082" s="88" t="str">
        <f>HYPERLINK("https://www.google.iq/maps/search/+36.4597,41.6126/@36.4597,41.6126,14z?hl=en","Maplink2")</f>
        <v>Maplink2</v>
      </c>
      <c r="AY2082" s="88" t="str">
        <f>HYPERLINK("http://www.bing.com/maps/?lvl=14&amp;sty=h&amp;cp=36.4597~41.6126&amp;sp=point.36.4597_41.6126","Maplink3")</f>
        <v>Maplink3</v>
      </c>
      <c r="AZ2082" s="76"/>
    </row>
    <row r="2083" spans="1:52" x14ac:dyDescent="0.25">
      <c r="A2083" s="86">
        <v>22490</v>
      </c>
      <c r="B2083" s="87" t="s">
        <v>24</v>
      </c>
      <c r="C2083" s="87" t="s">
        <v>3994</v>
      </c>
      <c r="D2083" s="87" t="s">
        <v>4016</v>
      </c>
      <c r="E2083" s="87" t="s">
        <v>70</v>
      </c>
      <c r="F2083" s="87">
        <v>36.320513241699999</v>
      </c>
      <c r="G2083" s="87">
        <v>41.8468825936</v>
      </c>
      <c r="H2083" s="86">
        <v>225</v>
      </c>
      <c r="I2083" s="86">
        <v>1350</v>
      </c>
      <c r="J2083" s="87"/>
      <c r="K2083" s="87"/>
      <c r="L2083" s="87"/>
      <c r="M2083" s="87"/>
      <c r="N2083" s="87"/>
      <c r="O2083" s="87"/>
      <c r="P2083" s="87"/>
      <c r="Q2083" s="87"/>
      <c r="R2083" s="87"/>
      <c r="S2083" s="87"/>
      <c r="T2083" s="87"/>
      <c r="U2083" s="87"/>
      <c r="V2083" s="87">
        <v>225</v>
      </c>
      <c r="W2083" s="87"/>
      <c r="X2083" s="87"/>
      <c r="Y2083" s="87"/>
      <c r="Z2083" s="87"/>
      <c r="AA2083" s="87"/>
      <c r="AB2083" s="87"/>
      <c r="AC2083" s="87">
        <v>225</v>
      </c>
      <c r="AD2083" s="87"/>
      <c r="AE2083" s="87"/>
      <c r="AF2083" s="87"/>
      <c r="AG2083" s="87"/>
      <c r="AH2083" s="87"/>
      <c r="AI2083" s="87"/>
      <c r="AJ2083" s="87"/>
      <c r="AK2083" s="87"/>
      <c r="AL2083" s="87"/>
      <c r="AM2083" s="87"/>
      <c r="AN2083" s="87"/>
      <c r="AO2083" s="87"/>
      <c r="AP2083" s="87">
        <v>225</v>
      </c>
      <c r="AQ2083" s="87"/>
      <c r="AR2083" s="87"/>
      <c r="AS2083" s="87"/>
      <c r="AT2083" s="87"/>
      <c r="AU2083" s="87"/>
      <c r="AV2083" s="87"/>
      <c r="AW2083" s="88" t="str">
        <f>HYPERLINK("http://www.openstreetmap.org/?mlat=36.3205&amp;mlon=41.8469&amp;zoom=12#map=12/36.3205/41.8469","Maplink1")</f>
        <v>Maplink1</v>
      </c>
      <c r="AX2083" s="88" t="str">
        <f>HYPERLINK("https://www.google.iq/maps/search/+36.3205,41.8469/@36.3205,41.8469,14z?hl=en","Maplink2")</f>
        <v>Maplink2</v>
      </c>
      <c r="AY2083" s="88" t="str">
        <f>HYPERLINK("http://www.bing.com/maps/?lvl=14&amp;sty=h&amp;cp=36.3205~41.8469&amp;sp=point.36.3205_41.8469","Maplink3")</f>
        <v>Maplink3</v>
      </c>
      <c r="AZ2083" s="76"/>
    </row>
    <row r="2084" spans="1:52" x14ac:dyDescent="0.25">
      <c r="A2084" s="86">
        <v>32089</v>
      </c>
      <c r="B2084" s="87" t="s">
        <v>24</v>
      </c>
      <c r="C2084" s="87" t="s">
        <v>3994</v>
      </c>
      <c r="D2084" s="87" t="s">
        <v>4017</v>
      </c>
      <c r="E2084" s="87" t="s">
        <v>4018</v>
      </c>
      <c r="F2084" s="87">
        <v>36.308650134499999</v>
      </c>
      <c r="G2084" s="87">
        <v>41.849258473200003</v>
      </c>
      <c r="H2084" s="86">
        <v>95</v>
      </c>
      <c r="I2084" s="86">
        <v>570</v>
      </c>
      <c r="J2084" s="87"/>
      <c r="K2084" s="87"/>
      <c r="L2084" s="87"/>
      <c r="M2084" s="87"/>
      <c r="N2084" s="87"/>
      <c r="O2084" s="87"/>
      <c r="P2084" s="87"/>
      <c r="Q2084" s="87"/>
      <c r="R2084" s="87"/>
      <c r="S2084" s="87"/>
      <c r="T2084" s="87"/>
      <c r="U2084" s="87"/>
      <c r="V2084" s="87">
        <v>95</v>
      </c>
      <c r="W2084" s="87"/>
      <c r="X2084" s="87"/>
      <c r="Y2084" s="87"/>
      <c r="Z2084" s="87"/>
      <c r="AA2084" s="87"/>
      <c r="AB2084" s="87"/>
      <c r="AC2084" s="87">
        <v>95</v>
      </c>
      <c r="AD2084" s="87"/>
      <c r="AE2084" s="87"/>
      <c r="AF2084" s="87"/>
      <c r="AG2084" s="87"/>
      <c r="AH2084" s="87"/>
      <c r="AI2084" s="87"/>
      <c r="AJ2084" s="87"/>
      <c r="AK2084" s="87"/>
      <c r="AL2084" s="87"/>
      <c r="AM2084" s="87"/>
      <c r="AN2084" s="87"/>
      <c r="AO2084" s="87"/>
      <c r="AP2084" s="87">
        <v>95</v>
      </c>
      <c r="AQ2084" s="87"/>
      <c r="AR2084" s="87"/>
      <c r="AS2084" s="87"/>
      <c r="AT2084" s="87"/>
      <c r="AU2084" s="87"/>
      <c r="AV2084" s="87"/>
      <c r="AW2084" s="88" t="str">
        <f>HYPERLINK("http://www.openstreetmap.org/?mlat=36.3087&amp;mlon=41.8493&amp;zoom=12#map=12/36.3087/41.8493","Maplink1")</f>
        <v>Maplink1</v>
      </c>
      <c r="AX2084" s="88" t="str">
        <f>HYPERLINK("https://www.google.iq/maps/search/+36.3087,41.8493/@36.3087,41.8493,14z?hl=en","Maplink2")</f>
        <v>Maplink2</v>
      </c>
      <c r="AY2084" s="88" t="str">
        <f>HYPERLINK("http://www.bing.com/maps/?lvl=14&amp;sty=h&amp;cp=36.3087~41.8493&amp;sp=point.36.3087_41.8493","Maplink3")</f>
        <v>Maplink3</v>
      </c>
      <c r="AZ2084" s="76"/>
    </row>
    <row r="2085" spans="1:52" x14ac:dyDescent="0.25">
      <c r="A2085" s="86">
        <v>23274</v>
      </c>
      <c r="B2085" s="87" t="s">
        <v>24</v>
      </c>
      <c r="C2085" s="87" t="s">
        <v>3994</v>
      </c>
      <c r="D2085" s="87" t="s">
        <v>4019</v>
      </c>
      <c r="E2085" s="87" t="s">
        <v>72</v>
      </c>
      <c r="F2085" s="87">
        <v>36.323421485700003</v>
      </c>
      <c r="G2085" s="87">
        <v>41.873654786400003</v>
      </c>
      <c r="H2085" s="86">
        <v>145</v>
      </c>
      <c r="I2085" s="86">
        <v>870</v>
      </c>
      <c r="J2085" s="87"/>
      <c r="K2085" s="87"/>
      <c r="L2085" s="87"/>
      <c r="M2085" s="87"/>
      <c r="N2085" s="87"/>
      <c r="O2085" s="87"/>
      <c r="P2085" s="87"/>
      <c r="Q2085" s="87"/>
      <c r="R2085" s="87"/>
      <c r="S2085" s="87"/>
      <c r="T2085" s="87"/>
      <c r="U2085" s="87"/>
      <c r="V2085" s="87">
        <v>145</v>
      </c>
      <c r="W2085" s="87"/>
      <c r="X2085" s="87"/>
      <c r="Y2085" s="87"/>
      <c r="Z2085" s="87"/>
      <c r="AA2085" s="87"/>
      <c r="AB2085" s="87"/>
      <c r="AC2085" s="87">
        <v>145</v>
      </c>
      <c r="AD2085" s="87"/>
      <c r="AE2085" s="87"/>
      <c r="AF2085" s="87"/>
      <c r="AG2085" s="87"/>
      <c r="AH2085" s="87"/>
      <c r="AI2085" s="87"/>
      <c r="AJ2085" s="87"/>
      <c r="AK2085" s="87"/>
      <c r="AL2085" s="87"/>
      <c r="AM2085" s="87"/>
      <c r="AN2085" s="87"/>
      <c r="AO2085" s="87"/>
      <c r="AP2085" s="87">
        <v>145</v>
      </c>
      <c r="AQ2085" s="87"/>
      <c r="AR2085" s="87"/>
      <c r="AS2085" s="87"/>
      <c r="AT2085" s="87"/>
      <c r="AU2085" s="87"/>
      <c r="AV2085" s="87"/>
      <c r="AW2085" s="88" t="str">
        <f>HYPERLINK("http://www.openstreetmap.org/?mlat=36.3234&amp;mlon=41.8737&amp;zoom=12#map=12/36.3234/41.8737","Maplink1")</f>
        <v>Maplink1</v>
      </c>
      <c r="AX2085" s="88" t="str">
        <f>HYPERLINK("https://www.google.iq/maps/search/+36.3234,41.8737/@36.3234,41.8737,14z?hl=en","Maplink2")</f>
        <v>Maplink2</v>
      </c>
      <c r="AY2085" s="88" t="str">
        <f>HYPERLINK("http://www.bing.com/maps/?lvl=14&amp;sty=h&amp;cp=36.3234~41.8737&amp;sp=point.36.3234_41.8737","Maplink3")</f>
        <v>Maplink3</v>
      </c>
      <c r="AZ2085" s="76"/>
    </row>
    <row r="2086" spans="1:52" x14ac:dyDescent="0.25">
      <c r="A2086" s="86">
        <v>23273</v>
      </c>
      <c r="B2086" s="87" t="s">
        <v>24</v>
      </c>
      <c r="C2086" s="87" t="s">
        <v>3994</v>
      </c>
      <c r="D2086" s="87" t="s">
        <v>4020</v>
      </c>
      <c r="E2086" s="87" t="s">
        <v>208</v>
      </c>
      <c r="F2086" s="87">
        <v>36.318109999999997</v>
      </c>
      <c r="G2086" s="87">
        <v>41.858673609699999</v>
      </c>
      <c r="H2086" s="86">
        <v>285</v>
      </c>
      <c r="I2086" s="86">
        <v>1710</v>
      </c>
      <c r="J2086" s="87"/>
      <c r="K2086" s="87"/>
      <c r="L2086" s="87"/>
      <c r="M2086" s="87"/>
      <c r="N2086" s="87"/>
      <c r="O2086" s="87"/>
      <c r="P2086" s="87"/>
      <c r="Q2086" s="87"/>
      <c r="R2086" s="87"/>
      <c r="S2086" s="87"/>
      <c r="T2086" s="87"/>
      <c r="U2086" s="87"/>
      <c r="V2086" s="87">
        <v>285</v>
      </c>
      <c r="W2086" s="87"/>
      <c r="X2086" s="87"/>
      <c r="Y2086" s="87"/>
      <c r="Z2086" s="87"/>
      <c r="AA2086" s="87"/>
      <c r="AB2086" s="87"/>
      <c r="AC2086" s="87">
        <v>285</v>
      </c>
      <c r="AD2086" s="87"/>
      <c r="AE2086" s="87"/>
      <c r="AF2086" s="87"/>
      <c r="AG2086" s="87"/>
      <c r="AH2086" s="87"/>
      <c r="AI2086" s="87"/>
      <c r="AJ2086" s="87"/>
      <c r="AK2086" s="87"/>
      <c r="AL2086" s="87"/>
      <c r="AM2086" s="87"/>
      <c r="AN2086" s="87"/>
      <c r="AO2086" s="87"/>
      <c r="AP2086" s="87">
        <v>285</v>
      </c>
      <c r="AQ2086" s="87"/>
      <c r="AR2086" s="87"/>
      <c r="AS2086" s="87"/>
      <c r="AT2086" s="87"/>
      <c r="AU2086" s="87"/>
      <c r="AV2086" s="87"/>
      <c r="AW2086" s="88" t="str">
        <f>HYPERLINK("http://www.openstreetmap.org/?mlat=36.3181&amp;mlon=41.8587&amp;zoom=12#map=12/36.3181/41.8587","Maplink1")</f>
        <v>Maplink1</v>
      </c>
      <c r="AX2086" s="88" t="str">
        <f>HYPERLINK("https://www.google.iq/maps/search/+36.3181,41.8587/@36.3181,41.8587,14z?hl=en","Maplink2")</f>
        <v>Maplink2</v>
      </c>
      <c r="AY2086" s="88" t="str">
        <f>HYPERLINK("http://www.bing.com/maps/?lvl=14&amp;sty=h&amp;cp=36.3181~41.8587&amp;sp=point.36.3181_41.8587","Maplink3")</f>
        <v>Maplink3</v>
      </c>
      <c r="AZ2086" s="76"/>
    </row>
    <row r="2087" spans="1:52" x14ac:dyDescent="0.25">
      <c r="A2087" s="86">
        <v>32090</v>
      </c>
      <c r="B2087" s="87" t="s">
        <v>24</v>
      </c>
      <c r="C2087" s="87" t="s">
        <v>3994</v>
      </c>
      <c r="D2087" s="87" t="s">
        <v>4021</v>
      </c>
      <c r="E2087" s="87" t="s">
        <v>4022</v>
      </c>
      <c r="F2087" s="87">
        <v>36.321523112100003</v>
      </c>
      <c r="G2087" s="87">
        <v>41.865954943799998</v>
      </c>
      <c r="H2087" s="86">
        <v>111</v>
      </c>
      <c r="I2087" s="86">
        <v>666</v>
      </c>
      <c r="J2087" s="87"/>
      <c r="K2087" s="87"/>
      <c r="L2087" s="87"/>
      <c r="M2087" s="87"/>
      <c r="N2087" s="87"/>
      <c r="O2087" s="87"/>
      <c r="P2087" s="87"/>
      <c r="Q2087" s="87"/>
      <c r="R2087" s="87"/>
      <c r="S2087" s="87"/>
      <c r="T2087" s="87"/>
      <c r="U2087" s="87"/>
      <c r="V2087" s="87">
        <v>111</v>
      </c>
      <c r="W2087" s="87"/>
      <c r="X2087" s="87"/>
      <c r="Y2087" s="87"/>
      <c r="Z2087" s="87"/>
      <c r="AA2087" s="87"/>
      <c r="AB2087" s="87"/>
      <c r="AC2087" s="87">
        <v>111</v>
      </c>
      <c r="AD2087" s="87"/>
      <c r="AE2087" s="87"/>
      <c r="AF2087" s="87"/>
      <c r="AG2087" s="87"/>
      <c r="AH2087" s="87"/>
      <c r="AI2087" s="87"/>
      <c r="AJ2087" s="87"/>
      <c r="AK2087" s="87"/>
      <c r="AL2087" s="87"/>
      <c r="AM2087" s="87"/>
      <c r="AN2087" s="87"/>
      <c r="AO2087" s="87"/>
      <c r="AP2087" s="87">
        <v>111</v>
      </c>
      <c r="AQ2087" s="87"/>
      <c r="AR2087" s="87"/>
      <c r="AS2087" s="87"/>
      <c r="AT2087" s="87"/>
      <c r="AU2087" s="87"/>
      <c r="AV2087" s="87"/>
      <c r="AW2087" s="88" t="s">
        <v>4023</v>
      </c>
      <c r="AX2087" s="88" t="s">
        <v>4023</v>
      </c>
      <c r="AY2087" s="88" t="s">
        <v>4023</v>
      </c>
      <c r="AZ2087" s="76"/>
    </row>
    <row r="2088" spans="1:52" x14ac:dyDescent="0.25">
      <c r="A2088" s="86">
        <v>22487</v>
      </c>
      <c r="B2088" s="87" t="s">
        <v>24</v>
      </c>
      <c r="C2088" s="87" t="s">
        <v>3994</v>
      </c>
      <c r="D2088" s="87" t="s">
        <v>3256</v>
      </c>
      <c r="E2088" s="87" t="s">
        <v>3257</v>
      </c>
      <c r="F2088" s="87">
        <v>36.315899098300001</v>
      </c>
      <c r="G2088" s="87">
        <v>41.855111987500003</v>
      </c>
      <c r="H2088" s="86">
        <v>170</v>
      </c>
      <c r="I2088" s="86">
        <v>1020</v>
      </c>
      <c r="J2088" s="87"/>
      <c r="K2088" s="87"/>
      <c r="L2088" s="87"/>
      <c r="M2088" s="87"/>
      <c r="N2088" s="87"/>
      <c r="O2088" s="87"/>
      <c r="P2088" s="87"/>
      <c r="Q2088" s="87"/>
      <c r="R2088" s="87"/>
      <c r="S2088" s="87"/>
      <c r="T2088" s="87"/>
      <c r="U2088" s="87"/>
      <c r="V2088" s="87">
        <v>170</v>
      </c>
      <c r="W2088" s="87"/>
      <c r="X2088" s="87"/>
      <c r="Y2088" s="87"/>
      <c r="Z2088" s="87"/>
      <c r="AA2088" s="87"/>
      <c r="AB2088" s="87"/>
      <c r="AC2088" s="87">
        <v>170</v>
      </c>
      <c r="AD2088" s="87"/>
      <c r="AE2088" s="87"/>
      <c r="AF2088" s="87"/>
      <c r="AG2088" s="87"/>
      <c r="AH2088" s="87"/>
      <c r="AI2088" s="87"/>
      <c r="AJ2088" s="87"/>
      <c r="AK2088" s="87"/>
      <c r="AL2088" s="87"/>
      <c r="AM2088" s="87"/>
      <c r="AN2088" s="87"/>
      <c r="AO2088" s="87"/>
      <c r="AP2088" s="87">
        <v>170</v>
      </c>
      <c r="AQ2088" s="87"/>
      <c r="AR2088" s="87"/>
      <c r="AS2088" s="87"/>
      <c r="AT2088" s="87"/>
      <c r="AU2088" s="87"/>
      <c r="AV2088" s="87"/>
      <c r="AW2088" s="88" t="str">
        <f>HYPERLINK("http://www.openstreetmap.org/?mlat=36.3159&amp;mlon=41.8551&amp;zoom=12#map=12/36.3159/41.8551","Maplink1")</f>
        <v>Maplink1</v>
      </c>
      <c r="AX2088" s="88" t="str">
        <f>HYPERLINK("https://www.google.iq/maps/search/+36.3159,41.8551/@36.3159,41.8551,14z?hl=en","Maplink2")</f>
        <v>Maplink2</v>
      </c>
      <c r="AY2088" s="88" t="str">
        <f>HYPERLINK("http://www.bing.com/maps/?lvl=14&amp;sty=h&amp;cp=36.3159~41.8551&amp;sp=point.36.3159_41.8551","Maplink3")</f>
        <v>Maplink3</v>
      </c>
      <c r="AZ2088" s="76"/>
    </row>
    <row r="2089" spans="1:52" x14ac:dyDescent="0.25">
      <c r="A2089" s="86">
        <v>22484</v>
      </c>
      <c r="B2089" s="87" t="s">
        <v>24</v>
      </c>
      <c r="C2089" s="87" t="s">
        <v>3994</v>
      </c>
      <c r="D2089" s="87" t="s">
        <v>4024</v>
      </c>
      <c r="E2089" s="87" t="s">
        <v>4025</v>
      </c>
      <c r="F2089" s="87">
        <v>36.320771654399998</v>
      </c>
      <c r="G2089" s="87">
        <v>41.852918685699997</v>
      </c>
      <c r="H2089" s="86">
        <v>90</v>
      </c>
      <c r="I2089" s="86">
        <v>540</v>
      </c>
      <c r="J2089" s="87"/>
      <c r="K2089" s="87"/>
      <c r="L2089" s="87"/>
      <c r="M2089" s="87"/>
      <c r="N2089" s="87"/>
      <c r="O2089" s="87"/>
      <c r="P2089" s="87"/>
      <c r="Q2089" s="87"/>
      <c r="R2089" s="87"/>
      <c r="S2089" s="87"/>
      <c r="T2089" s="87"/>
      <c r="U2089" s="87"/>
      <c r="V2089" s="87">
        <v>90</v>
      </c>
      <c r="W2089" s="87"/>
      <c r="X2089" s="87"/>
      <c r="Y2089" s="87"/>
      <c r="Z2089" s="87"/>
      <c r="AA2089" s="87"/>
      <c r="AB2089" s="87"/>
      <c r="AC2089" s="87">
        <v>90</v>
      </c>
      <c r="AD2089" s="87"/>
      <c r="AE2089" s="87"/>
      <c r="AF2089" s="87"/>
      <c r="AG2089" s="87"/>
      <c r="AH2089" s="87"/>
      <c r="AI2089" s="87"/>
      <c r="AJ2089" s="87"/>
      <c r="AK2089" s="87"/>
      <c r="AL2089" s="87"/>
      <c r="AM2089" s="87"/>
      <c r="AN2089" s="87"/>
      <c r="AO2089" s="87"/>
      <c r="AP2089" s="87">
        <v>90</v>
      </c>
      <c r="AQ2089" s="87"/>
      <c r="AR2089" s="87"/>
      <c r="AS2089" s="87"/>
      <c r="AT2089" s="87"/>
      <c r="AU2089" s="87"/>
      <c r="AV2089" s="87"/>
      <c r="AW2089" s="88" t="str">
        <f>HYPERLINK("http://www.openstreetmap.org/?mlat=36.3208&amp;mlon=41.8529&amp;zoom=12#map=12/36.3208/41.8529","Maplink1")</f>
        <v>Maplink1</v>
      </c>
      <c r="AX2089" s="88" t="str">
        <f>HYPERLINK("https://www.google.iq/maps/search/+36.3208,41.8529/@36.3208,41.8529,14z?hl=en","Maplink2")</f>
        <v>Maplink2</v>
      </c>
      <c r="AY2089" s="88" t="str">
        <f>HYPERLINK("http://www.bing.com/maps/?lvl=14&amp;sty=h&amp;cp=36.3208~41.8529&amp;sp=point.36.3208_41.8529","Maplink3")</f>
        <v>Maplink3</v>
      </c>
      <c r="AZ2089" s="76"/>
    </row>
    <row r="2090" spans="1:52" x14ac:dyDescent="0.25">
      <c r="A2090" s="86">
        <v>29676</v>
      </c>
      <c r="B2090" s="87" t="s">
        <v>24</v>
      </c>
      <c r="C2090" s="87" t="s">
        <v>3994</v>
      </c>
      <c r="D2090" s="87" t="s">
        <v>4026</v>
      </c>
      <c r="E2090" s="87" t="s">
        <v>4027</v>
      </c>
      <c r="F2090" s="87">
        <v>36.320018863400001</v>
      </c>
      <c r="G2090" s="87">
        <v>41.876945244600002</v>
      </c>
      <c r="H2090" s="86">
        <v>50</v>
      </c>
      <c r="I2090" s="86">
        <v>300</v>
      </c>
      <c r="J2090" s="87"/>
      <c r="K2090" s="87"/>
      <c r="L2090" s="87"/>
      <c r="M2090" s="87"/>
      <c r="N2090" s="87"/>
      <c r="O2090" s="87"/>
      <c r="P2090" s="87"/>
      <c r="Q2090" s="87"/>
      <c r="R2090" s="87"/>
      <c r="S2090" s="87"/>
      <c r="T2090" s="87"/>
      <c r="U2090" s="87"/>
      <c r="V2090" s="87">
        <v>50</v>
      </c>
      <c r="W2090" s="87"/>
      <c r="X2090" s="87"/>
      <c r="Y2090" s="87"/>
      <c r="Z2090" s="87"/>
      <c r="AA2090" s="87"/>
      <c r="AB2090" s="87"/>
      <c r="AC2090" s="87">
        <v>50</v>
      </c>
      <c r="AD2090" s="87"/>
      <c r="AE2090" s="87"/>
      <c r="AF2090" s="87"/>
      <c r="AG2090" s="87"/>
      <c r="AH2090" s="87"/>
      <c r="AI2090" s="87"/>
      <c r="AJ2090" s="87"/>
      <c r="AK2090" s="87"/>
      <c r="AL2090" s="87"/>
      <c r="AM2090" s="87"/>
      <c r="AN2090" s="87"/>
      <c r="AO2090" s="87"/>
      <c r="AP2090" s="87">
        <v>50</v>
      </c>
      <c r="AQ2090" s="87"/>
      <c r="AR2090" s="87"/>
      <c r="AS2090" s="87"/>
      <c r="AT2090" s="87"/>
      <c r="AU2090" s="87"/>
      <c r="AV2090" s="87"/>
      <c r="AW2090" s="88" t="str">
        <f>HYPERLINK("http://www.openstreetmap.org/?mlat=36.32&amp;mlon=41.8769&amp;zoom=12#map=12/36.32/41.8769","Maplink1")</f>
        <v>Maplink1</v>
      </c>
      <c r="AX2090" s="88" t="str">
        <f>HYPERLINK("https://www.google.iq/maps/search/+36.32,41.8769/@36.32,41.8769,14z?hl=en","Maplink2")</f>
        <v>Maplink2</v>
      </c>
      <c r="AY2090" s="88" t="str">
        <f>HYPERLINK("http://www.bing.com/maps/?lvl=14&amp;sty=h&amp;cp=36.32~41.8769&amp;sp=point.36.32_41.8769","Maplink3")</f>
        <v>Maplink3</v>
      </c>
      <c r="AZ2090" s="76"/>
    </row>
    <row r="2091" spans="1:52" x14ac:dyDescent="0.25">
      <c r="A2091" s="86">
        <v>27288</v>
      </c>
      <c r="B2091" s="87" t="s">
        <v>24</v>
      </c>
      <c r="C2091" s="87" t="s">
        <v>3994</v>
      </c>
      <c r="D2091" s="87" t="s">
        <v>4028</v>
      </c>
      <c r="E2091" s="87" t="s">
        <v>4029</v>
      </c>
      <c r="F2091" s="87">
        <v>36.377164634400003</v>
      </c>
      <c r="G2091" s="87">
        <v>41.687696773299997</v>
      </c>
      <c r="H2091" s="86">
        <v>95</v>
      </c>
      <c r="I2091" s="86">
        <v>570</v>
      </c>
      <c r="J2091" s="87"/>
      <c r="K2091" s="87"/>
      <c r="L2091" s="87"/>
      <c r="M2091" s="87"/>
      <c r="N2091" s="87"/>
      <c r="O2091" s="87"/>
      <c r="P2091" s="87"/>
      <c r="Q2091" s="87"/>
      <c r="R2091" s="87"/>
      <c r="S2091" s="87"/>
      <c r="T2091" s="87"/>
      <c r="U2091" s="87"/>
      <c r="V2091" s="87">
        <v>95</v>
      </c>
      <c r="W2091" s="87"/>
      <c r="X2091" s="87"/>
      <c r="Y2091" s="87"/>
      <c r="Z2091" s="87"/>
      <c r="AA2091" s="87"/>
      <c r="AB2091" s="87"/>
      <c r="AC2091" s="87">
        <v>95</v>
      </c>
      <c r="AD2091" s="87"/>
      <c r="AE2091" s="87"/>
      <c r="AF2091" s="87"/>
      <c r="AG2091" s="87"/>
      <c r="AH2091" s="87"/>
      <c r="AI2091" s="87"/>
      <c r="AJ2091" s="87"/>
      <c r="AK2091" s="87"/>
      <c r="AL2091" s="87"/>
      <c r="AM2091" s="87"/>
      <c r="AN2091" s="87"/>
      <c r="AO2091" s="87"/>
      <c r="AP2091" s="87">
        <v>95</v>
      </c>
      <c r="AQ2091" s="87"/>
      <c r="AR2091" s="87"/>
      <c r="AS2091" s="87"/>
      <c r="AT2091" s="87"/>
      <c r="AU2091" s="87"/>
      <c r="AV2091" s="87"/>
      <c r="AW2091" s="88" t="str">
        <f>HYPERLINK("http://www.openstreetmap.org/?mlat=36.3772&amp;mlon=41.6877&amp;zoom=12#map=12/36.3772/41.6877","Maplink1")</f>
        <v>Maplink1</v>
      </c>
      <c r="AX2091" s="88" t="str">
        <f>HYPERLINK("https://www.google.iq/maps/search/+36.3772,41.6877/@36.3772,41.6877,14z?hl=en","Maplink2")</f>
        <v>Maplink2</v>
      </c>
      <c r="AY2091" s="88" t="str">
        <f>HYPERLINK("http://www.bing.com/maps/?lvl=14&amp;sty=h&amp;cp=36.3772~41.6877&amp;sp=point.36.3772_41.6877","Maplink3")</f>
        <v>Maplink3</v>
      </c>
      <c r="AZ2091" s="76"/>
    </row>
    <row r="2092" spans="1:52" x14ac:dyDescent="0.25">
      <c r="A2092" s="86">
        <v>17845</v>
      </c>
      <c r="B2092" s="87" t="s">
        <v>24</v>
      </c>
      <c r="C2092" s="87" t="s">
        <v>3994</v>
      </c>
      <c r="D2092" s="87" t="s">
        <v>4030</v>
      </c>
      <c r="E2092" s="87" t="s">
        <v>4031</v>
      </c>
      <c r="F2092" s="87">
        <v>36.464740753699999</v>
      </c>
      <c r="G2092" s="87">
        <v>41.627578613600001</v>
      </c>
      <c r="H2092" s="86">
        <v>500</v>
      </c>
      <c r="I2092" s="86">
        <v>3000</v>
      </c>
      <c r="J2092" s="87"/>
      <c r="K2092" s="87"/>
      <c r="L2092" s="87"/>
      <c r="M2092" s="87"/>
      <c r="N2092" s="87"/>
      <c r="O2092" s="87"/>
      <c r="P2092" s="87"/>
      <c r="Q2092" s="87"/>
      <c r="R2092" s="87"/>
      <c r="S2092" s="87"/>
      <c r="T2092" s="87"/>
      <c r="U2092" s="87"/>
      <c r="V2092" s="87">
        <v>500</v>
      </c>
      <c r="W2092" s="87"/>
      <c r="X2092" s="87"/>
      <c r="Y2092" s="87"/>
      <c r="Z2092" s="87"/>
      <c r="AA2092" s="87"/>
      <c r="AB2092" s="87"/>
      <c r="AC2092" s="87">
        <v>500</v>
      </c>
      <c r="AD2092" s="87"/>
      <c r="AE2092" s="87"/>
      <c r="AF2092" s="87"/>
      <c r="AG2092" s="87"/>
      <c r="AH2092" s="87"/>
      <c r="AI2092" s="87"/>
      <c r="AJ2092" s="87"/>
      <c r="AK2092" s="87"/>
      <c r="AL2092" s="87"/>
      <c r="AM2092" s="87"/>
      <c r="AN2092" s="87"/>
      <c r="AO2092" s="87"/>
      <c r="AP2092" s="87">
        <v>500</v>
      </c>
      <c r="AQ2092" s="87"/>
      <c r="AR2092" s="87"/>
      <c r="AS2092" s="87"/>
      <c r="AT2092" s="87"/>
      <c r="AU2092" s="87"/>
      <c r="AV2092" s="87"/>
      <c r="AW2092" s="88" t="str">
        <f>HYPERLINK("http://www.openstreetmap.org/?mlat=36.4647&amp;mlon=41.6276&amp;zoom=12#map=12/36.4647/41.6276","Maplink1")</f>
        <v>Maplink1</v>
      </c>
      <c r="AX2092" s="88" t="str">
        <f>HYPERLINK("https://www.google.iq/maps/search/+36.4647,41.6276/@36.4647,41.6276,14z?hl=en","Maplink2")</f>
        <v>Maplink2</v>
      </c>
      <c r="AY2092" s="88" t="str">
        <f>HYPERLINK("http://www.bing.com/maps/?lvl=14&amp;sty=h&amp;cp=36.4647~41.6276&amp;sp=point.36.4647_41.6276","Maplink3")</f>
        <v>Maplink3</v>
      </c>
      <c r="AZ2092" s="76"/>
    </row>
    <row r="2093" spans="1:52" x14ac:dyDescent="0.25">
      <c r="A2093" s="86">
        <v>27358</v>
      </c>
      <c r="B2093" s="87" t="s">
        <v>24</v>
      </c>
      <c r="C2093" s="87" t="s">
        <v>3994</v>
      </c>
      <c r="D2093" s="87" t="s">
        <v>4032</v>
      </c>
      <c r="E2093" s="87" t="s">
        <v>4033</v>
      </c>
      <c r="F2093" s="87">
        <v>36.371528912400002</v>
      </c>
      <c r="G2093" s="87">
        <v>41.725110782400002</v>
      </c>
      <c r="H2093" s="86">
        <v>50</v>
      </c>
      <c r="I2093" s="86">
        <v>300</v>
      </c>
      <c r="J2093" s="87"/>
      <c r="K2093" s="87"/>
      <c r="L2093" s="87"/>
      <c r="M2093" s="87"/>
      <c r="N2093" s="87"/>
      <c r="O2093" s="87"/>
      <c r="P2093" s="87"/>
      <c r="Q2093" s="87"/>
      <c r="R2093" s="87"/>
      <c r="S2093" s="87"/>
      <c r="T2093" s="87"/>
      <c r="U2093" s="87"/>
      <c r="V2093" s="87">
        <v>50</v>
      </c>
      <c r="W2093" s="87"/>
      <c r="X2093" s="87"/>
      <c r="Y2093" s="87"/>
      <c r="Z2093" s="87"/>
      <c r="AA2093" s="87"/>
      <c r="AB2093" s="87"/>
      <c r="AC2093" s="87">
        <v>19</v>
      </c>
      <c r="AD2093" s="87"/>
      <c r="AE2093" s="87">
        <v>31</v>
      </c>
      <c r="AF2093" s="87"/>
      <c r="AG2093" s="87"/>
      <c r="AH2093" s="87"/>
      <c r="AI2093" s="87"/>
      <c r="AJ2093" s="87"/>
      <c r="AK2093" s="87"/>
      <c r="AL2093" s="87"/>
      <c r="AM2093" s="87"/>
      <c r="AN2093" s="87"/>
      <c r="AO2093" s="87"/>
      <c r="AP2093" s="87">
        <v>50</v>
      </c>
      <c r="AQ2093" s="87"/>
      <c r="AR2093" s="87"/>
      <c r="AS2093" s="87"/>
      <c r="AT2093" s="87"/>
      <c r="AU2093" s="87"/>
      <c r="AV2093" s="87"/>
      <c r="AW2093" s="88" t="str">
        <f>HYPERLINK("http://www.openstreetmap.org/?mlat=36.3715&amp;mlon=41.7251&amp;zoom=12#map=12/36.3715/41.7251","Maplink1")</f>
        <v>Maplink1</v>
      </c>
      <c r="AX2093" s="88" t="str">
        <f>HYPERLINK("https://www.google.iq/maps/search/+36.3715,41.7251/@36.3715,41.7251,14z?hl=en","Maplink2")</f>
        <v>Maplink2</v>
      </c>
      <c r="AY2093" s="88" t="str">
        <f>HYPERLINK("http://www.bing.com/maps/?lvl=14&amp;sty=h&amp;cp=36.3715~41.7251&amp;sp=point.36.3715_41.7251","Maplink3")</f>
        <v>Maplink3</v>
      </c>
      <c r="AZ2093" s="76"/>
    </row>
    <row r="2094" spans="1:52" x14ac:dyDescent="0.25">
      <c r="A2094" s="86">
        <v>27364</v>
      </c>
      <c r="B2094" s="87" t="s">
        <v>24</v>
      </c>
      <c r="C2094" s="87" t="s">
        <v>3994</v>
      </c>
      <c r="D2094" s="87" t="s">
        <v>4034</v>
      </c>
      <c r="E2094" s="87" t="s">
        <v>4035</v>
      </c>
      <c r="F2094" s="87">
        <v>36.372352709399998</v>
      </c>
      <c r="G2094" s="87">
        <v>41.7071758473</v>
      </c>
      <c r="H2094" s="86">
        <v>113</v>
      </c>
      <c r="I2094" s="86">
        <v>678</v>
      </c>
      <c r="J2094" s="87"/>
      <c r="K2094" s="87"/>
      <c r="L2094" s="87"/>
      <c r="M2094" s="87"/>
      <c r="N2094" s="87"/>
      <c r="O2094" s="87"/>
      <c r="P2094" s="87"/>
      <c r="Q2094" s="87"/>
      <c r="R2094" s="87"/>
      <c r="S2094" s="87"/>
      <c r="T2094" s="87"/>
      <c r="U2094" s="87"/>
      <c r="V2094" s="87">
        <v>113</v>
      </c>
      <c r="W2094" s="87"/>
      <c r="X2094" s="87"/>
      <c r="Y2094" s="87"/>
      <c r="Z2094" s="87"/>
      <c r="AA2094" s="87"/>
      <c r="AB2094" s="87"/>
      <c r="AC2094" s="87">
        <v>17</v>
      </c>
      <c r="AD2094" s="87"/>
      <c r="AE2094" s="87"/>
      <c r="AF2094" s="87"/>
      <c r="AG2094" s="87"/>
      <c r="AH2094" s="87"/>
      <c r="AI2094" s="87"/>
      <c r="AJ2094" s="87"/>
      <c r="AK2094" s="87">
        <v>96</v>
      </c>
      <c r="AL2094" s="87"/>
      <c r="AM2094" s="87"/>
      <c r="AN2094" s="87"/>
      <c r="AO2094" s="87"/>
      <c r="AP2094" s="87">
        <v>113</v>
      </c>
      <c r="AQ2094" s="87"/>
      <c r="AR2094" s="87"/>
      <c r="AS2094" s="87"/>
      <c r="AT2094" s="87"/>
      <c r="AU2094" s="87"/>
      <c r="AV2094" s="87"/>
      <c r="AW2094" s="88" t="str">
        <f>HYPERLINK("http://www.openstreetmap.org/?mlat=36.3724&amp;mlon=41.7072&amp;zoom=12#map=12/36.3724/41.7072","Maplink1")</f>
        <v>Maplink1</v>
      </c>
      <c r="AX2094" s="88" t="str">
        <f>HYPERLINK("https://www.google.iq/maps/search/+36.3724,41.7072/@36.3724,41.7072,14z?hl=en","Maplink2")</f>
        <v>Maplink2</v>
      </c>
      <c r="AY2094" s="88" t="str">
        <f>HYPERLINK("http://www.bing.com/maps/?lvl=14&amp;sty=h&amp;cp=36.3724~41.7072&amp;sp=point.36.3724_41.7072","Maplink3")</f>
        <v>Maplink3</v>
      </c>
      <c r="AZ2094" s="76"/>
    </row>
    <row r="2095" spans="1:52" x14ac:dyDescent="0.25">
      <c r="A2095" s="86">
        <v>27363</v>
      </c>
      <c r="B2095" s="87" t="s">
        <v>24</v>
      </c>
      <c r="C2095" s="87" t="s">
        <v>3994</v>
      </c>
      <c r="D2095" s="87" t="s">
        <v>4036</v>
      </c>
      <c r="E2095" s="87" t="s">
        <v>4037</v>
      </c>
      <c r="F2095" s="87">
        <v>36.417222752699999</v>
      </c>
      <c r="G2095" s="87">
        <v>41.884285228099998</v>
      </c>
      <c r="H2095" s="86">
        <v>23</v>
      </c>
      <c r="I2095" s="86">
        <v>138</v>
      </c>
      <c r="J2095" s="87"/>
      <c r="K2095" s="87"/>
      <c r="L2095" s="87"/>
      <c r="M2095" s="87"/>
      <c r="N2095" s="87"/>
      <c r="O2095" s="87"/>
      <c r="P2095" s="87"/>
      <c r="Q2095" s="87"/>
      <c r="R2095" s="87"/>
      <c r="S2095" s="87"/>
      <c r="T2095" s="87"/>
      <c r="U2095" s="87"/>
      <c r="V2095" s="87">
        <v>23</v>
      </c>
      <c r="W2095" s="87"/>
      <c r="X2095" s="87"/>
      <c r="Y2095" s="87"/>
      <c r="Z2095" s="87"/>
      <c r="AA2095" s="87"/>
      <c r="AB2095" s="87"/>
      <c r="AC2095" s="87">
        <v>3</v>
      </c>
      <c r="AD2095" s="87"/>
      <c r="AE2095" s="87">
        <v>15</v>
      </c>
      <c r="AF2095" s="87"/>
      <c r="AG2095" s="87"/>
      <c r="AH2095" s="87"/>
      <c r="AI2095" s="87"/>
      <c r="AJ2095" s="87"/>
      <c r="AK2095" s="87">
        <v>5</v>
      </c>
      <c r="AL2095" s="87"/>
      <c r="AM2095" s="87"/>
      <c r="AN2095" s="87"/>
      <c r="AO2095" s="87"/>
      <c r="AP2095" s="87">
        <v>23</v>
      </c>
      <c r="AQ2095" s="87"/>
      <c r="AR2095" s="87"/>
      <c r="AS2095" s="87"/>
      <c r="AT2095" s="87"/>
      <c r="AU2095" s="87"/>
      <c r="AV2095" s="87"/>
      <c r="AW2095" s="88" t="str">
        <f>HYPERLINK("http://www.openstreetmap.org/?mlat=36.4172&amp;mlon=41.8843&amp;zoom=12#map=12/36.4172/41.8843","Maplink1")</f>
        <v>Maplink1</v>
      </c>
      <c r="AX2095" s="88" t="str">
        <f>HYPERLINK("https://www.google.iq/maps/search/+36.4172,41.8843/@36.4172,41.8843,14z?hl=en","Maplink2")</f>
        <v>Maplink2</v>
      </c>
      <c r="AY2095" s="88" t="str">
        <f>HYPERLINK("http://www.bing.com/maps/?lvl=14&amp;sty=h&amp;cp=36.4172~41.8843&amp;sp=point.36.4172_41.8843","Maplink3")</f>
        <v>Maplink3</v>
      </c>
      <c r="AZ2095" s="76"/>
    </row>
    <row r="2096" spans="1:52" x14ac:dyDescent="0.25">
      <c r="A2096" s="86">
        <v>17694</v>
      </c>
      <c r="B2096" s="87" t="s">
        <v>24</v>
      </c>
      <c r="C2096" s="87" t="s">
        <v>3994</v>
      </c>
      <c r="D2096" s="87" t="s">
        <v>4038</v>
      </c>
      <c r="E2096" s="87" t="s">
        <v>4039</v>
      </c>
      <c r="F2096" s="87">
        <v>36.453664677200003</v>
      </c>
      <c r="G2096" s="87">
        <v>41.758255044099997</v>
      </c>
      <c r="H2096" s="86">
        <v>3</v>
      </c>
      <c r="I2096" s="86">
        <v>18</v>
      </c>
      <c r="J2096" s="87"/>
      <c r="K2096" s="87"/>
      <c r="L2096" s="87"/>
      <c r="M2096" s="87"/>
      <c r="N2096" s="87"/>
      <c r="O2096" s="87"/>
      <c r="P2096" s="87"/>
      <c r="Q2096" s="87"/>
      <c r="R2096" s="87"/>
      <c r="S2096" s="87"/>
      <c r="T2096" s="87"/>
      <c r="U2096" s="87"/>
      <c r="V2096" s="87">
        <v>3</v>
      </c>
      <c r="W2096" s="87"/>
      <c r="X2096" s="87"/>
      <c r="Y2096" s="87"/>
      <c r="Z2096" s="87"/>
      <c r="AA2096" s="87"/>
      <c r="AB2096" s="87"/>
      <c r="AC2096" s="87">
        <v>3</v>
      </c>
      <c r="AD2096" s="87"/>
      <c r="AE2096" s="87"/>
      <c r="AF2096" s="87"/>
      <c r="AG2096" s="87"/>
      <c r="AH2096" s="87"/>
      <c r="AI2096" s="87"/>
      <c r="AJ2096" s="87"/>
      <c r="AK2096" s="87"/>
      <c r="AL2096" s="87"/>
      <c r="AM2096" s="87"/>
      <c r="AN2096" s="87"/>
      <c r="AO2096" s="87"/>
      <c r="AP2096" s="87">
        <v>3</v>
      </c>
      <c r="AQ2096" s="87"/>
      <c r="AR2096" s="87"/>
      <c r="AS2096" s="87"/>
      <c r="AT2096" s="87"/>
      <c r="AU2096" s="87"/>
      <c r="AV2096" s="87"/>
      <c r="AW2096" s="88" t="str">
        <f>HYPERLINK("http://www.openstreetmap.org/?mlat=36.4537&amp;mlon=41.7583&amp;zoom=12#map=12/36.4537/41.7583","Maplink1")</f>
        <v>Maplink1</v>
      </c>
      <c r="AX2096" s="88" t="str">
        <f>HYPERLINK("https://www.google.iq/maps/search/+36.4537,41.7583/@36.4537,41.7583,14z?hl=en","Maplink2")</f>
        <v>Maplink2</v>
      </c>
      <c r="AY2096" s="88" t="str">
        <f>HYPERLINK("http://www.bing.com/maps/?lvl=14&amp;sty=h&amp;cp=36.4537~41.7583&amp;sp=point.36.4537_41.7583","Maplink3")</f>
        <v>Maplink3</v>
      </c>
      <c r="AZ2096" s="76"/>
    </row>
    <row r="2097" spans="1:52" x14ac:dyDescent="0.25">
      <c r="A2097" s="86">
        <v>23667</v>
      </c>
      <c r="B2097" s="87" t="s">
        <v>24</v>
      </c>
      <c r="C2097" s="87" t="s">
        <v>3994</v>
      </c>
      <c r="D2097" s="87" t="s">
        <v>4040</v>
      </c>
      <c r="E2097" s="87" t="s">
        <v>4041</v>
      </c>
      <c r="F2097" s="87">
        <v>36.318366645899999</v>
      </c>
      <c r="G2097" s="87">
        <v>41.883048040299997</v>
      </c>
      <c r="H2097" s="86">
        <v>296</v>
      </c>
      <c r="I2097" s="86">
        <v>1776</v>
      </c>
      <c r="J2097" s="87"/>
      <c r="K2097" s="87"/>
      <c r="L2097" s="87"/>
      <c r="M2097" s="87"/>
      <c r="N2097" s="87"/>
      <c r="O2097" s="87"/>
      <c r="P2097" s="87"/>
      <c r="Q2097" s="87"/>
      <c r="R2097" s="87"/>
      <c r="S2097" s="87"/>
      <c r="T2097" s="87"/>
      <c r="U2097" s="87"/>
      <c r="V2097" s="87">
        <v>296</v>
      </c>
      <c r="W2097" s="87"/>
      <c r="X2097" s="87"/>
      <c r="Y2097" s="87"/>
      <c r="Z2097" s="87"/>
      <c r="AA2097" s="87"/>
      <c r="AB2097" s="87"/>
      <c r="AC2097" s="87">
        <v>296</v>
      </c>
      <c r="AD2097" s="87"/>
      <c r="AE2097" s="87"/>
      <c r="AF2097" s="87"/>
      <c r="AG2097" s="87"/>
      <c r="AH2097" s="87"/>
      <c r="AI2097" s="87"/>
      <c r="AJ2097" s="87"/>
      <c r="AK2097" s="87"/>
      <c r="AL2097" s="87"/>
      <c r="AM2097" s="87"/>
      <c r="AN2097" s="87"/>
      <c r="AO2097" s="87"/>
      <c r="AP2097" s="87">
        <v>296</v>
      </c>
      <c r="AQ2097" s="87"/>
      <c r="AR2097" s="87"/>
      <c r="AS2097" s="87"/>
      <c r="AT2097" s="87"/>
      <c r="AU2097" s="87"/>
      <c r="AV2097" s="87"/>
      <c r="AW2097" s="88" t="str">
        <f>HYPERLINK("http://www.openstreetmap.org/?mlat=36.3184&amp;mlon=41.883&amp;zoom=12#map=12/36.3184/41.883","Maplink1")</f>
        <v>Maplink1</v>
      </c>
      <c r="AX2097" s="88" t="str">
        <f>HYPERLINK("https://www.google.iq/maps/search/+36.3184,41.883/@36.3184,41.883,14z?hl=en","Maplink2")</f>
        <v>Maplink2</v>
      </c>
      <c r="AY2097" s="88" t="str">
        <f>HYPERLINK("http://www.bing.com/maps/?lvl=14&amp;sty=h&amp;cp=36.3184~41.883&amp;sp=point.36.3184_41.883","Maplink3")</f>
        <v>Maplink3</v>
      </c>
      <c r="AZ2097" s="76"/>
    </row>
    <row r="2098" spans="1:52" x14ac:dyDescent="0.25">
      <c r="A2098" s="86">
        <v>27362</v>
      </c>
      <c r="B2098" s="87" t="s">
        <v>24</v>
      </c>
      <c r="C2098" s="87" t="s">
        <v>3994</v>
      </c>
      <c r="D2098" s="87" t="s">
        <v>4042</v>
      </c>
      <c r="E2098" s="87" t="s">
        <v>4043</v>
      </c>
      <c r="F2098" s="87">
        <v>36.3738235832</v>
      </c>
      <c r="G2098" s="87">
        <v>41.749223582699997</v>
      </c>
      <c r="H2098" s="86">
        <v>257</v>
      </c>
      <c r="I2098" s="86">
        <v>1542</v>
      </c>
      <c r="J2098" s="87"/>
      <c r="K2098" s="87"/>
      <c r="L2098" s="87"/>
      <c r="M2098" s="87"/>
      <c r="N2098" s="87"/>
      <c r="O2098" s="87"/>
      <c r="P2098" s="87"/>
      <c r="Q2098" s="87"/>
      <c r="R2098" s="87"/>
      <c r="S2098" s="87"/>
      <c r="T2098" s="87"/>
      <c r="U2098" s="87"/>
      <c r="V2098" s="87">
        <v>257</v>
      </c>
      <c r="W2098" s="87"/>
      <c r="X2098" s="87"/>
      <c r="Y2098" s="87"/>
      <c r="Z2098" s="87"/>
      <c r="AA2098" s="87"/>
      <c r="AB2098" s="87"/>
      <c r="AC2098" s="87"/>
      <c r="AD2098" s="87"/>
      <c r="AE2098" s="87">
        <v>257</v>
      </c>
      <c r="AF2098" s="87"/>
      <c r="AG2098" s="87"/>
      <c r="AH2098" s="87"/>
      <c r="AI2098" s="87"/>
      <c r="AJ2098" s="87"/>
      <c r="AK2098" s="87"/>
      <c r="AL2098" s="87"/>
      <c r="AM2098" s="87"/>
      <c r="AN2098" s="87"/>
      <c r="AO2098" s="87"/>
      <c r="AP2098" s="87">
        <v>257</v>
      </c>
      <c r="AQ2098" s="87"/>
      <c r="AR2098" s="87"/>
      <c r="AS2098" s="87"/>
      <c r="AT2098" s="87"/>
      <c r="AU2098" s="87"/>
      <c r="AV2098" s="87"/>
      <c r="AW2098" s="88" t="str">
        <f>HYPERLINK("http://www.openstreetmap.org/?mlat=36.3738&amp;mlon=41.7492&amp;zoom=12#map=12/36.3738/41.7492","Maplink1")</f>
        <v>Maplink1</v>
      </c>
      <c r="AX2098" s="88" t="str">
        <f>HYPERLINK("https://www.google.iq/maps/search/+36.3738,41.7492/@36.3738,41.7492,14z?hl=en","Maplink2")</f>
        <v>Maplink2</v>
      </c>
      <c r="AY2098" s="88" t="str">
        <f>HYPERLINK("http://www.bing.com/maps/?lvl=14&amp;sty=h&amp;cp=36.3738~41.7492&amp;sp=point.36.3738_41.7492","Maplink3")</f>
        <v>Maplink3</v>
      </c>
      <c r="AZ2098" s="76"/>
    </row>
    <row r="2099" spans="1:52" x14ac:dyDescent="0.25">
      <c r="A2099" s="86">
        <v>27359</v>
      </c>
      <c r="B2099" s="87" t="s">
        <v>24</v>
      </c>
      <c r="C2099" s="87" t="s">
        <v>3994</v>
      </c>
      <c r="D2099" s="87" t="s">
        <v>4044</v>
      </c>
      <c r="E2099" s="87" t="s">
        <v>4045</v>
      </c>
      <c r="F2099" s="87">
        <v>36.371488765499997</v>
      </c>
      <c r="G2099" s="87">
        <v>41.712652812599998</v>
      </c>
      <c r="H2099" s="86">
        <v>57</v>
      </c>
      <c r="I2099" s="86">
        <v>342</v>
      </c>
      <c r="J2099" s="87"/>
      <c r="K2099" s="87"/>
      <c r="L2099" s="87"/>
      <c r="M2099" s="87"/>
      <c r="N2099" s="87"/>
      <c r="O2099" s="87"/>
      <c r="P2099" s="87"/>
      <c r="Q2099" s="87"/>
      <c r="R2099" s="87"/>
      <c r="S2099" s="87"/>
      <c r="T2099" s="87"/>
      <c r="U2099" s="87"/>
      <c r="V2099" s="87">
        <v>57</v>
      </c>
      <c r="W2099" s="87"/>
      <c r="X2099" s="87"/>
      <c r="Y2099" s="87"/>
      <c r="Z2099" s="87"/>
      <c r="AA2099" s="87"/>
      <c r="AB2099" s="87"/>
      <c r="AC2099" s="87">
        <v>19</v>
      </c>
      <c r="AD2099" s="87"/>
      <c r="AE2099" s="87">
        <v>3</v>
      </c>
      <c r="AF2099" s="87"/>
      <c r="AG2099" s="87"/>
      <c r="AH2099" s="87"/>
      <c r="AI2099" s="87"/>
      <c r="AJ2099" s="87"/>
      <c r="AK2099" s="87">
        <v>35</v>
      </c>
      <c r="AL2099" s="87"/>
      <c r="AM2099" s="87"/>
      <c r="AN2099" s="87"/>
      <c r="AO2099" s="87"/>
      <c r="AP2099" s="87">
        <v>57</v>
      </c>
      <c r="AQ2099" s="87"/>
      <c r="AR2099" s="87"/>
      <c r="AS2099" s="87"/>
      <c r="AT2099" s="87"/>
      <c r="AU2099" s="87"/>
      <c r="AV2099" s="87"/>
      <c r="AW2099" s="88" t="str">
        <f>HYPERLINK("http://www.openstreetmap.org/?mlat=36.3715&amp;mlon=41.7127&amp;zoom=12#map=12/36.3715/41.7127","Maplink1")</f>
        <v>Maplink1</v>
      </c>
      <c r="AX2099" s="88" t="str">
        <f>HYPERLINK("https://www.google.iq/maps/search/+36.3715,41.7127/@36.3715,41.7127,14z?hl=en","Maplink2")</f>
        <v>Maplink2</v>
      </c>
      <c r="AY2099" s="88" t="str">
        <f>HYPERLINK("http://www.bing.com/maps/?lvl=14&amp;sty=h&amp;cp=36.3715~41.7127&amp;sp=point.36.3715_41.7127","Maplink3")</f>
        <v>Maplink3</v>
      </c>
      <c r="AZ2099" s="76"/>
    </row>
    <row r="2100" spans="1:52" x14ac:dyDescent="0.25">
      <c r="A2100" s="86">
        <v>27399</v>
      </c>
      <c r="B2100" s="87" t="s">
        <v>24</v>
      </c>
      <c r="C2100" s="87" t="s">
        <v>3994</v>
      </c>
      <c r="D2100" s="87" t="s">
        <v>4046</v>
      </c>
      <c r="E2100" s="87" t="s">
        <v>4047</v>
      </c>
      <c r="F2100" s="87">
        <v>36.429840782900001</v>
      </c>
      <c r="G2100" s="87">
        <v>41.868082333099998</v>
      </c>
      <c r="H2100" s="86">
        <v>40</v>
      </c>
      <c r="I2100" s="86">
        <v>240</v>
      </c>
      <c r="J2100" s="87"/>
      <c r="K2100" s="87"/>
      <c r="L2100" s="87"/>
      <c r="M2100" s="87"/>
      <c r="N2100" s="87"/>
      <c r="O2100" s="87"/>
      <c r="P2100" s="87"/>
      <c r="Q2100" s="87"/>
      <c r="R2100" s="87"/>
      <c r="S2100" s="87"/>
      <c r="T2100" s="87"/>
      <c r="U2100" s="87"/>
      <c r="V2100" s="87">
        <v>40</v>
      </c>
      <c r="W2100" s="87"/>
      <c r="X2100" s="87"/>
      <c r="Y2100" s="87"/>
      <c r="Z2100" s="87"/>
      <c r="AA2100" s="87"/>
      <c r="AB2100" s="87"/>
      <c r="AC2100" s="87">
        <v>21</v>
      </c>
      <c r="AD2100" s="87"/>
      <c r="AE2100" s="87">
        <v>19</v>
      </c>
      <c r="AF2100" s="87"/>
      <c r="AG2100" s="87"/>
      <c r="AH2100" s="87"/>
      <c r="AI2100" s="87"/>
      <c r="AJ2100" s="87"/>
      <c r="AK2100" s="87"/>
      <c r="AL2100" s="87"/>
      <c r="AM2100" s="87"/>
      <c r="AN2100" s="87"/>
      <c r="AO2100" s="87"/>
      <c r="AP2100" s="87">
        <v>40</v>
      </c>
      <c r="AQ2100" s="87"/>
      <c r="AR2100" s="87"/>
      <c r="AS2100" s="87"/>
      <c r="AT2100" s="87"/>
      <c r="AU2100" s="87"/>
      <c r="AV2100" s="87"/>
      <c r="AW2100" s="88" t="str">
        <f>HYPERLINK("http://www.openstreetmap.org/?mlat=36.4298&amp;mlon=41.8681&amp;zoom=12#map=12/36.4298/41.8681","Maplink1")</f>
        <v>Maplink1</v>
      </c>
      <c r="AX2100" s="88" t="str">
        <f>HYPERLINK("https://www.google.iq/maps/search/+36.4298,41.8681/@36.4298,41.8681,14z?hl=en","Maplink2")</f>
        <v>Maplink2</v>
      </c>
      <c r="AY2100" s="88" t="str">
        <f>HYPERLINK("http://www.bing.com/maps/?lvl=14&amp;sty=h&amp;cp=36.4298~41.8681&amp;sp=point.36.4298_41.8681","Maplink3")</f>
        <v>Maplink3</v>
      </c>
      <c r="AZ2100" s="76"/>
    </row>
    <row r="2101" spans="1:52" x14ac:dyDescent="0.25">
      <c r="A2101" s="86">
        <v>27400</v>
      </c>
      <c r="B2101" s="87" t="s">
        <v>24</v>
      </c>
      <c r="C2101" s="87" t="s">
        <v>3994</v>
      </c>
      <c r="D2101" s="87" t="s">
        <v>4048</v>
      </c>
      <c r="E2101" s="87" t="s">
        <v>4049</v>
      </c>
      <c r="F2101" s="87">
        <v>36.375917933399997</v>
      </c>
      <c r="G2101" s="87">
        <v>41.715414026200001</v>
      </c>
      <c r="H2101" s="86">
        <v>30</v>
      </c>
      <c r="I2101" s="86">
        <v>180</v>
      </c>
      <c r="J2101" s="87"/>
      <c r="K2101" s="87"/>
      <c r="L2101" s="87"/>
      <c r="M2101" s="87"/>
      <c r="N2101" s="87"/>
      <c r="O2101" s="87"/>
      <c r="P2101" s="87"/>
      <c r="Q2101" s="87"/>
      <c r="R2101" s="87"/>
      <c r="S2101" s="87"/>
      <c r="T2101" s="87"/>
      <c r="U2101" s="87"/>
      <c r="V2101" s="87">
        <v>30</v>
      </c>
      <c r="W2101" s="87"/>
      <c r="X2101" s="87"/>
      <c r="Y2101" s="87"/>
      <c r="Z2101" s="87"/>
      <c r="AA2101" s="87"/>
      <c r="AB2101" s="87"/>
      <c r="AC2101" s="87">
        <v>30</v>
      </c>
      <c r="AD2101" s="87"/>
      <c r="AE2101" s="87"/>
      <c r="AF2101" s="87"/>
      <c r="AG2101" s="87"/>
      <c r="AH2101" s="87"/>
      <c r="AI2101" s="87"/>
      <c r="AJ2101" s="87"/>
      <c r="AK2101" s="87"/>
      <c r="AL2101" s="87"/>
      <c r="AM2101" s="87"/>
      <c r="AN2101" s="87"/>
      <c r="AO2101" s="87"/>
      <c r="AP2101" s="87">
        <v>30</v>
      </c>
      <c r="AQ2101" s="87"/>
      <c r="AR2101" s="87"/>
      <c r="AS2101" s="87"/>
      <c r="AT2101" s="87"/>
      <c r="AU2101" s="87"/>
      <c r="AV2101" s="87"/>
      <c r="AW2101" s="88" t="str">
        <f>HYPERLINK("http://www.openstreetmap.org/?mlat=36.3759&amp;mlon=41.7154&amp;zoom=12#map=12/36.3759/41.7154","Maplink1")</f>
        <v>Maplink1</v>
      </c>
      <c r="AX2101" s="88" t="str">
        <f>HYPERLINK("https://www.google.iq/maps/search/+36.3759,41.7154/@36.3759,41.7154,14z?hl=en","Maplink2")</f>
        <v>Maplink2</v>
      </c>
      <c r="AY2101" s="88" t="str">
        <f>HYPERLINK("http://www.bing.com/maps/?lvl=14&amp;sty=h&amp;cp=36.3759~41.7154&amp;sp=point.36.3759_41.7154","Maplink3")</f>
        <v>Maplink3</v>
      </c>
      <c r="AZ2101" s="76"/>
    </row>
    <row r="2102" spans="1:52" x14ac:dyDescent="0.25">
      <c r="A2102" s="86">
        <v>17928</v>
      </c>
      <c r="B2102" s="87" t="s">
        <v>24</v>
      </c>
      <c r="C2102" s="87" t="s">
        <v>3994</v>
      </c>
      <c r="D2102" s="87" t="s">
        <v>4050</v>
      </c>
      <c r="E2102" s="87" t="s">
        <v>4051</v>
      </c>
      <c r="F2102" s="87">
        <v>36.465939840499999</v>
      </c>
      <c r="G2102" s="87">
        <v>41.713385327300003</v>
      </c>
      <c r="H2102" s="86">
        <v>900</v>
      </c>
      <c r="I2102" s="86">
        <v>5400</v>
      </c>
      <c r="J2102" s="87"/>
      <c r="K2102" s="87"/>
      <c r="L2102" s="87"/>
      <c r="M2102" s="87"/>
      <c r="N2102" s="87"/>
      <c r="O2102" s="87"/>
      <c r="P2102" s="87"/>
      <c r="Q2102" s="87"/>
      <c r="R2102" s="87"/>
      <c r="S2102" s="87"/>
      <c r="T2102" s="87"/>
      <c r="U2102" s="87"/>
      <c r="V2102" s="87">
        <v>900</v>
      </c>
      <c r="W2102" s="87"/>
      <c r="X2102" s="87"/>
      <c r="Y2102" s="87"/>
      <c r="Z2102" s="87"/>
      <c r="AA2102" s="87"/>
      <c r="AB2102" s="87"/>
      <c r="AC2102" s="87">
        <v>900</v>
      </c>
      <c r="AD2102" s="87"/>
      <c r="AE2102" s="87"/>
      <c r="AF2102" s="87"/>
      <c r="AG2102" s="87"/>
      <c r="AH2102" s="87"/>
      <c r="AI2102" s="87"/>
      <c r="AJ2102" s="87"/>
      <c r="AK2102" s="87"/>
      <c r="AL2102" s="87"/>
      <c r="AM2102" s="87"/>
      <c r="AN2102" s="87"/>
      <c r="AO2102" s="87"/>
      <c r="AP2102" s="87">
        <v>900</v>
      </c>
      <c r="AQ2102" s="87"/>
      <c r="AR2102" s="87"/>
      <c r="AS2102" s="87"/>
      <c r="AT2102" s="87"/>
      <c r="AU2102" s="87"/>
      <c r="AV2102" s="87"/>
      <c r="AW2102" s="88" t="str">
        <f>HYPERLINK("http://www.openstreetmap.org/?mlat=36.4659&amp;mlon=41.7134&amp;zoom=12#map=12/36.4659/41.7134","Maplink1")</f>
        <v>Maplink1</v>
      </c>
      <c r="AX2102" s="88" t="str">
        <f>HYPERLINK("https://www.google.iq/maps/search/+36.4659,41.7134/@36.4659,41.7134,14z?hl=en","Maplink2")</f>
        <v>Maplink2</v>
      </c>
      <c r="AY2102" s="88" t="str">
        <f>HYPERLINK("http://www.bing.com/maps/?lvl=14&amp;sty=h&amp;cp=36.4659~41.7134&amp;sp=point.36.4659_41.7134","Maplink3")</f>
        <v>Maplink3</v>
      </c>
      <c r="AZ2102" s="76"/>
    </row>
    <row r="2103" spans="1:52" x14ac:dyDescent="0.25">
      <c r="A2103" s="86">
        <v>29481</v>
      </c>
      <c r="B2103" s="87" t="s">
        <v>24</v>
      </c>
      <c r="C2103" s="87" t="s">
        <v>3994</v>
      </c>
      <c r="D2103" s="87" t="s">
        <v>4052</v>
      </c>
      <c r="E2103" s="87" t="s">
        <v>4053</v>
      </c>
      <c r="F2103" s="87">
        <v>36.5298862669</v>
      </c>
      <c r="G2103" s="87">
        <v>41.671959134799998</v>
      </c>
      <c r="H2103" s="86">
        <v>6</v>
      </c>
      <c r="I2103" s="86">
        <v>36</v>
      </c>
      <c r="J2103" s="87"/>
      <c r="K2103" s="87"/>
      <c r="L2103" s="87"/>
      <c r="M2103" s="87"/>
      <c r="N2103" s="87"/>
      <c r="O2103" s="87"/>
      <c r="P2103" s="87"/>
      <c r="Q2103" s="87"/>
      <c r="R2103" s="87"/>
      <c r="S2103" s="87"/>
      <c r="T2103" s="87"/>
      <c r="U2103" s="87"/>
      <c r="V2103" s="87">
        <v>6</v>
      </c>
      <c r="W2103" s="87"/>
      <c r="X2103" s="87"/>
      <c r="Y2103" s="87"/>
      <c r="Z2103" s="87"/>
      <c r="AA2103" s="87"/>
      <c r="AB2103" s="87"/>
      <c r="AC2103" s="87">
        <v>6</v>
      </c>
      <c r="AD2103" s="87"/>
      <c r="AE2103" s="87"/>
      <c r="AF2103" s="87"/>
      <c r="AG2103" s="87"/>
      <c r="AH2103" s="87"/>
      <c r="AI2103" s="87"/>
      <c r="AJ2103" s="87"/>
      <c r="AK2103" s="87"/>
      <c r="AL2103" s="87"/>
      <c r="AM2103" s="87"/>
      <c r="AN2103" s="87"/>
      <c r="AO2103" s="87"/>
      <c r="AP2103" s="87">
        <v>6</v>
      </c>
      <c r="AQ2103" s="87"/>
      <c r="AR2103" s="87"/>
      <c r="AS2103" s="87"/>
      <c r="AT2103" s="87"/>
      <c r="AU2103" s="87"/>
      <c r="AV2103" s="87"/>
      <c r="AW2103" s="88" t="str">
        <f>HYPERLINK("http://www.openstreetmap.org/?mlat=36.5299&amp;mlon=41.672&amp;zoom=12#map=12/36.5299/41.672","Maplink1")</f>
        <v>Maplink1</v>
      </c>
      <c r="AX2103" s="88" t="str">
        <f>HYPERLINK("https://www.google.iq/maps/search/+36.5299,41.672/@36.5299,41.672,14z?hl=en","Maplink2")</f>
        <v>Maplink2</v>
      </c>
      <c r="AY2103" s="88" t="str">
        <f>HYPERLINK("http://www.bing.com/maps/?lvl=14&amp;sty=h&amp;cp=36.5299~41.672&amp;sp=point.36.5299_41.672","Maplink3")</f>
        <v>Maplink3</v>
      </c>
      <c r="AZ2103" s="76"/>
    </row>
    <row r="2104" spans="1:52" x14ac:dyDescent="0.25">
      <c r="A2104" s="86">
        <v>27361</v>
      </c>
      <c r="B2104" s="87" t="s">
        <v>24</v>
      </c>
      <c r="C2104" s="87" t="s">
        <v>3994</v>
      </c>
      <c r="D2104" s="87" t="s">
        <v>4054</v>
      </c>
      <c r="E2104" s="87" t="s">
        <v>4055</v>
      </c>
      <c r="F2104" s="87">
        <v>36.381168959299998</v>
      </c>
      <c r="G2104" s="87">
        <v>41.791937992400001</v>
      </c>
      <c r="H2104" s="86">
        <v>105</v>
      </c>
      <c r="I2104" s="86">
        <v>630</v>
      </c>
      <c r="J2104" s="87"/>
      <c r="K2104" s="87"/>
      <c r="L2104" s="87"/>
      <c r="M2104" s="87"/>
      <c r="N2104" s="87"/>
      <c r="O2104" s="87"/>
      <c r="P2104" s="87"/>
      <c r="Q2104" s="87"/>
      <c r="R2104" s="87"/>
      <c r="S2104" s="87"/>
      <c r="T2104" s="87"/>
      <c r="U2104" s="87"/>
      <c r="V2104" s="87">
        <v>105</v>
      </c>
      <c r="W2104" s="87"/>
      <c r="X2104" s="87"/>
      <c r="Y2104" s="87"/>
      <c r="Z2104" s="87"/>
      <c r="AA2104" s="87"/>
      <c r="AB2104" s="87"/>
      <c r="AC2104" s="87"/>
      <c r="AD2104" s="87"/>
      <c r="AE2104" s="87">
        <v>105</v>
      </c>
      <c r="AF2104" s="87"/>
      <c r="AG2104" s="87"/>
      <c r="AH2104" s="87"/>
      <c r="AI2104" s="87"/>
      <c r="AJ2104" s="87"/>
      <c r="AK2104" s="87"/>
      <c r="AL2104" s="87"/>
      <c r="AM2104" s="87"/>
      <c r="AN2104" s="87"/>
      <c r="AO2104" s="87"/>
      <c r="AP2104" s="87">
        <v>105</v>
      </c>
      <c r="AQ2104" s="87"/>
      <c r="AR2104" s="87"/>
      <c r="AS2104" s="87"/>
      <c r="AT2104" s="87"/>
      <c r="AU2104" s="87"/>
      <c r="AV2104" s="87"/>
      <c r="AW2104" s="88" t="str">
        <f>HYPERLINK("http://www.openstreetmap.org/?mlat=36.3812&amp;mlon=41.7919&amp;zoom=12#map=12/36.3812/41.7919","Maplink1")</f>
        <v>Maplink1</v>
      </c>
      <c r="AX2104" s="88" t="str">
        <f>HYPERLINK("https://www.google.iq/maps/search/+36.3812,41.7919/@36.3812,41.7919,14z?hl=en","Maplink2")</f>
        <v>Maplink2</v>
      </c>
      <c r="AY2104" s="88" t="str">
        <f>HYPERLINK("http://www.bing.com/maps/?lvl=14&amp;sty=h&amp;cp=36.3812~41.7919&amp;sp=point.36.3812_41.7919","Maplink3")</f>
        <v>Maplink3</v>
      </c>
      <c r="AZ2104" s="76"/>
    </row>
    <row r="2105" spans="1:52" x14ac:dyDescent="0.25">
      <c r="A2105" s="86">
        <v>17645</v>
      </c>
      <c r="B2105" s="87" t="s">
        <v>24</v>
      </c>
      <c r="C2105" s="87" t="s">
        <v>4056</v>
      </c>
      <c r="D2105" s="87" t="s">
        <v>4057</v>
      </c>
      <c r="E2105" s="87" t="s">
        <v>4058</v>
      </c>
      <c r="F2105" s="87">
        <v>36.521108099599999</v>
      </c>
      <c r="G2105" s="87">
        <v>42.083484917200003</v>
      </c>
      <c r="H2105" s="86">
        <v>25</v>
      </c>
      <c r="I2105" s="86">
        <v>150</v>
      </c>
      <c r="J2105" s="87"/>
      <c r="K2105" s="87"/>
      <c r="L2105" s="87"/>
      <c r="M2105" s="87"/>
      <c r="N2105" s="87"/>
      <c r="O2105" s="87"/>
      <c r="P2105" s="87"/>
      <c r="Q2105" s="87"/>
      <c r="R2105" s="87"/>
      <c r="S2105" s="87"/>
      <c r="T2105" s="87"/>
      <c r="U2105" s="87"/>
      <c r="V2105" s="87">
        <v>25</v>
      </c>
      <c r="W2105" s="87"/>
      <c r="X2105" s="87"/>
      <c r="Y2105" s="87"/>
      <c r="Z2105" s="87"/>
      <c r="AA2105" s="87"/>
      <c r="AB2105" s="87"/>
      <c r="AC2105" s="87">
        <v>25</v>
      </c>
      <c r="AD2105" s="87"/>
      <c r="AE2105" s="87"/>
      <c r="AF2105" s="87"/>
      <c r="AG2105" s="87"/>
      <c r="AH2105" s="87"/>
      <c r="AI2105" s="87"/>
      <c r="AJ2105" s="87"/>
      <c r="AK2105" s="87"/>
      <c r="AL2105" s="87"/>
      <c r="AM2105" s="87"/>
      <c r="AN2105" s="87"/>
      <c r="AO2105" s="87"/>
      <c r="AP2105" s="87">
        <v>25</v>
      </c>
      <c r="AQ2105" s="87"/>
      <c r="AR2105" s="87"/>
      <c r="AS2105" s="87"/>
      <c r="AT2105" s="87"/>
      <c r="AU2105" s="87"/>
      <c r="AV2105" s="87"/>
      <c r="AW2105" s="88" t="str">
        <f>HYPERLINK("http://www.openstreetmap.org/?mlat=36.5211&amp;mlon=42.0835&amp;zoom=12#map=12/36.5211/42.0835","Maplink1")</f>
        <v>Maplink1</v>
      </c>
      <c r="AX2105" s="88" t="str">
        <f>HYPERLINK("https://www.google.iq/maps/search/+36.5211,42.0835/@36.5211,42.0835,14z?hl=en","Maplink2")</f>
        <v>Maplink2</v>
      </c>
      <c r="AY2105" s="88" t="str">
        <f>HYPERLINK("http://www.bing.com/maps/?lvl=14&amp;sty=h&amp;cp=36.5211~42.0835&amp;sp=point.36.5211_42.0835","Maplink3")</f>
        <v>Maplink3</v>
      </c>
      <c r="AZ2105" s="76"/>
    </row>
    <row r="2106" spans="1:52" x14ac:dyDescent="0.25">
      <c r="A2106" s="86">
        <v>29609</v>
      </c>
      <c r="B2106" s="87" t="s">
        <v>24</v>
      </c>
      <c r="C2106" s="87" t="s">
        <v>4056</v>
      </c>
      <c r="D2106" s="87" t="s">
        <v>4059</v>
      </c>
      <c r="E2106" s="87" t="s">
        <v>4060</v>
      </c>
      <c r="F2106" s="87">
        <v>36.586570874000003</v>
      </c>
      <c r="G2106" s="87">
        <v>42.289509097600003</v>
      </c>
      <c r="H2106" s="86">
        <v>28</v>
      </c>
      <c r="I2106" s="86">
        <v>168</v>
      </c>
      <c r="J2106" s="87"/>
      <c r="K2106" s="87"/>
      <c r="L2106" s="87"/>
      <c r="M2106" s="87"/>
      <c r="N2106" s="87"/>
      <c r="O2106" s="87"/>
      <c r="P2106" s="87"/>
      <c r="Q2106" s="87"/>
      <c r="R2106" s="87"/>
      <c r="S2106" s="87"/>
      <c r="T2106" s="87"/>
      <c r="U2106" s="87"/>
      <c r="V2106" s="87">
        <v>28</v>
      </c>
      <c r="W2106" s="87"/>
      <c r="X2106" s="87"/>
      <c r="Y2106" s="87"/>
      <c r="Z2106" s="87"/>
      <c r="AA2106" s="87"/>
      <c r="AB2106" s="87"/>
      <c r="AC2106" s="87">
        <v>15</v>
      </c>
      <c r="AD2106" s="87"/>
      <c r="AE2106" s="87"/>
      <c r="AF2106" s="87"/>
      <c r="AG2106" s="87"/>
      <c r="AH2106" s="87"/>
      <c r="AI2106" s="87"/>
      <c r="AJ2106" s="87"/>
      <c r="AK2106" s="87">
        <v>13</v>
      </c>
      <c r="AL2106" s="87"/>
      <c r="AM2106" s="87"/>
      <c r="AN2106" s="87"/>
      <c r="AO2106" s="87"/>
      <c r="AP2106" s="87"/>
      <c r="AQ2106" s="87">
        <v>10</v>
      </c>
      <c r="AR2106" s="87">
        <v>18</v>
      </c>
      <c r="AS2106" s="87"/>
      <c r="AT2106" s="87"/>
      <c r="AU2106" s="87"/>
      <c r="AV2106" s="87"/>
      <c r="AW2106" s="88" t="str">
        <f>HYPERLINK("http://www.openstreetmap.org/?mlat=36.5866&amp;mlon=42.2895&amp;zoom=12#map=12/36.5866/42.2895","Maplink1")</f>
        <v>Maplink1</v>
      </c>
      <c r="AX2106" s="88" t="str">
        <f>HYPERLINK("https://www.google.iq/maps/search/+36.5866,42.2895/@36.5866,42.2895,14z?hl=en","Maplink2")</f>
        <v>Maplink2</v>
      </c>
      <c r="AY2106" s="88" t="str">
        <f>HYPERLINK("http://www.bing.com/maps/?lvl=14&amp;sty=h&amp;cp=36.5866~42.2895&amp;sp=point.36.5866_42.2895","Maplink3")</f>
        <v>Maplink3</v>
      </c>
      <c r="AZ2106" s="76"/>
    </row>
    <row r="2107" spans="1:52" x14ac:dyDescent="0.25">
      <c r="A2107" s="86">
        <v>17657</v>
      </c>
      <c r="B2107" s="87" t="s">
        <v>24</v>
      </c>
      <c r="C2107" s="87" t="s">
        <v>4056</v>
      </c>
      <c r="D2107" s="87" t="s">
        <v>4061</v>
      </c>
      <c r="E2107" s="87" t="s">
        <v>4062</v>
      </c>
      <c r="F2107" s="87">
        <v>36.762904624000001</v>
      </c>
      <c r="G2107" s="87">
        <v>42.211905092400002</v>
      </c>
      <c r="H2107" s="86">
        <v>21</v>
      </c>
      <c r="I2107" s="86">
        <v>126</v>
      </c>
      <c r="J2107" s="87"/>
      <c r="K2107" s="87"/>
      <c r="L2107" s="87"/>
      <c r="M2107" s="87"/>
      <c r="N2107" s="87"/>
      <c r="O2107" s="87"/>
      <c r="P2107" s="87"/>
      <c r="Q2107" s="87"/>
      <c r="R2107" s="87"/>
      <c r="S2107" s="87"/>
      <c r="T2107" s="87"/>
      <c r="U2107" s="87"/>
      <c r="V2107" s="87">
        <v>21</v>
      </c>
      <c r="W2107" s="87"/>
      <c r="X2107" s="87"/>
      <c r="Y2107" s="87"/>
      <c r="Z2107" s="87"/>
      <c r="AA2107" s="87"/>
      <c r="AB2107" s="87"/>
      <c r="AC2107" s="87">
        <v>21</v>
      </c>
      <c r="AD2107" s="87"/>
      <c r="AE2107" s="87"/>
      <c r="AF2107" s="87"/>
      <c r="AG2107" s="87"/>
      <c r="AH2107" s="87"/>
      <c r="AI2107" s="87"/>
      <c r="AJ2107" s="87"/>
      <c r="AK2107" s="87"/>
      <c r="AL2107" s="87"/>
      <c r="AM2107" s="87"/>
      <c r="AN2107" s="87"/>
      <c r="AO2107" s="87"/>
      <c r="AP2107" s="87"/>
      <c r="AQ2107" s="87">
        <v>15</v>
      </c>
      <c r="AR2107" s="87"/>
      <c r="AS2107" s="87"/>
      <c r="AT2107" s="87"/>
      <c r="AU2107" s="87">
        <v>6</v>
      </c>
      <c r="AV2107" s="87"/>
      <c r="AW2107" s="88" t="str">
        <f>HYPERLINK("http://www.openstreetmap.org/?mlat=36.7629&amp;mlon=42.2119&amp;zoom=12#map=12/36.7629/42.2119","Maplink1")</f>
        <v>Maplink1</v>
      </c>
      <c r="AX2107" s="88" t="str">
        <f>HYPERLINK("https://www.google.iq/maps/search/+36.7629,42.2119/@36.7629,42.2119,14z?hl=en","Maplink2")</f>
        <v>Maplink2</v>
      </c>
      <c r="AY2107" s="88" t="str">
        <f>HYPERLINK("http://www.bing.com/maps/?lvl=14&amp;sty=h&amp;cp=36.7629~42.2119&amp;sp=point.36.7629_42.2119","Maplink3")</f>
        <v>Maplink3</v>
      </c>
      <c r="AZ2107" s="76"/>
    </row>
    <row r="2108" spans="1:52" x14ac:dyDescent="0.25">
      <c r="A2108" s="86">
        <v>18262</v>
      </c>
      <c r="B2108" s="87" t="s">
        <v>24</v>
      </c>
      <c r="C2108" s="87" t="s">
        <v>4056</v>
      </c>
      <c r="D2108" s="87" t="s">
        <v>4063</v>
      </c>
      <c r="E2108" s="87" t="s">
        <v>4064</v>
      </c>
      <c r="F2108" s="87">
        <v>36.7414438534</v>
      </c>
      <c r="G2108" s="87">
        <v>42.121773442600002</v>
      </c>
      <c r="H2108" s="86">
        <v>19</v>
      </c>
      <c r="I2108" s="86">
        <v>114</v>
      </c>
      <c r="J2108" s="87"/>
      <c r="K2108" s="87"/>
      <c r="L2108" s="87"/>
      <c r="M2108" s="87"/>
      <c r="N2108" s="87"/>
      <c r="O2108" s="87"/>
      <c r="P2108" s="87"/>
      <c r="Q2108" s="87"/>
      <c r="R2108" s="87"/>
      <c r="S2108" s="87"/>
      <c r="T2108" s="87"/>
      <c r="U2108" s="87"/>
      <c r="V2108" s="87">
        <v>19</v>
      </c>
      <c r="W2108" s="87"/>
      <c r="X2108" s="87"/>
      <c r="Y2108" s="87"/>
      <c r="Z2108" s="87"/>
      <c r="AA2108" s="87"/>
      <c r="AB2108" s="87"/>
      <c r="AC2108" s="87">
        <v>19</v>
      </c>
      <c r="AD2108" s="87"/>
      <c r="AE2108" s="87"/>
      <c r="AF2108" s="87"/>
      <c r="AG2108" s="87"/>
      <c r="AH2108" s="87"/>
      <c r="AI2108" s="87"/>
      <c r="AJ2108" s="87"/>
      <c r="AK2108" s="87"/>
      <c r="AL2108" s="87"/>
      <c r="AM2108" s="87"/>
      <c r="AN2108" s="87"/>
      <c r="AO2108" s="87"/>
      <c r="AP2108" s="87"/>
      <c r="AQ2108" s="87">
        <v>19</v>
      </c>
      <c r="AR2108" s="87"/>
      <c r="AS2108" s="87"/>
      <c r="AT2108" s="87"/>
      <c r="AU2108" s="87"/>
      <c r="AV2108" s="87"/>
      <c r="AW2108" s="88" t="str">
        <f>HYPERLINK("http://www.openstreetmap.org/?mlat=36.7414&amp;mlon=42.1218&amp;zoom=12#map=12/36.7414/42.1218","Maplink1")</f>
        <v>Maplink1</v>
      </c>
      <c r="AX2108" s="88" t="str">
        <f>HYPERLINK("https://www.google.iq/maps/search/+36.7414,42.1218/@36.7414,42.1218,14z?hl=en","Maplink2")</f>
        <v>Maplink2</v>
      </c>
      <c r="AY2108" s="88" t="str">
        <f>HYPERLINK("http://www.bing.com/maps/?lvl=14&amp;sty=h&amp;cp=36.7414~42.1218&amp;sp=point.36.7414_42.1218","Maplink3")</f>
        <v>Maplink3</v>
      </c>
      <c r="AZ2108" s="76"/>
    </row>
    <row r="2109" spans="1:52" x14ac:dyDescent="0.25">
      <c r="A2109" s="86">
        <v>27382</v>
      </c>
      <c r="B2109" s="87" t="s">
        <v>24</v>
      </c>
      <c r="C2109" s="87" t="s">
        <v>4056</v>
      </c>
      <c r="D2109" s="87" t="s">
        <v>4065</v>
      </c>
      <c r="E2109" s="87" t="s">
        <v>4066</v>
      </c>
      <c r="F2109" s="87">
        <v>36.624253346499998</v>
      </c>
      <c r="G2109" s="87">
        <v>42.464909094200003</v>
      </c>
      <c r="H2109" s="86">
        <v>5</v>
      </c>
      <c r="I2109" s="86">
        <v>30</v>
      </c>
      <c r="J2109" s="87"/>
      <c r="K2109" s="87"/>
      <c r="L2109" s="87"/>
      <c r="M2109" s="87"/>
      <c r="N2109" s="87"/>
      <c r="O2109" s="87"/>
      <c r="P2109" s="87"/>
      <c r="Q2109" s="87"/>
      <c r="R2109" s="87"/>
      <c r="S2109" s="87"/>
      <c r="T2109" s="87"/>
      <c r="U2109" s="87"/>
      <c r="V2109" s="87">
        <v>5</v>
      </c>
      <c r="W2109" s="87"/>
      <c r="X2109" s="87"/>
      <c r="Y2109" s="87"/>
      <c r="Z2109" s="87"/>
      <c r="AA2109" s="87"/>
      <c r="AB2109" s="87"/>
      <c r="AC2109" s="87">
        <v>5</v>
      </c>
      <c r="AD2109" s="87"/>
      <c r="AE2109" s="87"/>
      <c r="AF2109" s="87"/>
      <c r="AG2109" s="87"/>
      <c r="AH2109" s="87"/>
      <c r="AI2109" s="87"/>
      <c r="AJ2109" s="87"/>
      <c r="AK2109" s="87"/>
      <c r="AL2109" s="87"/>
      <c r="AM2109" s="87"/>
      <c r="AN2109" s="87"/>
      <c r="AO2109" s="87"/>
      <c r="AP2109" s="87"/>
      <c r="AQ2109" s="87">
        <v>5</v>
      </c>
      <c r="AR2109" s="87"/>
      <c r="AS2109" s="87"/>
      <c r="AT2109" s="87"/>
      <c r="AU2109" s="87"/>
      <c r="AV2109" s="87"/>
      <c r="AW2109" s="88" t="str">
        <f>HYPERLINK("http://www.openstreetmap.org/?mlat=36.6243&amp;mlon=42.4649&amp;zoom=12#map=12/36.6243/42.4649","Maplink1")</f>
        <v>Maplink1</v>
      </c>
      <c r="AX2109" s="88" t="str">
        <f>HYPERLINK("https://www.google.iq/maps/search/+36.6243,42.4649/@36.6243,42.4649,14z?hl=en","Maplink2")</f>
        <v>Maplink2</v>
      </c>
      <c r="AY2109" s="88" t="str">
        <f>HYPERLINK("http://www.bing.com/maps/?lvl=14&amp;sty=h&amp;cp=36.6243~42.4649&amp;sp=point.36.6243_42.4649","Maplink3")</f>
        <v>Maplink3</v>
      </c>
      <c r="AZ2109" s="76"/>
    </row>
    <row r="2110" spans="1:52" x14ac:dyDescent="0.25">
      <c r="A2110" s="86">
        <v>17746</v>
      </c>
      <c r="B2110" s="87" t="s">
        <v>24</v>
      </c>
      <c r="C2110" s="87" t="s">
        <v>4056</v>
      </c>
      <c r="D2110" s="87" t="s">
        <v>4067</v>
      </c>
      <c r="E2110" s="87" t="s">
        <v>4068</v>
      </c>
      <c r="F2110" s="87">
        <v>36.603630367800001</v>
      </c>
      <c r="G2110" s="87">
        <v>42.624629435199999</v>
      </c>
      <c r="H2110" s="86">
        <v>8</v>
      </c>
      <c r="I2110" s="86">
        <v>48</v>
      </c>
      <c r="J2110" s="87"/>
      <c r="K2110" s="87"/>
      <c r="L2110" s="87"/>
      <c r="M2110" s="87"/>
      <c r="N2110" s="87"/>
      <c r="O2110" s="87"/>
      <c r="P2110" s="87"/>
      <c r="Q2110" s="87"/>
      <c r="R2110" s="87"/>
      <c r="S2110" s="87"/>
      <c r="T2110" s="87"/>
      <c r="U2110" s="87"/>
      <c r="V2110" s="87">
        <v>8</v>
      </c>
      <c r="W2110" s="87"/>
      <c r="X2110" s="87"/>
      <c r="Y2110" s="87"/>
      <c r="Z2110" s="87"/>
      <c r="AA2110" s="87"/>
      <c r="AB2110" s="87"/>
      <c r="AC2110" s="87">
        <v>6</v>
      </c>
      <c r="AD2110" s="87"/>
      <c r="AE2110" s="87"/>
      <c r="AF2110" s="87"/>
      <c r="AG2110" s="87"/>
      <c r="AH2110" s="87"/>
      <c r="AI2110" s="87"/>
      <c r="AJ2110" s="87"/>
      <c r="AK2110" s="87"/>
      <c r="AL2110" s="87">
        <v>2</v>
      </c>
      <c r="AM2110" s="87"/>
      <c r="AN2110" s="87"/>
      <c r="AO2110" s="87"/>
      <c r="AP2110" s="87"/>
      <c r="AQ2110" s="87"/>
      <c r="AR2110" s="87">
        <v>8</v>
      </c>
      <c r="AS2110" s="87"/>
      <c r="AT2110" s="87"/>
      <c r="AU2110" s="87"/>
      <c r="AV2110" s="87"/>
      <c r="AW2110" s="88" t="str">
        <f>HYPERLINK("http://www.openstreetmap.org/?mlat=36.6036&amp;mlon=42.6246&amp;zoom=12#map=12/36.6036/42.6246","Maplink1")</f>
        <v>Maplink1</v>
      </c>
      <c r="AX2110" s="88" t="str">
        <f>HYPERLINK("https://www.google.iq/maps/search/+36.6036,42.6246/@36.6036,42.6246,14z?hl=en","Maplink2")</f>
        <v>Maplink2</v>
      </c>
      <c r="AY2110" s="88" t="str">
        <f>HYPERLINK("http://www.bing.com/maps/?lvl=14&amp;sty=h&amp;cp=36.6036~42.6246&amp;sp=point.36.6036_42.6246","Maplink3")</f>
        <v>Maplink3</v>
      </c>
      <c r="AZ2110" s="76"/>
    </row>
    <row r="2111" spans="1:52" x14ac:dyDescent="0.25">
      <c r="A2111" s="86">
        <v>23168</v>
      </c>
      <c r="B2111" s="87" t="s">
        <v>24</v>
      </c>
      <c r="C2111" s="87" t="s">
        <v>4056</v>
      </c>
      <c r="D2111" s="87" t="s">
        <v>4069</v>
      </c>
      <c r="E2111" s="87" t="s">
        <v>4070</v>
      </c>
      <c r="F2111" s="87">
        <v>36.628500078000002</v>
      </c>
      <c r="G2111" s="87">
        <v>42.2875761162</v>
      </c>
      <c r="H2111" s="86">
        <v>91</v>
      </c>
      <c r="I2111" s="86">
        <v>546</v>
      </c>
      <c r="J2111" s="87"/>
      <c r="K2111" s="87"/>
      <c r="L2111" s="87"/>
      <c r="M2111" s="87"/>
      <c r="N2111" s="87"/>
      <c r="O2111" s="87"/>
      <c r="P2111" s="87"/>
      <c r="Q2111" s="87"/>
      <c r="R2111" s="87"/>
      <c r="S2111" s="87"/>
      <c r="T2111" s="87"/>
      <c r="U2111" s="87"/>
      <c r="V2111" s="87">
        <v>91</v>
      </c>
      <c r="W2111" s="87"/>
      <c r="X2111" s="87"/>
      <c r="Y2111" s="87"/>
      <c r="Z2111" s="87"/>
      <c r="AA2111" s="87"/>
      <c r="AB2111" s="87"/>
      <c r="AC2111" s="87">
        <v>50</v>
      </c>
      <c r="AD2111" s="87"/>
      <c r="AE2111" s="87"/>
      <c r="AF2111" s="87"/>
      <c r="AG2111" s="87"/>
      <c r="AH2111" s="87"/>
      <c r="AI2111" s="87"/>
      <c r="AJ2111" s="87"/>
      <c r="AK2111" s="87">
        <v>41</v>
      </c>
      <c r="AL2111" s="87"/>
      <c r="AM2111" s="87"/>
      <c r="AN2111" s="87"/>
      <c r="AO2111" s="87"/>
      <c r="AP2111" s="87"/>
      <c r="AQ2111" s="87">
        <v>91</v>
      </c>
      <c r="AR2111" s="87"/>
      <c r="AS2111" s="87"/>
      <c r="AT2111" s="87"/>
      <c r="AU2111" s="87"/>
      <c r="AV2111" s="87"/>
      <c r="AW2111" s="88" t="str">
        <f>HYPERLINK("http://www.openstreetmap.org/?mlat=36.6285&amp;mlon=42.2876&amp;zoom=12#map=12/36.6285/42.2876","Maplink1")</f>
        <v>Maplink1</v>
      </c>
      <c r="AX2111" s="88" t="str">
        <f>HYPERLINK("https://www.google.iq/maps/search/+36.6285,42.2876/@36.6285,42.2876,14z?hl=en","Maplink2")</f>
        <v>Maplink2</v>
      </c>
      <c r="AY2111" s="88" t="str">
        <f>HYPERLINK("http://www.bing.com/maps/?lvl=14&amp;sty=h&amp;cp=36.6285~42.2876&amp;sp=point.36.6285_42.2876","Maplink3")</f>
        <v>Maplink3</v>
      </c>
      <c r="AZ2111" s="76"/>
    </row>
    <row r="2112" spans="1:52" x14ac:dyDescent="0.25">
      <c r="A2112" s="86">
        <v>17674</v>
      </c>
      <c r="B2112" s="87" t="s">
        <v>24</v>
      </c>
      <c r="C2112" s="87" t="s">
        <v>4056</v>
      </c>
      <c r="D2112" s="87" t="s">
        <v>4071</v>
      </c>
      <c r="E2112" s="87" t="s">
        <v>4072</v>
      </c>
      <c r="F2112" s="87">
        <v>36.591246770399998</v>
      </c>
      <c r="G2112" s="87">
        <v>42.3644174346</v>
      </c>
      <c r="H2112" s="86">
        <v>20</v>
      </c>
      <c r="I2112" s="86">
        <v>120</v>
      </c>
      <c r="J2112" s="87"/>
      <c r="K2112" s="87"/>
      <c r="L2112" s="87"/>
      <c r="M2112" s="87"/>
      <c r="N2112" s="87"/>
      <c r="O2112" s="87"/>
      <c r="P2112" s="87"/>
      <c r="Q2112" s="87"/>
      <c r="R2112" s="87"/>
      <c r="S2112" s="87"/>
      <c r="T2112" s="87"/>
      <c r="U2112" s="87"/>
      <c r="V2112" s="87">
        <v>20</v>
      </c>
      <c r="W2112" s="87"/>
      <c r="X2112" s="87"/>
      <c r="Y2112" s="87"/>
      <c r="Z2112" s="87"/>
      <c r="AA2112" s="87"/>
      <c r="AB2112" s="87"/>
      <c r="AC2112" s="87">
        <v>20</v>
      </c>
      <c r="AD2112" s="87"/>
      <c r="AE2112" s="87"/>
      <c r="AF2112" s="87"/>
      <c r="AG2112" s="87"/>
      <c r="AH2112" s="87"/>
      <c r="AI2112" s="87"/>
      <c r="AJ2112" s="87"/>
      <c r="AK2112" s="87"/>
      <c r="AL2112" s="87"/>
      <c r="AM2112" s="87"/>
      <c r="AN2112" s="87"/>
      <c r="AO2112" s="87"/>
      <c r="AP2112" s="87"/>
      <c r="AQ2112" s="87">
        <v>1</v>
      </c>
      <c r="AR2112" s="87">
        <v>19</v>
      </c>
      <c r="AS2112" s="87"/>
      <c r="AT2112" s="87"/>
      <c r="AU2112" s="87"/>
      <c r="AV2112" s="87"/>
      <c r="AW2112" s="88" t="str">
        <f>HYPERLINK("http://www.openstreetmap.org/?mlat=36.5912&amp;mlon=42.3644&amp;zoom=12#map=12/36.5912/42.3644","Maplink1")</f>
        <v>Maplink1</v>
      </c>
      <c r="AX2112" s="88" t="str">
        <f>HYPERLINK("https://www.google.iq/maps/search/+36.5912,42.3644/@36.5912,42.3644,14z?hl=en","Maplink2")</f>
        <v>Maplink2</v>
      </c>
      <c r="AY2112" s="88" t="str">
        <f>HYPERLINK("http://www.bing.com/maps/?lvl=14&amp;sty=h&amp;cp=36.5912~42.3644&amp;sp=point.36.5912_42.3644","Maplink3")</f>
        <v>Maplink3</v>
      </c>
      <c r="AZ2112" s="76"/>
    </row>
    <row r="2113" spans="1:52" x14ac:dyDescent="0.25">
      <c r="A2113" s="86">
        <v>28453</v>
      </c>
      <c r="B2113" s="87" t="s">
        <v>24</v>
      </c>
      <c r="C2113" s="87" t="s">
        <v>4056</v>
      </c>
      <c r="D2113" s="87" t="s">
        <v>4073</v>
      </c>
      <c r="E2113" s="87" t="s">
        <v>4074</v>
      </c>
      <c r="F2113" s="87">
        <v>36.731100699199999</v>
      </c>
      <c r="G2113" s="87">
        <v>42.258584500799998</v>
      </c>
      <c r="H2113" s="86">
        <v>20</v>
      </c>
      <c r="I2113" s="86">
        <v>120</v>
      </c>
      <c r="J2113" s="87"/>
      <c r="K2113" s="87"/>
      <c r="L2113" s="87"/>
      <c r="M2113" s="87"/>
      <c r="N2113" s="87"/>
      <c r="O2113" s="87"/>
      <c r="P2113" s="87"/>
      <c r="Q2113" s="87"/>
      <c r="R2113" s="87"/>
      <c r="S2113" s="87"/>
      <c r="T2113" s="87"/>
      <c r="U2113" s="87"/>
      <c r="V2113" s="87">
        <v>20</v>
      </c>
      <c r="W2113" s="87"/>
      <c r="X2113" s="87"/>
      <c r="Y2113" s="87"/>
      <c r="Z2113" s="87"/>
      <c r="AA2113" s="87"/>
      <c r="AB2113" s="87"/>
      <c r="AC2113" s="87">
        <v>20</v>
      </c>
      <c r="AD2113" s="87"/>
      <c r="AE2113" s="87"/>
      <c r="AF2113" s="87"/>
      <c r="AG2113" s="87"/>
      <c r="AH2113" s="87"/>
      <c r="AI2113" s="87"/>
      <c r="AJ2113" s="87"/>
      <c r="AK2113" s="87"/>
      <c r="AL2113" s="87"/>
      <c r="AM2113" s="87"/>
      <c r="AN2113" s="87"/>
      <c r="AO2113" s="87"/>
      <c r="AP2113" s="87"/>
      <c r="AQ2113" s="87"/>
      <c r="AR2113" s="87"/>
      <c r="AS2113" s="87"/>
      <c r="AT2113" s="87"/>
      <c r="AU2113" s="87">
        <v>20</v>
      </c>
      <c r="AV2113" s="87"/>
      <c r="AW2113" s="88" t="str">
        <f>HYPERLINK("http://www.openstreetmap.org/?mlat=36.7311&amp;mlon=42.2586&amp;zoom=12#map=12/36.7311/42.2586","Maplink1")</f>
        <v>Maplink1</v>
      </c>
      <c r="AX2113" s="88" t="str">
        <f>HYPERLINK("https://www.google.iq/maps/search/+36.7311,42.2586/@36.7311,42.2586,14z?hl=en","Maplink2")</f>
        <v>Maplink2</v>
      </c>
      <c r="AY2113" s="88" t="str">
        <f>HYPERLINK("http://www.bing.com/maps/?lvl=14&amp;sty=h&amp;cp=36.7311~42.2586&amp;sp=point.36.7311_42.2586","Maplink3")</f>
        <v>Maplink3</v>
      </c>
      <c r="AZ2113" s="76"/>
    </row>
    <row r="2114" spans="1:52" x14ac:dyDescent="0.25">
      <c r="A2114" s="86">
        <v>17775</v>
      </c>
      <c r="B2114" s="87" t="s">
        <v>24</v>
      </c>
      <c r="C2114" s="87" t="s">
        <v>4056</v>
      </c>
      <c r="D2114" s="87" t="s">
        <v>4075</v>
      </c>
      <c r="E2114" s="87" t="s">
        <v>4076</v>
      </c>
      <c r="F2114" s="87">
        <v>36.5920129012</v>
      </c>
      <c r="G2114" s="87">
        <v>42.388976597199999</v>
      </c>
      <c r="H2114" s="86">
        <v>6</v>
      </c>
      <c r="I2114" s="86">
        <v>36</v>
      </c>
      <c r="J2114" s="87"/>
      <c r="K2114" s="87"/>
      <c r="L2114" s="87"/>
      <c r="M2114" s="87"/>
      <c r="N2114" s="87"/>
      <c r="O2114" s="87"/>
      <c r="P2114" s="87"/>
      <c r="Q2114" s="87"/>
      <c r="R2114" s="87"/>
      <c r="S2114" s="87"/>
      <c r="T2114" s="87"/>
      <c r="U2114" s="87"/>
      <c r="V2114" s="87">
        <v>6</v>
      </c>
      <c r="W2114" s="87"/>
      <c r="X2114" s="87"/>
      <c r="Y2114" s="87"/>
      <c r="Z2114" s="87"/>
      <c r="AA2114" s="87"/>
      <c r="AB2114" s="87"/>
      <c r="AC2114" s="87">
        <v>6</v>
      </c>
      <c r="AD2114" s="87"/>
      <c r="AE2114" s="87"/>
      <c r="AF2114" s="87"/>
      <c r="AG2114" s="87"/>
      <c r="AH2114" s="87"/>
      <c r="AI2114" s="87"/>
      <c r="AJ2114" s="87"/>
      <c r="AK2114" s="87"/>
      <c r="AL2114" s="87"/>
      <c r="AM2114" s="87"/>
      <c r="AN2114" s="87"/>
      <c r="AO2114" s="87"/>
      <c r="AP2114" s="87"/>
      <c r="AQ2114" s="87">
        <v>6</v>
      </c>
      <c r="AR2114" s="87"/>
      <c r="AS2114" s="87"/>
      <c r="AT2114" s="87"/>
      <c r="AU2114" s="87"/>
      <c r="AV2114" s="87"/>
      <c r="AW2114" s="88" t="str">
        <f>HYPERLINK("http://www.openstreetmap.org/?mlat=36.592&amp;mlon=42.389&amp;zoom=12#map=12/36.592/42.389","Maplink1")</f>
        <v>Maplink1</v>
      </c>
      <c r="AX2114" s="88" t="str">
        <f>HYPERLINK("https://www.google.iq/maps/search/+36.592,42.389/@36.592,42.389,14z?hl=en","Maplink2")</f>
        <v>Maplink2</v>
      </c>
      <c r="AY2114" s="88" t="str">
        <f>HYPERLINK("http://www.bing.com/maps/?lvl=14&amp;sty=h&amp;cp=36.592~42.389&amp;sp=point.36.592_42.389","Maplink3")</f>
        <v>Maplink3</v>
      </c>
      <c r="AZ2114" s="76"/>
    </row>
    <row r="2115" spans="1:52" x14ac:dyDescent="0.25">
      <c r="A2115" s="86">
        <v>28437</v>
      </c>
      <c r="B2115" s="87" t="s">
        <v>24</v>
      </c>
      <c r="C2115" s="87" t="s">
        <v>4056</v>
      </c>
      <c r="D2115" s="87" t="s">
        <v>4077</v>
      </c>
      <c r="E2115" s="87" t="s">
        <v>4078</v>
      </c>
      <c r="F2115" s="87">
        <v>36.626862486100002</v>
      </c>
      <c r="G2115" s="87">
        <v>42.047201629</v>
      </c>
      <c r="H2115" s="86">
        <v>22</v>
      </c>
      <c r="I2115" s="86">
        <v>132</v>
      </c>
      <c r="J2115" s="87"/>
      <c r="K2115" s="87"/>
      <c r="L2115" s="87"/>
      <c r="M2115" s="87"/>
      <c r="N2115" s="87"/>
      <c r="O2115" s="87"/>
      <c r="P2115" s="87"/>
      <c r="Q2115" s="87"/>
      <c r="R2115" s="87"/>
      <c r="S2115" s="87"/>
      <c r="T2115" s="87"/>
      <c r="U2115" s="87"/>
      <c r="V2115" s="87">
        <v>22</v>
      </c>
      <c r="W2115" s="87"/>
      <c r="X2115" s="87"/>
      <c r="Y2115" s="87"/>
      <c r="Z2115" s="87"/>
      <c r="AA2115" s="87"/>
      <c r="AB2115" s="87"/>
      <c r="AC2115" s="87">
        <v>22</v>
      </c>
      <c r="AD2115" s="87"/>
      <c r="AE2115" s="87"/>
      <c r="AF2115" s="87"/>
      <c r="AG2115" s="87"/>
      <c r="AH2115" s="87"/>
      <c r="AI2115" s="87"/>
      <c r="AJ2115" s="87"/>
      <c r="AK2115" s="87"/>
      <c r="AL2115" s="87"/>
      <c r="AM2115" s="87"/>
      <c r="AN2115" s="87"/>
      <c r="AO2115" s="87"/>
      <c r="AP2115" s="87"/>
      <c r="AQ2115" s="87">
        <v>17</v>
      </c>
      <c r="AR2115" s="87"/>
      <c r="AS2115" s="87"/>
      <c r="AT2115" s="87"/>
      <c r="AU2115" s="87">
        <v>5</v>
      </c>
      <c r="AV2115" s="87"/>
      <c r="AW2115" s="88" t="str">
        <f>HYPERLINK("http://www.openstreetmap.org/?mlat=36.6269&amp;mlon=42.0472&amp;zoom=12#map=12/36.6269/42.0472","Maplink1")</f>
        <v>Maplink1</v>
      </c>
      <c r="AX2115" s="88" t="str">
        <f>HYPERLINK("https://www.google.iq/maps/search/+36.6269,42.0472/@36.6269,42.0472,14z?hl=en","Maplink2")</f>
        <v>Maplink2</v>
      </c>
      <c r="AY2115" s="88" t="str">
        <f>HYPERLINK("http://www.bing.com/maps/?lvl=14&amp;sty=h&amp;cp=36.6269~42.0472&amp;sp=point.36.6269_42.0472","Maplink3")</f>
        <v>Maplink3</v>
      </c>
      <c r="AZ2115" s="76"/>
    </row>
    <row r="2116" spans="1:52" x14ac:dyDescent="0.25">
      <c r="A2116" s="86">
        <v>17654</v>
      </c>
      <c r="B2116" s="87" t="s">
        <v>24</v>
      </c>
      <c r="C2116" s="87" t="s">
        <v>4056</v>
      </c>
      <c r="D2116" s="87" t="s">
        <v>4079</v>
      </c>
      <c r="E2116" s="87" t="s">
        <v>4080</v>
      </c>
      <c r="F2116" s="87">
        <v>36.643217978899997</v>
      </c>
      <c r="G2116" s="87">
        <v>42.444310029</v>
      </c>
      <c r="H2116" s="86">
        <v>5</v>
      </c>
      <c r="I2116" s="86">
        <v>30</v>
      </c>
      <c r="J2116" s="87"/>
      <c r="K2116" s="87"/>
      <c r="L2116" s="87"/>
      <c r="M2116" s="87"/>
      <c r="N2116" s="87"/>
      <c r="O2116" s="87"/>
      <c r="P2116" s="87"/>
      <c r="Q2116" s="87"/>
      <c r="R2116" s="87"/>
      <c r="S2116" s="87"/>
      <c r="T2116" s="87"/>
      <c r="U2116" s="87"/>
      <c r="V2116" s="87">
        <v>5</v>
      </c>
      <c r="W2116" s="87"/>
      <c r="X2116" s="87"/>
      <c r="Y2116" s="87"/>
      <c r="Z2116" s="87"/>
      <c r="AA2116" s="87"/>
      <c r="AB2116" s="87"/>
      <c r="AC2116" s="87">
        <v>5</v>
      </c>
      <c r="AD2116" s="87"/>
      <c r="AE2116" s="87"/>
      <c r="AF2116" s="87"/>
      <c r="AG2116" s="87"/>
      <c r="AH2116" s="87"/>
      <c r="AI2116" s="87"/>
      <c r="AJ2116" s="87"/>
      <c r="AK2116" s="87"/>
      <c r="AL2116" s="87"/>
      <c r="AM2116" s="87"/>
      <c r="AN2116" s="87"/>
      <c r="AO2116" s="87"/>
      <c r="AP2116" s="87"/>
      <c r="AQ2116" s="87">
        <v>5</v>
      </c>
      <c r="AR2116" s="87"/>
      <c r="AS2116" s="87"/>
      <c r="AT2116" s="87"/>
      <c r="AU2116" s="87"/>
      <c r="AV2116" s="87"/>
      <c r="AW2116" s="88" t="str">
        <f>HYPERLINK("http://www.openstreetmap.org/?mlat=36.6432&amp;mlon=42.4443&amp;zoom=12#map=12/36.6432/42.4443","Maplink1")</f>
        <v>Maplink1</v>
      </c>
      <c r="AX2116" s="88" t="str">
        <f>HYPERLINK("https://www.google.iq/maps/search/+36.6432,42.4443/@36.6432,42.4443,14z?hl=en","Maplink2")</f>
        <v>Maplink2</v>
      </c>
      <c r="AY2116" s="88" t="str">
        <f>HYPERLINK("http://www.bing.com/maps/?lvl=14&amp;sty=h&amp;cp=36.6432~42.4443&amp;sp=point.36.6432_42.4443","Maplink3")</f>
        <v>Maplink3</v>
      </c>
      <c r="AZ2116" s="76"/>
    </row>
    <row r="2117" spans="1:52" x14ac:dyDescent="0.25">
      <c r="A2117" s="86">
        <v>18031</v>
      </c>
      <c r="B2117" s="87" t="s">
        <v>24</v>
      </c>
      <c r="C2117" s="87" t="s">
        <v>4056</v>
      </c>
      <c r="D2117" s="87" t="s">
        <v>4081</v>
      </c>
      <c r="E2117" s="87" t="s">
        <v>4082</v>
      </c>
      <c r="F2117" s="87">
        <v>36.551428546799997</v>
      </c>
      <c r="G2117" s="87">
        <v>42.284642829500001</v>
      </c>
      <c r="H2117" s="86">
        <v>25</v>
      </c>
      <c r="I2117" s="86">
        <v>150</v>
      </c>
      <c r="J2117" s="87"/>
      <c r="K2117" s="87"/>
      <c r="L2117" s="87"/>
      <c r="M2117" s="87"/>
      <c r="N2117" s="87"/>
      <c r="O2117" s="87"/>
      <c r="P2117" s="87"/>
      <c r="Q2117" s="87"/>
      <c r="R2117" s="87"/>
      <c r="S2117" s="87"/>
      <c r="T2117" s="87"/>
      <c r="U2117" s="87"/>
      <c r="V2117" s="87">
        <v>25</v>
      </c>
      <c r="W2117" s="87"/>
      <c r="X2117" s="87"/>
      <c r="Y2117" s="87"/>
      <c r="Z2117" s="87"/>
      <c r="AA2117" s="87"/>
      <c r="AB2117" s="87"/>
      <c r="AC2117" s="87">
        <v>25</v>
      </c>
      <c r="AD2117" s="87"/>
      <c r="AE2117" s="87"/>
      <c r="AF2117" s="87"/>
      <c r="AG2117" s="87"/>
      <c r="AH2117" s="87"/>
      <c r="AI2117" s="87"/>
      <c r="AJ2117" s="87"/>
      <c r="AK2117" s="87"/>
      <c r="AL2117" s="87"/>
      <c r="AM2117" s="87"/>
      <c r="AN2117" s="87"/>
      <c r="AO2117" s="87"/>
      <c r="AP2117" s="87"/>
      <c r="AQ2117" s="87"/>
      <c r="AR2117" s="87">
        <v>25</v>
      </c>
      <c r="AS2117" s="87"/>
      <c r="AT2117" s="87"/>
      <c r="AU2117" s="87"/>
      <c r="AV2117" s="87"/>
      <c r="AW2117" s="88" t="str">
        <f>HYPERLINK("http://www.openstreetmap.org/?mlat=36.5514&amp;mlon=42.2846&amp;zoom=12#map=12/36.5514/42.2846","Maplink1")</f>
        <v>Maplink1</v>
      </c>
      <c r="AX2117" s="88" t="str">
        <f>HYPERLINK("https://www.google.iq/maps/search/+36.5514,42.2846/@36.5514,42.2846,14z?hl=en","Maplink2")</f>
        <v>Maplink2</v>
      </c>
      <c r="AY2117" s="88" t="str">
        <f>HYPERLINK("http://www.bing.com/maps/?lvl=14&amp;sty=h&amp;cp=36.5514~42.2846&amp;sp=point.36.5514_42.2846","Maplink3")</f>
        <v>Maplink3</v>
      </c>
      <c r="AZ2117" s="76"/>
    </row>
    <row r="2118" spans="1:52" x14ac:dyDescent="0.25">
      <c r="A2118" s="86">
        <v>28440</v>
      </c>
      <c r="B2118" s="87" t="s">
        <v>24</v>
      </c>
      <c r="C2118" s="87" t="s">
        <v>4056</v>
      </c>
      <c r="D2118" s="87" t="s">
        <v>4083</v>
      </c>
      <c r="E2118" s="87" t="s">
        <v>4084</v>
      </c>
      <c r="F2118" s="87">
        <v>36.797129163400001</v>
      </c>
      <c r="G2118" s="87">
        <v>42.216600958299999</v>
      </c>
      <c r="H2118" s="86">
        <v>15</v>
      </c>
      <c r="I2118" s="86">
        <v>90</v>
      </c>
      <c r="J2118" s="87"/>
      <c r="K2118" s="87"/>
      <c r="L2118" s="87"/>
      <c r="M2118" s="87"/>
      <c r="N2118" s="87"/>
      <c r="O2118" s="87"/>
      <c r="P2118" s="87"/>
      <c r="Q2118" s="87"/>
      <c r="R2118" s="87"/>
      <c r="S2118" s="87"/>
      <c r="T2118" s="87"/>
      <c r="U2118" s="87"/>
      <c r="V2118" s="87">
        <v>15</v>
      </c>
      <c r="W2118" s="87"/>
      <c r="X2118" s="87"/>
      <c r="Y2118" s="87"/>
      <c r="Z2118" s="87"/>
      <c r="AA2118" s="87"/>
      <c r="AB2118" s="87"/>
      <c r="AC2118" s="87">
        <v>15</v>
      </c>
      <c r="AD2118" s="87"/>
      <c r="AE2118" s="87"/>
      <c r="AF2118" s="87"/>
      <c r="AG2118" s="87"/>
      <c r="AH2118" s="87"/>
      <c r="AI2118" s="87"/>
      <c r="AJ2118" s="87"/>
      <c r="AK2118" s="87"/>
      <c r="AL2118" s="87"/>
      <c r="AM2118" s="87"/>
      <c r="AN2118" s="87"/>
      <c r="AO2118" s="87"/>
      <c r="AP2118" s="87"/>
      <c r="AQ2118" s="87">
        <v>12</v>
      </c>
      <c r="AR2118" s="87"/>
      <c r="AS2118" s="87"/>
      <c r="AT2118" s="87"/>
      <c r="AU2118" s="87">
        <v>3</v>
      </c>
      <c r="AV2118" s="87"/>
      <c r="AW2118" s="88" t="str">
        <f>HYPERLINK("http://www.openstreetmap.org/?mlat=36.7971&amp;mlon=42.2166&amp;zoom=12#map=12/36.7971/42.2166","Maplink1")</f>
        <v>Maplink1</v>
      </c>
      <c r="AX2118" s="88" t="str">
        <f>HYPERLINK("https://www.google.iq/maps/search/+36.7971,42.2166/@36.7971,42.2166,14z?hl=en","Maplink2")</f>
        <v>Maplink2</v>
      </c>
      <c r="AY2118" s="88" t="str">
        <f>HYPERLINK("http://www.bing.com/maps/?lvl=14&amp;sty=h&amp;cp=36.7971~42.2166&amp;sp=point.36.7971_42.2166","Maplink3")</f>
        <v>Maplink3</v>
      </c>
      <c r="AZ2118" s="76"/>
    </row>
    <row r="2119" spans="1:52" x14ac:dyDescent="0.25">
      <c r="A2119" s="86">
        <v>25809</v>
      </c>
      <c r="B2119" s="87" t="s">
        <v>24</v>
      </c>
      <c r="C2119" s="87" t="s">
        <v>4056</v>
      </c>
      <c r="D2119" s="87" t="s">
        <v>4085</v>
      </c>
      <c r="E2119" s="87" t="s">
        <v>4086</v>
      </c>
      <c r="F2119" s="87">
        <v>36.7120468058</v>
      </c>
      <c r="G2119" s="87">
        <v>42.614610669699999</v>
      </c>
      <c r="H2119" s="86">
        <v>5</v>
      </c>
      <c r="I2119" s="86">
        <v>30</v>
      </c>
      <c r="J2119" s="87"/>
      <c r="K2119" s="87"/>
      <c r="L2119" s="87"/>
      <c r="M2119" s="87"/>
      <c r="N2119" s="87"/>
      <c r="O2119" s="87"/>
      <c r="P2119" s="87"/>
      <c r="Q2119" s="87"/>
      <c r="R2119" s="87"/>
      <c r="S2119" s="87"/>
      <c r="T2119" s="87"/>
      <c r="U2119" s="87"/>
      <c r="V2119" s="87">
        <v>5</v>
      </c>
      <c r="W2119" s="87"/>
      <c r="X2119" s="87"/>
      <c r="Y2119" s="87"/>
      <c r="Z2119" s="87"/>
      <c r="AA2119" s="87"/>
      <c r="AB2119" s="87"/>
      <c r="AC2119" s="87"/>
      <c r="AD2119" s="87"/>
      <c r="AE2119" s="87"/>
      <c r="AF2119" s="87"/>
      <c r="AG2119" s="87"/>
      <c r="AH2119" s="87">
        <v>5</v>
      </c>
      <c r="AI2119" s="87"/>
      <c r="AJ2119" s="87"/>
      <c r="AK2119" s="87"/>
      <c r="AL2119" s="87"/>
      <c r="AM2119" s="87"/>
      <c r="AN2119" s="87"/>
      <c r="AO2119" s="87"/>
      <c r="AP2119" s="87"/>
      <c r="AQ2119" s="87"/>
      <c r="AR2119" s="87">
        <v>5</v>
      </c>
      <c r="AS2119" s="87"/>
      <c r="AT2119" s="87"/>
      <c r="AU2119" s="87"/>
      <c r="AV2119" s="87"/>
      <c r="AW2119" s="88" t="str">
        <f>HYPERLINK("http://www.openstreetmap.org/?mlat=36.712&amp;mlon=42.6146&amp;zoom=12#map=12/36.712/42.6146","Maplink1")</f>
        <v>Maplink1</v>
      </c>
      <c r="AX2119" s="88" t="str">
        <f>HYPERLINK("https://www.google.iq/maps/search/+36.712,42.6146/@36.712,42.6146,14z?hl=en","Maplink2")</f>
        <v>Maplink2</v>
      </c>
      <c r="AY2119" s="88" t="str">
        <f>HYPERLINK("http://www.bing.com/maps/?lvl=14&amp;sty=h&amp;cp=36.712~42.6146&amp;sp=point.36.712_42.6146","Maplink3")</f>
        <v>Maplink3</v>
      </c>
      <c r="AZ2119" s="76"/>
    </row>
    <row r="2120" spans="1:52" x14ac:dyDescent="0.25">
      <c r="A2120" s="86">
        <v>28450</v>
      </c>
      <c r="B2120" s="87" t="s">
        <v>24</v>
      </c>
      <c r="C2120" s="87" t="s">
        <v>4056</v>
      </c>
      <c r="D2120" s="87" t="s">
        <v>4087</v>
      </c>
      <c r="E2120" s="87" t="s">
        <v>4088</v>
      </c>
      <c r="F2120" s="87">
        <v>36.680931223100004</v>
      </c>
      <c r="G2120" s="87">
        <v>42.402196673500001</v>
      </c>
      <c r="H2120" s="86">
        <v>60</v>
      </c>
      <c r="I2120" s="86">
        <v>360</v>
      </c>
      <c r="J2120" s="87"/>
      <c r="K2120" s="87"/>
      <c r="L2120" s="87"/>
      <c r="M2120" s="87"/>
      <c r="N2120" s="87"/>
      <c r="O2120" s="87"/>
      <c r="P2120" s="87"/>
      <c r="Q2120" s="87"/>
      <c r="R2120" s="87"/>
      <c r="S2120" s="87"/>
      <c r="T2120" s="87"/>
      <c r="U2120" s="87"/>
      <c r="V2120" s="87">
        <v>60</v>
      </c>
      <c r="W2120" s="87"/>
      <c r="X2120" s="87"/>
      <c r="Y2120" s="87"/>
      <c r="Z2120" s="87"/>
      <c r="AA2120" s="87"/>
      <c r="AB2120" s="87"/>
      <c r="AC2120" s="87">
        <v>60</v>
      </c>
      <c r="AD2120" s="87"/>
      <c r="AE2120" s="87"/>
      <c r="AF2120" s="87"/>
      <c r="AG2120" s="87"/>
      <c r="AH2120" s="87"/>
      <c r="AI2120" s="87"/>
      <c r="AJ2120" s="87"/>
      <c r="AK2120" s="87"/>
      <c r="AL2120" s="87"/>
      <c r="AM2120" s="87"/>
      <c r="AN2120" s="87"/>
      <c r="AO2120" s="87"/>
      <c r="AP2120" s="87"/>
      <c r="AQ2120" s="87">
        <v>23</v>
      </c>
      <c r="AR2120" s="87"/>
      <c r="AS2120" s="87"/>
      <c r="AT2120" s="87"/>
      <c r="AU2120" s="87">
        <v>37</v>
      </c>
      <c r="AV2120" s="87"/>
      <c r="AW2120" s="88" t="str">
        <f>HYPERLINK("http://www.openstreetmap.org/?mlat=36.6809&amp;mlon=42.4022&amp;zoom=12#map=12/36.6809/42.4022","Maplink1")</f>
        <v>Maplink1</v>
      </c>
      <c r="AX2120" s="88" t="str">
        <f>HYPERLINK("https://www.google.iq/maps/search/+36.6809,42.4022/@36.6809,42.4022,14z?hl=en","Maplink2")</f>
        <v>Maplink2</v>
      </c>
      <c r="AY2120" s="88" t="str">
        <f>HYPERLINK("http://www.bing.com/maps/?lvl=14&amp;sty=h&amp;cp=36.6809~42.4022&amp;sp=point.36.6809_42.4022","Maplink3")</f>
        <v>Maplink3</v>
      </c>
      <c r="AZ2120" s="76"/>
    </row>
    <row r="2121" spans="1:52" x14ac:dyDescent="0.25">
      <c r="A2121" s="86">
        <v>25686</v>
      </c>
      <c r="B2121" s="87" t="s">
        <v>24</v>
      </c>
      <c r="C2121" s="87" t="s">
        <v>4056</v>
      </c>
      <c r="D2121" s="87" t="s">
        <v>4089</v>
      </c>
      <c r="E2121" s="87" t="s">
        <v>4090</v>
      </c>
      <c r="F2121" s="87">
        <v>36.806057959999997</v>
      </c>
      <c r="G2121" s="87">
        <v>42.086191879099999</v>
      </c>
      <c r="H2121" s="86">
        <v>17</v>
      </c>
      <c r="I2121" s="86">
        <v>102</v>
      </c>
      <c r="J2121" s="87"/>
      <c r="K2121" s="87"/>
      <c r="L2121" s="87"/>
      <c r="M2121" s="87"/>
      <c r="N2121" s="87"/>
      <c r="O2121" s="87"/>
      <c r="P2121" s="87"/>
      <c r="Q2121" s="87"/>
      <c r="R2121" s="87"/>
      <c r="S2121" s="87"/>
      <c r="T2121" s="87"/>
      <c r="U2121" s="87"/>
      <c r="V2121" s="87">
        <v>17</v>
      </c>
      <c r="W2121" s="87"/>
      <c r="X2121" s="87"/>
      <c r="Y2121" s="87"/>
      <c r="Z2121" s="87"/>
      <c r="AA2121" s="87"/>
      <c r="AB2121" s="87"/>
      <c r="AC2121" s="87">
        <v>13</v>
      </c>
      <c r="AD2121" s="87"/>
      <c r="AE2121" s="87"/>
      <c r="AF2121" s="87"/>
      <c r="AG2121" s="87"/>
      <c r="AH2121" s="87">
        <v>3</v>
      </c>
      <c r="AI2121" s="87">
        <v>1</v>
      </c>
      <c r="AJ2121" s="87"/>
      <c r="AK2121" s="87"/>
      <c r="AL2121" s="87"/>
      <c r="AM2121" s="87"/>
      <c r="AN2121" s="87"/>
      <c r="AO2121" s="87"/>
      <c r="AP2121" s="87"/>
      <c r="AQ2121" s="87"/>
      <c r="AR2121" s="87">
        <v>15</v>
      </c>
      <c r="AS2121" s="87"/>
      <c r="AT2121" s="87"/>
      <c r="AU2121" s="87">
        <v>2</v>
      </c>
      <c r="AV2121" s="87"/>
      <c r="AW2121" s="88" t="str">
        <f>HYPERLINK("http://www.openstreetmap.org/?mlat=36.8061&amp;mlon=42.0862&amp;zoom=12#map=12/36.8061/42.0862","Maplink1")</f>
        <v>Maplink1</v>
      </c>
      <c r="AX2121" s="88" t="str">
        <f>HYPERLINK("https://www.google.iq/maps/search/+36.8061,42.0862/@36.8061,42.0862,14z?hl=en","Maplink2")</f>
        <v>Maplink2</v>
      </c>
      <c r="AY2121" s="88" t="str">
        <f>HYPERLINK("http://www.bing.com/maps/?lvl=14&amp;sty=h&amp;cp=36.8061~42.0862&amp;sp=point.36.8061_42.0862","Maplink3")</f>
        <v>Maplink3</v>
      </c>
      <c r="AZ2121" s="76"/>
    </row>
    <row r="2122" spans="1:52" x14ac:dyDescent="0.25">
      <c r="A2122" s="86">
        <v>18308</v>
      </c>
      <c r="B2122" s="87" t="s">
        <v>24</v>
      </c>
      <c r="C2122" s="87" t="s">
        <v>4056</v>
      </c>
      <c r="D2122" s="87" t="s">
        <v>4091</v>
      </c>
      <c r="E2122" s="87" t="s">
        <v>55</v>
      </c>
      <c r="F2122" s="87">
        <v>36.802461914699997</v>
      </c>
      <c r="G2122" s="87">
        <v>42.097154477399997</v>
      </c>
      <c r="H2122" s="86">
        <v>493</v>
      </c>
      <c r="I2122" s="86">
        <v>2958</v>
      </c>
      <c r="J2122" s="87"/>
      <c r="K2122" s="87"/>
      <c r="L2122" s="87"/>
      <c r="M2122" s="87"/>
      <c r="N2122" s="87"/>
      <c r="O2122" s="87"/>
      <c r="P2122" s="87"/>
      <c r="Q2122" s="87"/>
      <c r="R2122" s="87"/>
      <c r="S2122" s="87"/>
      <c r="T2122" s="87"/>
      <c r="U2122" s="87"/>
      <c r="V2122" s="87">
        <v>493</v>
      </c>
      <c r="W2122" s="87"/>
      <c r="X2122" s="87"/>
      <c r="Y2122" s="87"/>
      <c r="Z2122" s="87"/>
      <c r="AA2122" s="87"/>
      <c r="AB2122" s="87"/>
      <c r="AC2122" s="87">
        <v>371</v>
      </c>
      <c r="AD2122" s="87"/>
      <c r="AE2122" s="87"/>
      <c r="AF2122" s="87"/>
      <c r="AG2122" s="87"/>
      <c r="AH2122" s="87">
        <v>80</v>
      </c>
      <c r="AI2122" s="87">
        <v>22</v>
      </c>
      <c r="AJ2122" s="87"/>
      <c r="AK2122" s="87"/>
      <c r="AL2122" s="87">
        <v>20</v>
      </c>
      <c r="AM2122" s="87"/>
      <c r="AN2122" s="87"/>
      <c r="AO2122" s="87"/>
      <c r="AP2122" s="87"/>
      <c r="AQ2122" s="87"/>
      <c r="AR2122" s="87">
        <v>348</v>
      </c>
      <c r="AS2122" s="87"/>
      <c r="AT2122" s="87"/>
      <c r="AU2122" s="87">
        <v>105</v>
      </c>
      <c r="AV2122" s="87">
        <v>40</v>
      </c>
      <c r="AW2122" s="88" t="str">
        <f>HYPERLINK("http://www.openstreetmap.org/?mlat=36.8025&amp;mlon=42.0972&amp;zoom=12#map=12/36.8025/42.0972","Maplink1")</f>
        <v>Maplink1</v>
      </c>
      <c r="AX2122" s="88" t="str">
        <f>HYPERLINK("https://www.google.iq/maps/search/+36.8025,42.0972/@36.8025,42.0972,14z?hl=en","Maplink2")</f>
        <v>Maplink2</v>
      </c>
      <c r="AY2122" s="88" t="str">
        <f>HYPERLINK("http://www.bing.com/maps/?lvl=14&amp;sty=h&amp;cp=36.8025~42.0972&amp;sp=point.36.8025_42.0972","Maplink3")</f>
        <v>Maplink3</v>
      </c>
      <c r="AZ2122" s="76"/>
    </row>
    <row r="2123" spans="1:52" x14ac:dyDescent="0.25">
      <c r="A2123" s="86">
        <v>24701</v>
      </c>
      <c r="B2123" s="87" t="s">
        <v>24</v>
      </c>
      <c r="C2123" s="87" t="s">
        <v>4056</v>
      </c>
      <c r="D2123" s="87" t="s">
        <v>4092</v>
      </c>
      <c r="E2123" s="87" t="s">
        <v>4093</v>
      </c>
      <c r="F2123" s="87">
        <v>36.808491991300002</v>
      </c>
      <c r="G2123" s="87">
        <v>42.090161568600003</v>
      </c>
      <c r="H2123" s="86">
        <v>150</v>
      </c>
      <c r="I2123" s="86">
        <v>900</v>
      </c>
      <c r="J2123" s="87"/>
      <c r="K2123" s="87"/>
      <c r="L2123" s="87"/>
      <c r="M2123" s="87"/>
      <c r="N2123" s="87"/>
      <c r="O2123" s="87"/>
      <c r="P2123" s="87"/>
      <c r="Q2123" s="87"/>
      <c r="R2123" s="87"/>
      <c r="S2123" s="87"/>
      <c r="T2123" s="87"/>
      <c r="U2123" s="87"/>
      <c r="V2123" s="87">
        <v>150</v>
      </c>
      <c r="W2123" s="87"/>
      <c r="X2123" s="87"/>
      <c r="Y2123" s="87"/>
      <c r="Z2123" s="87"/>
      <c r="AA2123" s="87"/>
      <c r="AB2123" s="87"/>
      <c r="AC2123" s="87">
        <v>78</v>
      </c>
      <c r="AD2123" s="87"/>
      <c r="AE2123" s="87"/>
      <c r="AF2123" s="87"/>
      <c r="AG2123" s="87"/>
      <c r="AH2123" s="87">
        <v>50</v>
      </c>
      <c r="AI2123" s="87">
        <v>22</v>
      </c>
      <c r="AJ2123" s="87"/>
      <c r="AK2123" s="87"/>
      <c r="AL2123" s="87"/>
      <c r="AM2123" s="87"/>
      <c r="AN2123" s="87"/>
      <c r="AO2123" s="87"/>
      <c r="AP2123" s="87"/>
      <c r="AQ2123" s="87"/>
      <c r="AR2123" s="87">
        <v>50</v>
      </c>
      <c r="AS2123" s="87"/>
      <c r="AT2123" s="87"/>
      <c r="AU2123" s="87">
        <v>100</v>
      </c>
      <c r="AV2123" s="87"/>
      <c r="AW2123" s="88" t="str">
        <f>HYPERLINK("http://www.openstreetmap.org/?mlat=36.8085&amp;mlon=42.0902&amp;zoom=12#map=12/36.8085/42.0902","Maplink1")</f>
        <v>Maplink1</v>
      </c>
      <c r="AX2123" s="88" t="str">
        <f>HYPERLINK("https://www.google.iq/maps/search/+36.8085,42.0902/@36.8085,42.0902,14z?hl=en","Maplink2")</f>
        <v>Maplink2</v>
      </c>
      <c r="AY2123" s="88" t="str">
        <f>HYPERLINK("http://www.bing.com/maps/?lvl=14&amp;sty=h&amp;cp=36.8085~42.0902&amp;sp=point.36.8085_42.0902","Maplink3")</f>
        <v>Maplink3</v>
      </c>
      <c r="AZ2123" s="76"/>
    </row>
    <row r="2124" spans="1:52" x14ac:dyDescent="0.25">
      <c r="A2124" s="86">
        <v>25688</v>
      </c>
      <c r="B2124" s="87" t="s">
        <v>24</v>
      </c>
      <c r="C2124" s="87" t="s">
        <v>4056</v>
      </c>
      <c r="D2124" s="87" t="s">
        <v>4094</v>
      </c>
      <c r="E2124" s="87" t="s">
        <v>72</v>
      </c>
      <c r="F2124" s="87">
        <v>36.808158114100003</v>
      </c>
      <c r="G2124" s="87">
        <v>42.083707296100002</v>
      </c>
      <c r="H2124" s="86">
        <v>35</v>
      </c>
      <c r="I2124" s="86">
        <v>210</v>
      </c>
      <c r="J2124" s="87"/>
      <c r="K2124" s="87"/>
      <c r="L2124" s="87"/>
      <c r="M2124" s="87"/>
      <c r="N2124" s="87"/>
      <c r="O2124" s="87"/>
      <c r="P2124" s="87"/>
      <c r="Q2124" s="87"/>
      <c r="R2124" s="87"/>
      <c r="S2124" s="87"/>
      <c r="T2124" s="87"/>
      <c r="U2124" s="87"/>
      <c r="V2124" s="87">
        <v>35</v>
      </c>
      <c r="W2124" s="87"/>
      <c r="X2124" s="87"/>
      <c r="Y2124" s="87"/>
      <c r="Z2124" s="87"/>
      <c r="AA2124" s="87"/>
      <c r="AB2124" s="87"/>
      <c r="AC2124" s="87">
        <v>35</v>
      </c>
      <c r="AD2124" s="87"/>
      <c r="AE2124" s="87"/>
      <c r="AF2124" s="87"/>
      <c r="AG2124" s="87"/>
      <c r="AH2124" s="87"/>
      <c r="AI2124" s="87"/>
      <c r="AJ2124" s="87"/>
      <c r="AK2124" s="87"/>
      <c r="AL2124" s="87"/>
      <c r="AM2124" s="87"/>
      <c r="AN2124" s="87"/>
      <c r="AO2124" s="87"/>
      <c r="AP2124" s="87"/>
      <c r="AQ2124" s="87"/>
      <c r="AR2124" s="87"/>
      <c r="AS2124" s="87"/>
      <c r="AT2124" s="87"/>
      <c r="AU2124" s="87">
        <v>35</v>
      </c>
      <c r="AV2124" s="87"/>
      <c r="AW2124" s="88" t="str">
        <f>HYPERLINK("http://www.openstreetmap.org/?mlat=36.8082&amp;mlon=42.0837&amp;zoom=12#map=12/36.8082/42.0837","Maplink1")</f>
        <v>Maplink1</v>
      </c>
      <c r="AX2124" s="88" t="str">
        <f>HYPERLINK("https://www.google.iq/maps/search/+36.8082,42.0837/@36.8082,42.0837,14z?hl=en","Maplink2")</f>
        <v>Maplink2</v>
      </c>
      <c r="AY2124" s="88" t="str">
        <f>HYPERLINK("http://www.bing.com/maps/?lvl=14&amp;sty=h&amp;cp=36.8082~42.0837&amp;sp=point.36.8082_42.0837","Maplink3")</f>
        <v>Maplink3</v>
      </c>
      <c r="AZ2124" s="76"/>
    </row>
    <row r="2125" spans="1:52" x14ac:dyDescent="0.25">
      <c r="A2125" s="86">
        <v>25687</v>
      </c>
      <c r="B2125" s="87" t="s">
        <v>24</v>
      </c>
      <c r="C2125" s="87" t="s">
        <v>4056</v>
      </c>
      <c r="D2125" s="87" t="s">
        <v>4095</v>
      </c>
      <c r="E2125" s="87" t="s">
        <v>3239</v>
      </c>
      <c r="F2125" s="87">
        <v>36.799306332500002</v>
      </c>
      <c r="G2125" s="87">
        <v>42.0937826563</v>
      </c>
      <c r="H2125" s="86">
        <v>37</v>
      </c>
      <c r="I2125" s="86">
        <v>222</v>
      </c>
      <c r="J2125" s="87"/>
      <c r="K2125" s="87"/>
      <c r="L2125" s="87"/>
      <c r="M2125" s="87"/>
      <c r="N2125" s="87"/>
      <c r="O2125" s="87"/>
      <c r="P2125" s="87"/>
      <c r="Q2125" s="87"/>
      <c r="R2125" s="87"/>
      <c r="S2125" s="87"/>
      <c r="T2125" s="87"/>
      <c r="U2125" s="87"/>
      <c r="V2125" s="87">
        <v>37</v>
      </c>
      <c r="W2125" s="87"/>
      <c r="X2125" s="87"/>
      <c r="Y2125" s="87"/>
      <c r="Z2125" s="87"/>
      <c r="AA2125" s="87"/>
      <c r="AB2125" s="87"/>
      <c r="AC2125" s="87"/>
      <c r="AD2125" s="87"/>
      <c r="AE2125" s="87"/>
      <c r="AF2125" s="87"/>
      <c r="AG2125" s="87"/>
      <c r="AH2125" s="87">
        <v>20</v>
      </c>
      <c r="AI2125" s="87">
        <v>17</v>
      </c>
      <c r="AJ2125" s="87"/>
      <c r="AK2125" s="87"/>
      <c r="AL2125" s="87"/>
      <c r="AM2125" s="87"/>
      <c r="AN2125" s="87"/>
      <c r="AO2125" s="87"/>
      <c r="AP2125" s="87"/>
      <c r="AQ2125" s="87"/>
      <c r="AR2125" s="87"/>
      <c r="AS2125" s="87"/>
      <c r="AT2125" s="87"/>
      <c r="AU2125" s="87">
        <v>37</v>
      </c>
      <c r="AV2125" s="87"/>
      <c r="AW2125" s="88" t="str">
        <f>HYPERLINK("http://www.openstreetmap.org/?mlat=36.7993&amp;mlon=42.0938&amp;zoom=12#map=12/36.7993/42.0938","Maplink1")</f>
        <v>Maplink1</v>
      </c>
      <c r="AX2125" s="88" t="str">
        <f>HYPERLINK("https://www.google.iq/maps/search/+36.7993,42.0938/@36.7993,42.0938,14z?hl=en","Maplink2")</f>
        <v>Maplink2</v>
      </c>
      <c r="AY2125" s="88" t="str">
        <f>HYPERLINK("http://www.bing.com/maps/?lvl=14&amp;sty=h&amp;cp=36.7993~42.0938&amp;sp=point.36.7993_42.0938","Maplink3")</f>
        <v>Maplink3</v>
      </c>
      <c r="AZ2125" s="76"/>
    </row>
    <row r="2126" spans="1:52" x14ac:dyDescent="0.25">
      <c r="A2126" s="86">
        <v>25808</v>
      </c>
      <c r="B2126" s="87" t="s">
        <v>24</v>
      </c>
      <c r="C2126" s="87" t="s">
        <v>4056</v>
      </c>
      <c r="D2126" s="87" t="s">
        <v>4096</v>
      </c>
      <c r="E2126" s="87" t="s">
        <v>514</v>
      </c>
      <c r="F2126" s="87">
        <v>36.804834915900003</v>
      </c>
      <c r="G2126" s="87">
        <v>42.086717302799997</v>
      </c>
      <c r="H2126" s="86">
        <v>84</v>
      </c>
      <c r="I2126" s="86">
        <v>504</v>
      </c>
      <c r="J2126" s="87"/>
      <c r="K2126" s="87"/>
      <c r="L2126" s="87"/>
      <c r="M2126" s="87"/>
      <c r="N2126" s="87"/>
      <c r="O2126" s="87"/>
      <c r="P2126" s="87"/>
      <c r="Q2126" s="87"/>
      <c r="R2126" s="87"/>
      <c r="S2126" s="87"/>
      <c r="T2126" s="87"/>
      <c r="U2126" s="87"/>
      <c r="V2126" s="87">
        <v>84</v>
      </c>
      <c r="W2126" s="87"/>
      <c r="X2126" s="87"/>
      <c r="Y2126" s="87"/>
      <c r="Z2126" s="87"/>
      <c r="AA2126" s="87"/>
      <c r="AB2126" s="87"/>
      <c r="AC2126" s="87">
        <v>65</v>
      </c>
      <c r="AD2126" s="87"/>
      <c r="AE2126" s="87"/>
      <c r="AF2126" s="87"/>
      <c r="AG2126" s="87"/>
      <c r="AH2126" s="87">
        <v>10</v>
      </c>
      <c r="AI2126" s="87">
        <v>9</v>
      </c>
      <c r="AJ2126" s="87"/>
      <c r="AK2126" s="87"/>
      <c r="AL2126" s="87"/>
      <c r="AM2126" s="87"/>
      <c r="AN2126" s="87"/>
      <c r="AO2126" s="87"/>
      <c r="AP2126" s="87"/>
      <c r="AQ2126" s="87"/>
      <c r="AR2126" s="87">
        <v>31</v>
      </c>
      <c r="AS2126" s="87"/>
      <c r="AT2126" s="87"/>
      <c r="AU2126" s="87">
        <v>53</v>
      </c>
      <c r="AV2126" s="87"/>
      <c r="AW2126" s="88" t="str">
        <f>HYPERLINK("http://www.openstreetmap.org/?mlat=36.8048&amp;mlon=42.0867&amp;zoom=12#map=12/36.8048/42.0867","Maplink1")</f>
        <v>Maplink1</v>
      </c>
      <c r="AX2126" s="88" t="str">
        <f>HYPERLINK("https://www.google.iq/maps/search/+36.8048,42.0867/@36.8048,42.0867,14z?hl=en","Maplink2")</f>
        <v>Maplink2</v>
      </c>
      <c r="AY2126" s="88" t="str">
        <f>HYPERLINK("http://www.bing.com/maps/?lvl=14&amp;sty=h&amp;cp=36.8048~42.0867&amp;sp=point.36.8048_42.0867","Maplink3")</f>
        <v>Maplink3</v>
      </c>
      <c r="AZ2126" s="76"/>
    </row>
    <row r="2127" spans="1:52" x14ac:dyDescent="0.25">
      <c r="A2127" s="86">
        <v>25807</v>
      </c>
      <c r="B2127" s="87" t="s">
        <v>24</v>
      </c>
      <c r="C2127" s="87" t="s">
        <v>4056</v>
      </c>
      <c r="D2127" s="87" t="s">
        <v>4097</v>
      </c>
      <c r="E2127" s="87" t="s">
        <v>4098</v>
      </c>
      <c r="F2127" s="87">
        <v>36.801709250199998</v>
      </c>
      <c r="G2127" s="87">
        <v>42.094587545300001</v>
      </c>
      <c r="H2127" s="86">
        <v>73</v>
      </c>
      <c r="I2127" s="86">
        <v>438</v>
      </c>
      <c r="J2127" s="87"/>
      <c r="K2127" s="87"/>
      <c r="L2127" s="87"/>
      <c r="M2127" s="87"/>
      <c r="N2127" s="87"/>
      <c r="O2127" s="87"/>
      <c r="P2127" s="87"/>
      <c r="Q2127" s="87"/>
      <c r="R2127" s="87"/>
      <c r="S2127" s="87"/>
      <c r="T2127" s="87"/>
      <c r="U2127" s="87"/>
      <c r="V2127" s="87">
        <v>73</v>
      </c>
      <c r="W2127" s="87"/>
      <c r="X2127" s="87"/>
      <c r="Y2127" s="87"/>
      <c r="Z2127" s="87"/>
      <c r="AA2127" s="87"/>
      <c r="AB2127" s="87"/>
      <c r="AC2127" s="87">
        <v>24</v>
      </c>
      <c r="AD2127" s="87"/>
      <c r="AE2127" s="87"/>
      <c r="AF2127" s="87"/>
      <c r="AG2127" s="87"/>
      <c r="AH2127" s="87"/>
      <c r="AI2127" s="87"/>
      <c r="AJ2127" s="87"/>
      <c r="AK2127" s="87">
        <v>49</v>
      </c>
      <c r="AL2127" s="87"/>
      <c r="AM2127" s="87"/>
      <c r="AN2127" s="87"/>
      <c r="AO2127" s="87"/>
      <c r="AP2127" s="87"/>
      <c r="AQ2127" s="87"/>
      <c r="AR2127" s="87">
        <v>35</v>
      </c>
      <c r="AS2127" s="87"/>
      <c r="AT2127" s="87"/>
      <c r="AU2127" s="87">
        <v>38</v>
      </c>
      <c r="AV2127" s="87"/>
      <c r="AW2127" s="88" t="str">
        <f>HYPERLINK("http://www.openstreetmap.org/?mlat=36.8017&amp;mlon=42.0946&amp;zoom=12#map=12/36.8017/42.0946","Maplink1")</f>
        <v>Maplink1</v>
      </c>
      <c r="AX2127" s="88" t="str">
        <f>HYPERLINK("https://www.google.iq/maps/search/+36.8017,42.0946/@36.8017,42.0946,14z?hl=en","Maplink2")</f>
        <v>Maplink2</v>
      </c>
      <c r="AY2127" s="88" t="str">
        <f>HYPERLINK("http://www.bing.com/maps/?lvl=14&amp;sty=h&amp;cp=36.8017~42.0946&amp;sp=point.36.8017_42.0946","Maplink3")</f>
        <v>Maplink3</v>
      </c>
      <c r="AZ2127" s="76"/>
    </row>
    <row r="2128" spans="1:52" x14ac:dyDescent="0.25">
      <c r="A2128" s="86">
        <v>22648</v>
      </c>
      <c r="B2128" s="87" t="s">
        <v>24</v>
      </c>
      <c r="C2128" s="87" t="s">
        <v>4056</v>
      </c>
      <c r="D2128" s="87" t="s">
        <v>4099</v>
      </c>
      <c r="E2128" s="87" t="s">
        <v>4100</v>
      </c>
      <c r="F2128" s="87">
        <v>36.535390602299998</v>
      </c>
      <c r="G2128" s="87">
        <v>42.703595173499998</v>
      </c>
      <c r="H2128" s="86">
        <v>4</v>
      </c>
      <c r="I2128" s="86">
        <v>24</v>
      </c>
      <c r="J2128" s="87"/>
      <c r="K2128" s="87"/>
      <c r="L2128" s="87"/>
      <c r="M2128" s="87"/>
      <c r="N2128" s="87"/>
      <c r="O2128" s="87"/>
      <c r="P2128" s="87"/>
      <c r="Q2128" s="87"/>
      <c r="R2128" s="87"/>
      <c r="S2128" s="87"/>
      <c r="T2128" s="87"/>
      <c r="U2128" s="87"/>
      <c r="V2128" s="87">
        <v>4</v>
      </c>
      <c r="W2128" s="87"/>
      <c r="X2128" s="87"/>
      <c r="Y2128" s="87"/>
      <c r="Z2128" s="87"/>
      <c r="AA2128" s="87"/>
      <c r="AB2128" s="87"/>
      <c r="AC2128" s="87">
        <v>4</v>
      </c>
      <c r="AD2128" s="87"/>
      <c r="AE2128" s="87"/>
      <c r="AF2128" s="87"/>
      <c r="AG2128" s="87"/>
      <c r="AH2128" s="87"/>
      <c r="AI2128" s="87"/>
      <c r="AJ2128" s="87"/>
      <c r="AK2128" s="87"/>
      <c r="AL2128" s="87"/>
      <c r="AM2128" s="87"/>
      <c r="AN2128" s="87"/>
      <c r="AO2128" s="87"/>
      <c r="AP2128" s="87"/>
      <c r="AQ2128" s="87">
        <v>4</v>
      </c>
      <c r="AR2128" s="87"/>
      <c r="AS2128" s="87"/>
      <c r="AT2128" s="87"/>
      <c r="AU2128" s="87"/>
      <c r="AV2128" s="87"/>
      <c r="AW2128" s="88" t="str">
        <f>HYPERLINK("http://www.openstreetmap.org/?mlat=36.5354&amp;mlon=42.7036&amp;zoom=12#map=12/36.5354/42.7036","Maplink1")</f>
        <v>Maplink1</v>
      </c>
      <c r="AX2128" s="88" t="str">
        <f>HYPERLINK("https://www.google.iq/maps/search/+36.5354,42.7036/@36.5354,42.7036,14z?hl=en","Maplink2")</f>
        <v>Maplink2</v>
      </c>
      <c r="AY2128" s="88" t="str">
        <f>HYPERLINK("http://www.bing.com/maps/?lvl=14&amp;sty=h&amp;cp=36.5354~42.7036&amp;sp=point.36.5354_42.7036","Maplink3")</f>
        <v>Maplink3</v>
      </c>
      <c r="AZ2128" s="76"/>
    </row>
    <row r="2129" spans="1:52" x14ac:dyDescent="0.25">
      <c r="A2129" s="86">
        <v>27395</v>
      </c>
      <c r="B2129" s="87" t="s">
        <v>24</v>
      </c>
      <c r="C2129" s="87" t="s">
        <v>4056</v>
      </c>
      <c r="D2129" s="87" t="s">
        <v>4101</v>
      </c>
      <c r="E2129" s="87" t="s">
        <v>4102</v>
      </c>
      <c r="F2129" s="87">
        <v>36.561288854300003</v>
      </c>
      <c r="G2129" s="87">
        <v>42.553346567299997</v>
      </c>
      <c r="H2129" s="86">
        <v>8</v>
      </c>
      <c r="I2129" s="86">
        <v>48</v>
      </c>
      <c r="J2129" s="87"/>
      <c r="K2129" s="87"/>
      <c r="L2129" s="87"/>
      <c r="M2129" s="87"/>
      <c r="N2129" s="87"/>
      <c r="O2129" s="87"/>
      <c r="P2129" s="87"/>
      <c r="Q2129" s="87"/>
      <c r="R2129" s="87"/>
      <c r="S2129" s="87"/>
      <c r="T2129" s="87"/>
      <c r="U2129" s="87"/>
      <c r="V2129" s="87">
        <v>8</v>
      </c>
      <c r="W2129" s="87"/>
      <c r="X2129" s="87"/>
      <c r="Y2129" s="87"/>
      <c r="Z2129" s="87"/>
      <c r="AA2129" s="87"/>
      <c r="AB2129" s="87"/>
      <c r="AC2129" s="87">
        <v>8</v>
      </c>
      <c r="AD2129" s="87"/>
      <c r="AE2129" s="87"/>
      <c r="AF2129" s="87"/>
      <c r="AG2129" s="87"/>
      <c r="AH2129" s="87"/>
      <c r="AI2129" s="87"/>
      <c r="AJ2129" s="87"/>
      <c r="AK2129" s="87"/>
      <c r="AL2129" s="87"/>
      <c r="AM2129" s="87"/>
      <c r="AN2129" s="87"/>
      <c r="AO2129" s="87"/>
      <c r="AP2129" s="87"/>
      <c r="AQ2129" s="87">
        <v>8</v>
      </c>
      <c r="AR2129" s="87"/>
      <c r="AS2129" s="87"/>
      <c r="AT2129" s="87"/>
      <c r="AU2129" s="87"/>
      <c r="AV2129" s="87"/>
      <c r="AW2129" s="88" t="str">
        <f>HYPERLINK("http://www.openstreetmap.org/?mlat=36.5613&amp;mlon=42.5533&amp;zoom=12#map=12/36.5613/42.5533","Maplink1")</f>
        <v>Maplink1</v>
      </c>
      <c r="AX2129" s="88" t="str">
        <f>HYPERLINK("https://www.google.iq/maps/search/+36.5613,42.5533/@36.5613,42.5533,14z?hl=en","Maplink2")</f>
        <v>Maplink2</v>
      </c>
      <c r="AY2129" s="88" t="str">
        <f>HYPERLINK("http://www.bing.com/maps/?lvl=14&amp;sty=h&amp;cp=36.5613~42.5533&amp;sp=point.36.5613_42.5533","Maplink3")</f>
        <v>Maplink3</v>
      </c>
      <c r="AZ2129" s="76"/>
    </row>
    <row r="2130" spans="1:52" x14ac:dyDescent="0.25">
      <c r="A2130" s="86">
        <v>22448</v>
      </c>
      <c r="B2130" s="87" t="s">
        <v>24</v>
      </c>
      <c r="C2130" s="87" t="s">
        <v>4056</v>
      </c>
      <c r="D2130" s="87" t="s">
        <v>4103</v>
      </c>
      <c r="E2130" s="87" t="s">
        <v>4104</v>
      </c>
      <c r="F2130" s="87">
        <v>36.559621938900001</v>
      </c>
      <c r="G2130" s="87">
        <v>42.574689972999998</v>
      </c>
      <c r="H2130" s="86">
        <v>15</v>
      </c>
      <c r="I2130" s="86">
        <v>90</v>
      </c>
      <c r="J2130" s="87"/>
      <c r="K2130" s="87"/>
      <c r="L2130" s="87"/>
      <c r="M2130" s="87"/>
      <c r="N2130" s="87"/>
      <c r="O2130" s="87"/>
      <c r="P2130" s="87"/>
      <c r="Q2130" s="87"/>
      <c r="R2130" s="87"/>
      <c r="S2130" s="87"/>
      <c r="T2130" s="87"/>
      <c r="U2130" s="87"/>
      <c r="V2130" s="87">
        <v>15</v>
      </c>
      <c r="W2130" s="87"/>
      <c r="X2130" s="87"/>
      <c r="Y2130" s="87"/>
      <c r="Z2130" s="87"/>
      <c r="AA2130" s="87"/>
      <c r="AB2130" s="87"/>
      <c r="AC2130" s="87">
        <v>15</v>
      </c>
      <c r="AD2130" s="87"/>
      <c r="AE2130" s="87"/>
      <c r="AF2130" s="87"/>
      <c r="AG2130" s="87"/>
      <c r="AH2130" s="87"/>
      <c r="AI2130" s="87"/>
      <c r="AJ2130" s="87"/>
      <c r="AK2130" s="87"/>
      <c r="AL2130" s="87"/>
      <c r="AM2130" s="87"/>
      <c r="AN2130" s="87"/>
      <c r="AO2130" s="87"/>
      <c r="AP2130" s="87">
        <v>5</v>
      </c>
      <c r="AQ2130" s="87">
        <v>3</v>
      </c>
      <c r="AR2130" s="87">
        <v>7</v>
      </c>
      <c r="AS2130" s="87"/>
      <c r="AT2130" s="87"/>
      <c r="AU2130" s="87"/>
      <c r="AV2130" s="87"/>
      <c r="AW2130" s="88" t="str">
        <f>HYPERLINK("http://www.openstreetmap.org/?mlat=36.5596&amp;mlon=42.5747&amp;zoom=12#map=12/36.5596/42.5747","Maplink1")</f>
        <v>Maplink1</v>
      </c>
      <c r="AX2130" s="88" t="str">
        <f>HYPERLINK("https://www.google.iq/maps/search/+36.5596,42.5747/@36.5596,42.5747,14z?hl=en","Maplink2")</f>
        <v>Maplink2</v>
      </c>
      <c r="AY2130" s="88" t="str">
        <f>HYPERLINK("http://www.bing.com/maps/?lvl=14&amp;sty=h&amp;cp=36.5596~42.5747&amp;sp=point.36.5596_42.5747","Maplink3")</f>
        <v>Maplink3</v>
      </c>
      <c r="AZ2130" s="76"/>
    </row>
    <row r="2131" spans="1:52" x14ac:dyDescent="0.25">
      <c r="A2131" s="86">
        <v>22923</v>
      </c>
      <c r="B2131" s="87" t="s">
        <v>24</v>
      </c>
      <c r="C2131" s="87" t="s">
        <v>4056</v>
      </c>
      <c r="D2131" s="87" t="s">
        <v>4105</v>
      </c>
      <c r="E2131" s="87" t="s">
        <v>4106</v>
      </c>
      <c r="F2131" s="87">
        <v>36.557405889499996</v>
      </c>
      <c r="G2131" s="87">
        <v>42.349052256699999</v>
      </c>
      <c r="H2131" s="86">
        <v>10</v>
      </c>
      <c r="I2131" s="86">
        <v>60</v>
      </c>
      <c r="J2131" s="87"/>
      <c r="K2131" s="87"/>
      <c r="L2131" s="87"/>
      <c r="M2131" s="87"/>
      <c r="N2131" s="87"/>
      <c r="O2131" s="87"/>
      <c r="P2131" s="87"/>
      <c r="Q2131" s="87"/>
      <c r="R2131" s="87"/>
      <c r="S2131" s="87"/>
      <c r="T2131" s="87"/>
      <c r="U2131" s="87"/>
      <c r="V2131" s="87">
        <v>10</v>
      </c>
      <c r="W2131" s="87"/>
      <c r="X2131" s="87"/>
      <c r="Y2131" s="87"/>
      <c r="Z2131" s="87"/>
      <c r="AA2131" s="87"/>
      <c r="AB2131" s="87"/>
      <c r="AC2131" s="87">
        <v>10</v>
      </c>
      <c r="AD2131" s="87"/>
      <c r="AE2131" s="87"/>
      <c r="AF2131" s="87"/>
      <c r="AG2131" s="87"/>
      <c r="AH2131" s="87"/>
      <c r="AI2131" s="87"/>
      <c r="AJ2131" s="87"/>
      <c r="AK2131" s="87"/>
      <c r="AL2131" s="87"/>
      <c r="AM2131" s="87"/>
      <c r="AN2131" s="87"/>
      <c r="AO2131" s="87"/>
      <c r="AP2131" s="87"/>
      <c r="AQ2131" s="87">
        <v>10</v>
      </c>
      <c r="AR2131" s="87"/>
      <c r="AS2131" s="87"/>
      <c r="AT2131" s="87"/>
      <c r="AU2131" s="87"/>
      <c r="AV2131" s="87"/>
      <c r="AW2131" s="88" t="str">
        <f>HYPERLINK("http://www.openstreetmap.org/?mlat=36.5574&amp;mlon=42.3491&amp;zoom=12#map=12/36.5574/42.3491","Maplink1")</f>
        <v>Maplink1</v>
      </c>
      <c r="AX2131" s="88" t="str">
        <f>HYPERLINK("https://www.google.iq/maps/search/+36.5574,42.3491/@36.5574,42.3491,14z?hl=en","Maplink2")</f>
        <v>Maplink2</v>
      </c>
      <c r="AY2131" s="88" t="str">
        <f>HYPERLINK("http://www.bing.com/maps/?lvl=14&amp;sty=h&amp;cp=36.5574~42.3491&amp;sp=point.36.5574_42.3491","Maplink3")</f>
        <v>Maplink3</v>
      </c>
      <c r="AZ2131" s="76"/>
    </row>
    <row r="2132" spans="1:52" x14ac:dyDescent="0.25">
      <c r="A2132" s="86">
        <v>28451</v>
      </c>
      <c r="B2132" s="87" t="s">
        <v>24</v>
      </c>
      <c r="C2132" s="87" t="s">
        <v>4056</v>
      </c>
      <c r="D2132" s="87" t="s">
        <v>4107</v>
      </c>
      <c r="E2132" s="87" t="s">
        <v>4108</v>
      </c>
      <c r="F2132" s="87">
        <v>36.732131762000002</v>
      </c>
      <c r="G2132" s="87">
        <v>42.389666318000003</v>
      </c>
      <c r="H2132" s="86">
        <v>39</v>
      </c>
      <c r="I2132" s="86">
        <v>234</v>
      </c>
      <c r="J2132" s="87"/>
      <c r="K2132" s="87"/>
      <c r="L2132" s="87"/>
      <c r="M2132" s="87"/>
      <c r="N2132" s="87"/>
      <c r="O2132" s="87"/>
      <c r="P2132" s="87"/>
      <c r="Q2132" s="87"/>
      <c r="R2132" s="87"/>
      <c r="S2132" s="87"/>
      <c r="T2132" s="87"/>
      <c r="U2132" s="87"/>
      <c r="V2132" s="87">
        <v>39</v>
      </c>
      <c r="W2132" s="87"/>
      <c r="X2132" s="87"/>
      <c r="Y2132" s="87"/>
      <c r="Z2132" s="87"/>
      <c r="AA2132" s="87"/>
      <c r="AB2132" s="87"/>
      <c r="AC2132" s="87">
        <v>39</v>
      </c>
      <c r="AD2132" s="87"/>
      <c r="AE2132" s="87"/>
      <c r="AF2132" s="87"/>
      <c r="AG2132" s="87"/>
      <c r="AH2132" s="87"/>
      <c r="AI2132" s="87"/>
      <c r="AJ2132" s="87"/>
      <c r="AK2132" s="87"/>
      <c r="AL2132" s="87"/>
      <c r="AM2132" s="87"/>
      <c r="AN2132" s="87"/>
      <c r="AO2132" s="87"/>
      <c r="AP2132" s="87"/>
      <c r="AQ2132" s="87">
        <v>29</v>
      </c>
      <c r="AR2132" s="87"/>
      <c r="AS2132" s="87"/>
      <c r="AT2132" s="87"/>
      <c r="AU2132" s="87">
        <v>10</v>
      </c>
      <c r="AV2132" s="87"/>
      <c r="AW2132" s="88" t="str">
        <f>HYPERLINK("http://www.openstreetmap.org/?mlat=36.7321&amp;mlon=42.3897&amp;zoom=12#map=12/36.7321/42.3897","Maplink1")</f>
        <v>Maplink1</v>
      </c>
      <c r="AX2132" s="88" t="str">
        <f>HYPERLINK("https://www.google.iq/maps/search/+36.7321,42.3897/@36.7321,42.3897,14z?hl=en","Maplink2")</f>
        <v>Maplink2</v>
      </c>
      <c r="AY2132" s="88" t="str">
        <f>HYPERLINK("http://www.bing.com/maps/?lvl=14&amp;sty=h&amp;cp=36.7321~42.3897&amp;sp=point.36.7321_42.3897","Maplink3")</f>
        <v>Maplink3</v>
      </c>
      <c r="AZ2132" s="76"/>
    </row>
    <row r="2133" spans="1:52" x14ac:dyDescent="0.25">
      <c r="A2133" s="86">
        <v>17655</v>
      </c>
      <c r="B2133" s="87" t="s">
        <v>24</v>
      </c>
      <c r="C2133" s="87" t="s">
        <v>4056</v>
      </c>
      <c r="D2133" s="87" t="s">
        <v>4109</v>
      </c>
      <c r="E2133" s="87" t="s">
        <v>4110</v>
      </c>
      <c r="F2133" s="87">
        <v>36.623431535100003</v>
      </c>
      <c r="G2133" s="87">
        <v>42.3784940874</v>
      </c>
      <c r="H2133" s="86">
        <v>30</v>
      </c>
      <c r="I2133" s="86">
        <v>180</v>
      </c>
      <c r="J2133" s="87"/>
      <c r="K2133" s="87"/>
      <c r="L2133" s="87"/>
      <c r="M2133" s="87"/>
      <c r="N2133" s="87"/>
      <c r="O2133" s="87"/>
      <c r="P2133" s="87"/>
      <c r="Q2133" s="87"/>
      <c r="R2133" s="87"/>
      <c r="S2133" s="87"/>
      <c r="T2133" s="87"/>
      <c r="U2133" s="87"/>
      <c r="V2133" s="87">
        <v>30</v>
      </c>
      <c r="W2133" s="87"/>
      <c r="X2133" s="87"/>
      <c r="Y2133" s="87"/>
      <c r="Z2133" s="87"/>
      <c r="AA2133" s="87"/>
      <c r="AB2133" s="87"/>
      <c r="AC2133" s="87">
        <v>30</v>
      </c>
      <c r="AD2133" s="87"/>
      <c r="AE2133" s="87"/>
      <c r="AF2133" s="87"/>
      <c r="AG2133" s="87"/>
      <c r="AH2133" s="87"/>
      <c r="AI2133" s="87"/>
      <c r="AJ2133" s="87"/>
      <c r="AK2133" s="87"/>
      <c r="AL2133" s="87"/>
      <c r="AM2133" s="87"/>
      <c r="AN2133" s="87"/>
      <c r="AO2133" s="87"/>
      <c r="AP2133" s="87"/>
      <c r="AQ2133" s="87">
        <v>30</v>
      </c>
      <c r="AR2133" s="87"/>
      <c r="AS2133" s="87"/>
      <c r="AT2133" s="87"/>
      <c r="AU2133" s="87"/>
      <c r="AV2133" s="87"/>
      <c r="AW2133" s="88" t="str">
        <f>HYPERLINK("http://www.openstreetmap.org/?mlat=36.6234&amp;mlon=42.3785&amp;zoom=12#map=12/36.6234/42.3785","Maplink1")</f>
        <v>Maplink1</v>
      </c>
      <c r="AX2133" s="88" t="str">
        <f>HYPERLINK("https://www.google.iq/maps/search/+36.6234,42.3785/@36.6234,42.3785,14z?hl=en","Maplink2")</f>
        <v>Maplink2</v>
      </c>
      <c r="AY2133" s="88" t="str">
        <f>HYPERLINK("http://www.bing.com/maps/?lvl=14&amp;sty=h&amp;cp=36.6234~42.3785&amp;sp=point.36.6234_42.3785","Maplink3")</f>
        <v>Maplink3</v>
      </c>
      <c r="AZ2133" s="76"/>
    </row>
    <row r="2134" spans="1:52" x14ac:dyDescent="0.25">
      <c r="A2134" s="86">
        <v>25695</v>
      </c>
      <c r="B2134" s="87" t="s">
        <v>24</v>
      </c>
      <c r="C2134" s="87" t="s">
        <v>4056</v>
      </c>
      <c r="D2134" s="87" t="s">
        <v>4111</v>
      </c>
      <c r="E2134" s="87" t="s">
        <v>4112</v>
      </c>
      <c r="F2134" s="87">
        <v>36.688234970700002</v>
      </c>
      <c r="G2134" s="87">
        <v>42.595594372500003</v>
      </c>
      <c r="H2134" s="86">
        <v>7</v>
      </c>
      <c r="I2134" s="86">
        <v>42</v>
      </c>
      <c r="J2134" s="87"/>
      <c r="K2134" s="87"/>
      <c r="L2134" s="87"/>
      <c r="M2134" s="87"/>
      <c r="N2134" s="87"/>
      <c r="O2134" s="87"/>
      <c r="P2134" s="87"/>
      <c r="Q2134" s="87"/>
      <c r="R2134" s="87"/>
      <c r="S2134" s="87"/>
      <c r="T2134" s="87"/>
      <c r="U2134" s="87"/>
      <c r="V2134" s="87">
        <v>7</v>
      </c>
      <c r="W2134" s="87"/>
      <c r="X2134" s="87"/>
      <c r="Y2134" s="87"/>
      <c r="Z2134" s="87"/>
      <c r="AA2134" s="87"/>
      <c r="AB2134" s="87"/>
      <c r="AC2134" s="87">
        <v>7</v>
      </c>
      <c r="AD2134" s="87"/>
      <c r="AE2134" s="87"/>
      <c r="AF2134" s="87"/>
      <c r="AG2134" s="87"/>
      <c r="AH2134" s="87"/>
      <c r="AI2134" s="87"/>
      <c r="AJ2134" s="87"/>
      <c r="AK2134" s="87"/>
      <c r="AL2134" s="87"/>
      <c r="AM2134" s="87"/>
      <c r="AN2134" s="87"/>
      <c r="AO2134" s="87"/>
      <c r="AP2134" s="87">
        <v>2</v>
      </c>
      <c r="AQ2134" s="87">
        <v>5</v>
      </c>
      <c r="AR2134" s="87"/>
      <c r="AS2134" s="87"/>
      <c r="AT2134" s="87"/>
      <c r="AU2134" s="87"/>
      <c r="AV2134" s="87"/>
      <c r="AW2134" s="88" t="str">
        <f>HYPERLINK("http://www.openstreetmap.org/?mlat=36.6882&amp;mlon=42.5956&amp;zoom=12#map=12/36.6882/42.5956","Maplink1")</f>
        <v>Maplink1</v>
      </c>
      <c r="AX2134" s="88" t="str">
        <f>HYPERLINK("https://www.google.iq/maps/search/+36.6882,42.5956/@36.6882,42.5956,14z?hl=en","Maplink2")</f>
        <v>Maplink2</v>
      </c>
      <c r="AY2134" s="88" t="str">
        <f>HYPERLINK("http://www.bing.com/maps/?lvl=14&amp;sty=h&amp;cp=36.6882~42.5956&amp;sp=point.36.6882_42.5956","Maplink3")</f>
        <v>Maplink3</v>
      </c>
      <c r="AZ2134" s="76"/>
    </row>
    <row r="2135" spans="1:52" x14ac:dyDescent="0.25">
      <c r="A2135" s="86">
        <v>28442</v>
      </c>
      <c r="B2135" s="87" t="s">
        <v>24</v>
      </c>
      <c r="C2135" s="87" t="s">
        <v>4056</v>
      </c>
      <c r="D2135" s="87" t="s">
        <v>4113</v>
      </c>
      <c r="E2135" s="87" t="s">
        <v>4114</v>
      </c>
      <c r="F2135" s="87">
        <v>36.7158319957</v>
      </c>
      <c r="G2135" s="87">
        <v>42.326310595000002</v>
      </c>
      <c r="H2135" s="86">
        <v>24</v>
      </c>
      <c r="I2135" s="86">
        <v>144</v>
      </c>
      <c r="J2135" s="87"/>
      <c r="K2135" s="87"/>
      <c r="L2135" s="87"/>
      <c r="M2135" s="87"/>
      <c r="N2135" s="87"/>
      <c r="O2135" s="87"/>
      <c r="P2135" s="87"/>
      <c r="Q2135" s="87"/>
      <c r="R2135" s="87"/>
      <c r="S2135" s="87"/>
      <c r="T2135" s="87"/>
      <c r="U2135" s="87"/>
      <c r="V2135" s="87">
        <v>24</v>
      </c>
      <c r="W2135" s="87"/>
      <c r="X2135" s="87"/>
      <c r="Y2135" s="87"/>
      <c r="Z2135" s="87"/>
      <c r="AA2135" s="87"/>
      <c r="AB2135" s="87"/>
      <c r="AC2135" s="87">
        <v>24</v>
      </c>
      <c r="AD2135" s="87"/>
      <c r="AE2135" s="87"/>
      <c r="AF2135" s="87"/>
      <c r="AG2135" s="87"/>
      <c r="AH2135" s="87"/>
      <c r="AI2135" s="87"/>
      <c r="AJ2135" s="87"/>
      <c r="AK2135" s="87"/>
      <c r="AL2135" s="87"/>
      <c r="AM2135" s="87"/>
      <c r="AN2135" s="87"/>
      <c r="AO2135" s="87"/>
      <c r="AP2135" s="87"/>
      <c r="AQ2135" s="87">
        <v>24</v>
      </c>
      <c r="AR2135" s="87"/>
      <c r="AS2135" s="87"/>
      <c r="AT2135" s="87"/>
      <c r="AU2135" s="87"/>
      <c r="AV2135" s="87"/>
      <c r="AW2135" s="88" t="str">
        <f>HYPERLINK("http://www.openstreetmap.org/?mlat=36.7158&amp;mlon=42.3263&amp;zoom=12#map=12/36.7158/42.3263","Maplink1")</f>
        <v>Maplink1</v>
      </c>
      <c r="AX2135" s="88" t="str">
        <f>HYPERLINK("https://www.google.iq/maps/search/+36.7158,42.3263/@36.7158,42.3263,14z?hl=en","Maplink2")</f>
        <v>Maplink2</v>
      </c>
      <c r="AY2135" s="88" t="str">
        <f>HYPERLINK("http://www.bing.com/maps/?lvl=14&amp;sty=h&amp;cp=36.7158~42.3263&amp;sp=point.36.7158_42.3263","Maplink3")</f>
        <v>Maplink3</v>
      </c>
      <c r="AZ2135" s="76"/>
    </row>
    <row r="2136" spans="1:52" x14ac:dyDescent="0.25">
      <c r="A2136" s="86">
        <v>25944</v>
      </c>
      <c r="B2136" s="87" t="s">
        <v>24</v>
      </c>
      <c r="C2136" s="87" t="s">
        <v>4056</v>
      </c>
      <c r="D2136" s="87" t="s">
        <v>4115</v>
      </c>
      <c r="E2136" s="87" t="s">
        <v>4116</v>
      </c>
      <c r="F2136" s="87">
        <v>36.655997570399997</v>
      </c>
      <c r="G2136" s="87">
        <v>42.5980133829</v>
      </c>
      <c r="H2136" s="86">
        <v>80</v>
      </c>
      <c r="I2136" s="86">
        <v>480</v>
      </c>
      <c r="J2136" s="87"/>
      <c r="K2136" s="87"/>
      <c r="L2136" s="87"/>
      <c r="M2136" s="87"/>
      <c r="N2136" s="87"/>
      <c r="O2136" s="87"/>
      <c r="P2136" s="87"/>
      <c r="Q2136" s="87"/>
      <c r="R2136" s="87"/>
      <c r="S2136" s="87"/>
      <c r="T2136" s="87"/>
      <c r="U2136" s="87"/>
      <c r="V2136" s="87">
        <v>80</v>
      </c>
      <c r="W2136" s="87"/>
      <c r="X2136" s="87"/>
      <c r="Y2136" s="87"/>
      <c r="Z2136" s="87"/>
      <c r="AA2136" s="87"/>
      <c r="AB2136" s="87"/>
      <c r="AC2136" s="87"/>
      <c r="AD2136" s="87"/>
      <c r="AE2136" s="87"/>
      <c r="AF2136" s="87"/>
      <c r="AG2136" s="87"/>
      <c r="AH2136" s="87">
        <v>80</v>
      </c>
      <c r="AI2136" s="87"/>
      <c r="AJ2136" s="87"/>
      <c r="AK2136" s="87"/>
      <c r="AL2136" s="87"/>
      <c r="AM2136" s="87"/>
      <c r="AN2136" s="87"/>
      <c r="AO2136" s="87"/>
      <c r="AP2136" s="87">
        <v>55</v>
      </c>
      <c r="AQ2136" s="87">
        <v>20</v>
      </c>
      <c r="AR2136" s="87">
        <v>5</v>
      </c>
      <c r="AS2136" s="87"/>
      <c r="AT2136" s="87"/>
      <c r="AU2136" s="87"/>
      <c r="AV2136" s="87"/>
      <c r="AW2136" s="88" t="str">
        <f>HYPERLINK("http://www.openstreetmap.org/?mlat=36.656&amp;mlon=42.598&amp;zoom=12#map=12/36.656/42.598","Maplink1")</f>
        <v>Maplink1</v>
      </c>
      <c r="AX2136" s="88" t="str">
        <f>HYPERLINK("https://www.google.iq/maps/search/+36.656,42.598/@36.656,42.598,14z?hl=en","Maplink2")</f>
        <v>Maplink2</v>
      </c>
      <c r="AY2136" s="88" t="str">
        <f>HYPERLINK("http://www.bing.com/maps/?lvl=14&amp;sty=h&amp;cp=36.656~42.598&amp;sp=point.36.656_42.598","Maplink3")</f>
        <v>Maplink3</v>
      </c>
      <c r="AZ2136" s="76"/>
    </row>
    <row r="2137" spans="1:52" x14ac:dyDescent="0.25">
      <c r="A2137" s="86">
        <v>33243</v>
      </c>
      <c r="B2137" s="87" t="s">
        <v>24</v>
      </c>
      <c r="C2137" s="87" t="s">
        <v>4056</v>
      </c>
      <c r="D2137" s="87" t="s">
        <v>4117</v>
      </c>
      <c r="E2137" s="87" t="s">
        <v>4118</v>
      </c>
      <c r="F2137" s="87">
        <v>36.801067066199998</v>
      </c>
      <c r="G2137" s="87">
        <v>42.519918799700001</v>
      </c>
      <c r="H2137" s="86">
        <v>25</v>
      </c>
      <c r="I2137" s="86">
        <v>150</v>
      </c>
      <c r="J2137" s="87"/>
      <c r="K2137" s="87"/>
      <c r="L2137" s="87"/>
      <c r="M2137" s="87"/>
      <c r="N2137" s="87"/>
      <c r="O2137" s="87"/>
      <c r="P2137" s="87"/>
      <c r="Q2137" s="87"/>
      <c r="R2137" s="87"/>
      <c r="S2137" s="87"/>
      <c r="T2137" s="87"/>
      <c r="U2137" s="87"/>
      <c r="V2137" s="87">
        <v>25</v>
      </c>
      <c r="W2137" s="87"/>
      <c r="X2137" s="87"/>
      <c r="Y2137" s="87"/>
      <c r="Z2137" s="87"/>
      <c r="AA2137" s="87"/>
      <c r="AB2137" s="87"/>
      <c r="AC2137" s="87"/>
      <c r="AD2137" s="87"/>
      <c r="AE2137" s="87"/>
      <c r="AF2137" s="87"/>
      <c r="AG2137" s="87"/>
      <c r="AH2137" s="87"/>
      <c r="AI2137" s="87"/>
      <c r="AJ2137" s="87"/>
      <c r="AK2137" s="87">
        <v>25</v>
      </c>
      <c r="AL2137" s="87"/>
      <c r="AM2137" s="87"/>
      <c r="AN2137" s="87"/>
      <c r="AO2137" s="87"/>
      <c r="AP2137" s="87">
        <v>25</v>
      </c>
      <c r="AQ2137" s="87"/>
      <c r="AR2137" s="87"/>
      <c r="AS2137" s="87"/>
      <c r="AT2137" s="87"/>
      <c r="AU2137" s="87"/>
      <c r="AV2137" s="87"/>
      <c r="AW2137" s="88" t="str">
        <f>HYPERLINK("http://www.openstreetmap.org/?mlat=36.8011&amp;mlon=42.5199&amp;zoom=12#map=12/36.8011/42.5199","Maplink1")</f>
        <v>Maplink1</v>
      </c>
      <c r="AX2137" s="88" t="str">
        <f>HYPERLINK("https://www.google.iq/maps/search/+36.8011,42.5199/@36.8011,42.5199,14z?hl=en","Maplink2")</f>
        <v>Maplink2</v>
      </c>
      <c r="AY2137" s="88" t="str">
        <f>HYPERLINK("http://www.bing.com/maps/?lvl=14&amp;sty=h&amp;cp=36.8011~42.5199&amp;sp=point.36.8011_42.5199","Maplink3")</f>
        <v>Maplink3</v>
      </c>
      <c r="AZ2137" s="76"/>
    </row>
    <row r="2138" spans="1:52" x14ac:dyDescent="0.25">
      <c r="A2138" s="86">
        <v>17814</v>
      </c>
      <c r="B2138" s="87" t="s">
        <v>24</v>
      </c>
      <c r="C2138" s="87" t="s">
        <v>4056</v>
      </c>
      <c r="D2138" s="87" t="s">
        <v>4119</v>
      </c>
      <c r="E2138" s="87" t="s">
        <v>4120</v>
      </c>
      <c r="F2138" s="87">
        <v>36.749101121599999</v>
      </c>
      <c r="G2138" s="87">
        <v>42.304171919600002</v>
      </c>
      <c r="H2138" s="86">
        <v>31</v>
      </c>
      <c r="I2138" s="86">
        <v>186</v>
      </c>
      <c r="J2138" s="87"/>
      <c r="K2138" s="87"/>
      <c r="L2138" s="87"/>
      <c r="M2138" s="87"/>
      <c r="N2138" s="87"/>
      <c r="O2138" s="87"/>
      <c r="P2138" s="87"/>
      <c r="Q2138" s="87"/>
      <c r="R2138" s="87"/>
      <c r="S2138" s="87"/>
      <c r="T2138" s="87"/>
      <c r="U2138" s="87"/>
      <c r="V2138" s="87">
        <v>31</v>
      </c>
      <c r="W2138" s="87"/>
      <c r="X2138" s="87"/>
      <c r="Y2138" s="87"/>
      <c r="Z2138" s="87"/>
      <c r="AA2138" s="87"/>
      <c r="AB2138" s="87"/>
      <c r="AC2138" s="87">
        <v>31</v>
      </c>
      <c r="AD2138" s="87"/>
      <c r="AE2138" s="87"/>
      <c r="AF2138" s="87"/>
      <c r="AG2138" s="87"/>
      <c r="AH2138" s="87"/>
      <c r="AI2138" s="87"/>
      <c r="AJ2138" s="87"/>
      <c r="AK2138" s="87"/>
      <c r="AL2138" s="87"/>
      <c r="AM2138" s="87"/>
      <c r="AN2138" s="87"/>
      <c r="AO2138" s="87"/>
      <c r="AP2138" s="87"/>
      <c r="AQ2138" s="87">
        <v>31</v>
      </c>
      <c r="AR2138" s="87"/>
      <c r="AS2138" s="87"/>
      <c r="AT2138" s="87"/>
      <c r="AU2138" s="87"/>
      <c r="AV2138" s="87"/>
      <c r="AW2138" s="88" t="str">
        <f>HYPERLINK("http://www.openstreetmap.org/?mlat=36.7491&amp;mlon=42.3042&amp;zoom=12#map=12/36.7491/42.3042","Maplink1")</f>
        <v>Maplink1</v>
      </c>
      <c r="AX2138" s="88" t="str">
        <f>HYPERLINK("https://www.google.iq/maps/search/+36.7491,42.3042/@36.7491,42.3042,14z?hl=en","Maplink2")</f>
        <v>Maplink2</v>
      </c>
      <c r="AY2138" s="88" t="str">
        <f>HYPERLINK("http://www.bing.com/maps/?lvl=14&amp;sty=h&amp;cp=36.7491~42.3042&amp;sp=point.36.7491_42.3042","Maplink3")</f>
        <v>Maplink3</v>
      </c>
      <c r="AZ2138" s="76"/>
    </row>
    <row r="2139" spans="1:52" x14ac:dyDescent="0.25">
      <c r="A2139" s="86">
        <v>28438</v>
      </c>
      <c r="B2139" s="87" t="s">
        <v>24</v>
      </c>
      <c r="C2139" s="87" t="s">
        <v>4056</v>
      </c>
      <c r="D2139" s="87" t="s">
        <v>4121</v>
      </c>
      <c r="E2139" s="87" t="s">
        <v>4122</v>
      </c>
      <c r="F2139" s="87">
        <v>36.793951484899999</v>
      </c>
      <c r="G2139" s="87">
        <v>42.1772325194</v>
      </c>
      <c r="H2139" s="86">
        <v>32</v>
      </c>
      <c r="I2139" s="86">
        <v>192</v>
      </c>
      <c r="J2139" s="87"/>
      <c r="K2139" s="87"/>
      <c r="L2139" s="87"/>
      <c r="M2139" s="87"/>
      <c r="N2139" s="87"/>
      <c r="O2139" s="87"/>
      <c r="P2139" s="87"/>
      <c r="Q2139" s="87"/>
      <c r="R2139" s="87"/>
      <c r="S2139" s="87"/>
      <c r="T2139" s="87"/>
      <c r="U2139" s="87"/>
      <c r="V2139" s="87">
        <v>32</v>
      </c>
      <c r="W2139" s="87"/>
      <c r="X2139" s="87"/>
      <c r="Y2139" s="87"/>
      <c r="Z2139" s="87"/>
      <c r="AA2139" s="87"/>
      <c r="AB2139" s="87"/>
      <c r="AC2139" s="87">
        <v>32</v>
      </c>
      <c r="AD2139" s="87"/>
      <c r="AE2139" s="87"/>
      <c r="AF2139" s="87"/>
      <c r="AG2139" s="87"/>
      <c r="AH2139" s="87"/>
      <c r="AI2139" s="87"/>
      <c r="AJ2139" s="87"/>
      <c r="AK2139" s="87"/>
      <c r="AL2139" s="87"/>
      <c r="AM2139" s="87"/>
      <c r="AN2139" s="87"/>
      <c r="AO2139" s="87"/>
      <c r="AP2139" s="87"/>
      <c r="AQ2139" s="87">
        <v>32</v>
      </c>
      <c r="AR2139" s="87"/>
      <c r="AS2139" s="87"/>
      <c r="AT2139" s="87"/>
      <c r="AU2139" s="87"/>
      <c r="AV2139" s="87"/>
      <c r="AW2139" s="88" t="str">
        <f>HYPERLINK("http://www.openstreetmap.org/?mlat=36.794&amp;mlon=42.1772&amp;zoom=12#map=12/36.794/42.1772","Maplink1")</f>
        <v>Maplink1</v>
      </c>
      <c r="AX2139" s="88" t="str">
        <f>HYPERLINK("https://www.google.iq/maps/search/+36.794,42.1772/@36.794,42.1772,14z?hl=en","Maplink2")</f>
        <v>Maplink2</v>
      </c>
      <c r="AY2139" s="88" t="str">
        <f>HYPERLINK("http://www.bing.com/maps/?lvl=14&amp;sty=h&amp;cp=36.794~42.1772&amp;sp=point.36.794_42.1772","Maplink3")</f>
        <v>Maplink3</v>
      </c>
      <c r="AZ2139" s="76"/>
    </row>
    <row r="2140" spans="1:52" x14ac:dyDescent="0.25">
      <c r="A2140" s="86">
        <v>17614</v>
      </c>
      <c r="B2140" s="87" t="s">
        <v>24</v>
      </c>
      <c r="C2140" s="87" t="s">
        <v>4056</v>
      </c>
      <c r="D2140" s="87" t="s">
        <v>4123</v>
      </c>
      <c r="E2140" s="87" t="s">
        <v>4124</v>
      </c>
      <c r="F2140" s="87">
        <v>36.750309700599999</v>
      </c>
      <c r="G2140" s="87">
        <v>42.171201844099997</v>
      </c>
      <c r="H2140" s="86">
        <v>25</v>
      </c>
      <c r="I2140" s="86">
        <v>150</v>
      </c>
      <c r="J2140" s="87"/>
      <c r="K2140" s="87"/>
      <c r="L2140" s="87"/>
      <c r="M2140" s="87"/>
      <c r="N2140" s="87"/>
      <c r="O2140" s="87"/>
      <c r="P2140" s="87"/>
      <c r="Q2140" s="87"/>
      <c r="R2140" s="87"/>
      <c r="S2140" s="87"/>
      <c r="T2140" s="87"/>
      <c r="U2140" s="87"/>
      <c r="V2140" s="87">
        <v>25</v>
      </c>
      <c r="W2140" s="87"/>
      <c r="X2140" s="87"/>
      <c r="Y2140" s="87"/>
      <c r="Z2140" s="87"/>
      <c r="AA2140" s="87"/>
      <c r="AB2140" s="87"/>
      <c r="AC2140" s="87">
        <v>25</v>
      </c>
      <c r="AD2140" s="87"/>
      <c r="AE2140" s="87"/>
      <c r="AF2140" s="87"/>
      <c r="AG2140" s="87"/>
      <c r="AH2140" s="87"/>
      <c r="AI2140" s="87"/>
      <c r="AJ2140" s="87"/>
      <c r="AK2140" s="87"/>
      <c r="AL2140" s="87"/>
      <c r="AM2140" s="87"/>
      <c r="AN2140" s="87"/>
      <c r="AO2140" s="87"/>
      <c r="AP2140" s="87"/>
      <c r="AQ2140" s="87">
        <v>25</v>
      </c>
      <c r="AR2140" s="87"/>
      <c r="AS2140" s="87"/>
      <c r="AT2140" s="87"/>
      <c r="AU2140" s="87"/>
      <c r="AV2140" s="87"/>
      <c r="AW2140" s="88" t="str">
        <f>HYPERLINK("http://www.openstreetmap.org/?mlat=36.7503&amp;mlon=42.1712&amp;zoom=12#map=12/36.7503/42.1712","Maplink1")</f>
        <v>Maplink1</v>
      </c>
      <c r="AX2140" s="88" t="str">
        <f>HYPERLINK("https://www.google.iq/maps/search/+36.7503,42.1712/@36.7503,42.1712,14z?hl=en","Maplink2")</f>
        <v>Maplink2</v>
      </c>
      <c r="AY2140" s="88" t="str">
        <f>HYPERLINK("http://www.bing.com/maps/?lvl=14&amp;sty=h&amp;cp=36.7503~42.1712&amp;sp=point.36.7503_42.1712","Maplink3")</f>
        <v>Maplink3</v>
      </c>
      <c r="AZ2140" s="76"/>
    </row>
    <row r="2141" spans="1:52" x14ac:dyDescent="0.25">
      <c r="A2141" s="86">
        <v>17944</v>
      </c>
      <c r="B2141" s="87" t="s">
        <v>24</v>
      </c>
      <c r="C2141" s="87" t="s">
        <v>4056</v>
      </c>
      <c r="D2141" s="87" t="s">
        <v>4125</v>
      </c>
      <c r="E2141" s="87" t="s">
        <v>4126</v>
      </c>
      <c r="F2141" s="87">
        <v>36.629461213699997</v>
      </c>
      <c r="G2141" s="87">
        <v>42.598467437399997</v>
      </c>
      <c r="H2141" s="86">
        <v>9</v>
      </c>
      <c r="I2141" s="86">
        <v>54</v>
      </c>
      <c r="J2141" s="87"/>
      <c r="K2141" s="87"/>
      <c r="L2141" s="87"/>
      <c r="M2141" s="87"/>
      <c r="N2141" s="87"/>
      <c r="O2141" s="87"/>
      <c r="P2141" s="87"/>
      <c r="Q2141" s="87"/>
      <c r="R2141" s="87"/>
      <c r="S2141" s="87"/>
      <c r="T2141" s="87"/>
      <c r="U2141" s="87"/>
      <c r="V2141" s="87">
        <v>9</v>
      </c>
      <c r="W2141" s="87"/>
      <c r="X2141" s="87"/>
      <c r="Y2141" s="87"/>
      <c r="Z2141" s="87"/>
      <c r="AA2141" s="87"/>
      <c r="AB2141" s="87"/>
      <c r="AC2141" s="87">
        <v>7</v>
      </c>
      <c r="AD2141" s="87"/>
      <c r="AE2141" s="87"/>
      <c r="AF2141" s="87"/>
      <c r="AG2141" s="87"/>
      <c r="AH2141" s="87"/>
      <c r="AI2141" s="87"/>
      <c r="AJ2141" s="87"/>
      <c r="AK2141" s="87"/>
      <c r="AL2141" s="87">
        <v>2</v>
      </c>
      <c r="AM2141" s="87"/>
      <c r="AN2141" s="87"/>
      <c r="AO2141" s="87"/>
      <c r="AP2141" s="87"/>
      <c r="AQ2141" s="87"/>
      <c r="AR2141" s="87">
        <v>7</v>
      </c>
      <c r="AS2141" s="87"/>
      <c r="AT2141" s="87">
        <v>2</v>
      </c>
      <c r="AU2141" s="87"/>
      <c r="AV2141" s="87"/>
      <c r="AW2141" s="88" t="str">
        <f>HYPERLINK("http://www.openstreetmap.org/?mlat=36.6295&amp;mlon=42.5985&amp;zoom=12#map=12/36.6295/42.5985","Maplink1")</f>
        <v>Maplink1</v>
      </c>
      <c r="AX2141" s="88" t="str">
        <f>HYPERLINK("https://www.google.iq/maps/search/+36.6295,42.5985/@36.6295,42.5985,14z?hl=en","Maplink2")</f>
        <v>Maplink2</v>
      </c>
      <c r="AY2141" s="88" t="str">
        <f>HYPERLINK("http://www.bing.com/maps/?lvl=14&amp;sty=h&amp;cp=36.6295~42.5985&amp;sp=point.36.6295_42.5985","Maplink3")</f>
        <v>Maplink3</v>
      </c>
      <c r="AZ2141" s="76"/>
    </row>
    <row r="2142" spans="1:52" x14ac:dyDescent="0.25">
      <c r="A2142" s="86">
        <v>28439</v>
      </c>
      <c r="B2142" s="87" t="s">
        <v>24</v>
      </c>
      <c r="C2142" s="87" t="s">
        <v>4056</v>
      </c>
      <c r="D2142" s="87" t="s">
        <v>4127</v>
      </c>
      <c r="E2142" s="87" t="s">
        <v>4128</v>
      </c>
      <c r="F2142" s="87">
        <v>36.745849714599998</v>
      </c>
      <c r="G2142" s="87">
        <v>42.202457533199997</v>
      </c>
      <c r="H2142" s="86">
        <v>16</v>
      </c>
      <c r="I2142" s="86">
        <v>96</v>
      </c>
      <c r="J2142" s="87"/>
      <c r="K2142" s="87"/>
      <c r="L2142" s="87"/>
      <c r="M2142" s="87"/>
      <c r="N2142" s="87"/>
      <c r="O2142" s="87"/>
      <c r="P2142" s="87"/>
      <c r="Q2142" s="87"/>
      <c r="R2142" s="87"/>
      <c r="S2142" s="87"/>
      <c r="T2142" s="87"/>
      <c r="U2142" s="87"/>
      <c r="V2142" s="87">
        <v>16</v>
      </c>
      <c r="W2142" s="87"/>
      <c r="X2142" s="87"/>
      <c r="Y2142" s="87"/>
      <c r="Z2142" s="87"/>
      <c r="AA2142" s="87"/>
      <c r="AB2142" s="87"/>
      <c r="AC2142" s="87">
        <v>16</v>
      </c>
      <c r="AD2142" s="87"/>
      <c r="AE2142" s="87"/>
      <c r="AF2142" s="87"/>
      <c r="AG2142" s="87"/>
      <c r="AH2142" s="87"/>
      <c r="AI2142" s="87"/>
      <c r="AJ2142" s="87"/>
      <c r="AK2142" s="87"/>
      <c r="AL2142" s="87"/>
      <c r="AM2142" s="87"/>
      <c r="AN2142" s="87"/>
      <c r="AO2142" s="87"/>
      <c r="AP2142" s="87"/>
      <c r="AQ2142" s="87">
        <v>16</v>
      </c>
      <c r="AR2142" s="87"/>
      <c r="AS2142" s="87"/>
      <c r="AT2142" s="87"/>
      <c r="AU2142" s="87"/>
      <c r="AV2142" s="87"/>
      <c r="AW2142" s="88" t="str">
        <f>HYPERLINK("http://www.openstreetmap.org/?mlat=36.7458&amp;mlon=42.2025&amp;zoom=12#map=12/36.7458/42.2025","Maplink1")</f>
        <v>Maplink1</v>
      </c>
      <c r="AX2142" s="88" t="str">
        <f>HYPERLINK("https://www.google.iq/maps/search/+36.7458,42.2025/@36.7458,42.2025,14z?hl=en","Maplink2")</f>
        <v>Maplink2</v>
      </c>
      <c r="AY2142" s="88" t="str">
        <f>HYPERLINK("http://www.bing.com/maps/?lvl=14&amp;sty=h&amp;cp=36.7458~42.2025&amp;sp=point.36.7458_42.2025","Maplink3")</f>
        <v>Maplink3</v>
      </c>
      <c r="AZ2142" s="76"/>
    </row>
    <row r="2143" spans="1:52" x14ac:dyDescent="0.25">
      <c r="A2143" s="86">
        <v>28444</v>
      </c>
      <c r="B2143" s="87" t="s">
        <v>24</v>
      </c>
      <c r="C2143" s="87" t="s">
        <v>4056</v>
      </c>
      <c r="D2143" s="87" t="s">
        <v>4129</v>
      </c>
      <c r="E2143" s="87" t="s">
        <v>4130</v>
      </c>
      <c r="F2143" s="87">
        <v>36.716366000800001</v>
      </c>
      <c r="G2143" s="87">
        <v>42.352143827100001</v>
      </c>
      <c r="H2143" s="86">
        <v>31</v>
      </c>
      <c r="I2143" s="86">
        <v>186</v>
      </c>
      <c r="J2143" s="87"/>
      <c r="K2143" s="87"/>
      <c r="L2143" s="87"/>
      <c r="M2143" s="87"/>
      <c r="N2143" s="87"/>
      <c r="O2143" s="87"/>
      <c r="P2143" s="87"/>
      <c r="Q2143" s="87"/>
      <c r="R2143" s="87"/>
      <c r="S2143" s="87"/>
      <c r="T2143" s="87"/>
      <c r="U2143" s="87"/>
      <c r="V2143" s="87">
        <v>31</v>
      </c>
      <c r="W2143" s="87"/>
      <c r="X2143" s="87"/>
      <c r="Y2143" s="87"/>
      <c r="Z2143" s="87"/>
      <c r="AA2143" s="87"/>
      <c r="AB2143" s="87"/>
      <c r="AC2143" s="87">
        <v>31</v>
      </c>
      <c r="AD2143" s="87"/>
      <c r="AE2143" s="87"/>
      <c r="AF2143" s="87"/>
      <c r="AG2143" s="87"/>
      <c r="AH2143" s="87"/>
      <c r="AI2143" s="87"/>
      <c r="AJ2143" s="87"/>
      <c r="AK2143" s="87"/>
      <c r="AL2143" s="87"/>
      <c r="AM2143" s="87"/>
      <c r="AN2143" s="87"/>
      <c r="AO2143" s="87"/>
      <c r="AP2143" s="87"/>
      <c r="AQ2143" s="87">
        <v>14</v>
      </c>
      <c r="AR2143" s="87"/>
      <c r="AS2143" s="87"/>
      <c r="AT2143" s="87"/>
      <c r="AU2143" s="87">
        <v>17</v>
      </c>
      <c r="AV2143" s="87"/>
      <c r="AW2143" s="88" t="str">
        <f>HYPERLINK("http://www.openstreetmap.org/?mlat=36.7164&amp;mlon=42.3521&amp;zoom=12#map=12/36.7164/42.3521","Maplink1")</f>
        <v>Maplink1</v>
      </c>
      <c r="AX2143" s="88" t="str">
        <f>HYPERLINK("https://www.google.iq/maps/search/+36.7164,42.3521/@36.7164,42.3521,14z?hl=en","Maplink2")</f>
        <v>Maplink2</v>
      </c>
      <c r="AY2143" s="88" t="str">
        <f>HYPERLINK("http://www.bing.com/maps/?lvl=14&amp;sty=h&amp;cp=36.7164~42.3521&amp;sp=point.36.7164_42.3521","Maplink3")</f>
        <v>Maplink3</v>
      </c>
      <c r="AZ2143" s="76"/>
    </row>
    <row r="2144" spans="1:52" x14ac:dyDescent="0.25">
      <c r="A2144" s="86">
        <v>17590</v>
      </c>
      <c r="B2144" s="87" t="s">
        <v>24</v>
      </c>
      <c r="C2144" s="87" t="s">
        <v>4131</v>
      </c>
      <c r="D2144" s="87" t="s">
        <v>4132</v>
      </c>
      <c r="E2144" s="87" t="s">
        <v>4133</v>
      </c>
      <c r="F2144" s="87">
        <v>36.675475073800001</v>
      </c>
      <c r="G2144" s="87">
        <v>43.194614454400003</v>
      </c>
      <c r="H2144" s="86">
        <v>12</v>
      </c>
      <c r="I2144" s="86">
        <v>72</v>
      </c>
      <c r="J2144" s="87"/>
      <c r="K2144" s="87"/>
      <c r="L2144" s="87"/>
      <c r="M2144" s="87"/>
      <c r="N2144" s="87"/>
      <c r="O2144" s="87"/>
      <c r="P2144" s="87"/>
      <c r="Q2144" s="87"/>
      <c r="R2144" s="87"/>
      <c r="S2144" s="87"/>
      <c r="T2144" s="87"/>
      <c r="U2144" s="87"/>
      <c r="V2144" s="87">
        <v>12</v>
      </c>
      <c r="W2144" s="87"/>
      <c r="X2144" s="87"/>
      <c r="Y2144" s="87"/>
      <c r="Z2144" s="87"/>
      <c r="AA2144" s="87"/>
      <c r="AB2144" s="87"/>
      <c r="AC2144" s="87">
        <v>12</v>
      </c>
      <c r="AD2144" s="87"/>
      <c r="AE2144" s="87"/>
      <c r="AF2144" s="87"/>
      <c r="AG2144" s="87"/>
      <c r="AH2144" s="87"/>
      <c r="AI2144" s="87"/>
      <c r="AJ2144" s="87"/>
      <c r="AK2144" s="87"/>
      <c r="AL2144" s="87"/>
      <c r="AM2144" s="87"/>
      <c r="AN2144" s="87"/>
      <c r="AO2144" s="87"/>
      <c r="AP2144" s="87">
        <v>12</v>
      </c>
      <c r="AQ2144" s="87"/>
      <c r="AR2144" s="87"/>
      <c r="AS2144" s="87"/>
      <c r="AT2144" s="87"/>
      <c r="AU2144" s="87"/>
      <c r="AV2144" s="87"/>
      <c r="AW2144" s="88" t="str">
        <f>HYPERLINK("http://www.openstreetmap.org/?mlat=36.6755&amp;mlon=43.1946&amp;zoom=12#map=12/36.6755/43.1946","Maplink1")</f>
        <v>Maplink1</v>
      </c>
      <c r="AX2144" s="88" t="str">
        <f>HYPERLINK("https://www.google.iq/maps/search/+36.6755,43.1946/@36.6755,43.1946,14z?hl=en","Maplink2")</f>
        <v>Maplink2</v>
      </c>
      <c r="AY2144" s="88" t="str">
        <f>HYPERLINK("http://www.bing.com/maps/?lvl=14&amp;sty=h&amp;cp=36.6755~43.1946&amp;sp=point.36.6755_43.1946","Maplink3")</f>
        <v>Maplink3</v>
      </c>
      <c r="AZ2144" s="76"/>
    </row>
    <row r="2145" spans="1:52" x14ac:dyDescent="0.25">
      <c r="A2145" s="86">
        <v>24600</v>
      </c>
      <c r="B2145" s="87" t="s">
        <v>24</v>
      </c>
      <c r="C2145" s="87" t="s">
        <v>4131</v>
      </c>
      <c r="D2145" s="87" t="s">
        <v>4134</v>
      </c>
      <c r="E2145" s="87" t="s">
        <v>4135</v>
      </c>
      <c r="F2145" s="87">
        <v>36.444421156899999</v>
      </c>
      <c r="G2145" s="87">
        <v>43.094908035800003</v>
      </c>
      <c r="H2145" s="86">
        <v>560</v>
      </c>
      <c r="I2145" s="86">
        <v>3360</v>
      </c>
      <c r="J2145" s="87"/>
      <c r="K2145" s="87"/>
      <c r="L2145" s="87"/>
      <c r="M2145" s="87"/>
      <c r="N2145" s="87"/>
      <c r="O2145" s="87"/>
      <c r="P2145" s="87"/>
      <c r="Q2145" s="87"/>
      <c r="R2145" s="87"/>
      <c r="S2145" s="87"/>
      <c r="T2145" s="87"/>
      <c r="U2145" s="87"/>
      <c r="V2145" s="87">
        <v>560</v>
      </c>
      <c r="W2145" s="87"/>
      <c r="X2145" s="87"/>
      <c r="Y2145" s="87"/>
      <c r="Z2145" s="87"/>
      <c r="AA2145" s="87"/>
      <c r="AB2145" s="87"/>
      <c r="AC2145" s="87">
        <v>50</v>
      </c>
      <c r="AD2145" s="87"/>
      <c r="AE2145" s="87"/>
      <c r="AF2145" s="87"/>
      <c r="AG2145" s="87"/>
      <c r="AH2145" s="87">
        <v>300</v>
      </c>
      <c r="AI2145" s="87">
        <v>130</v>
      </c>
      <c r="AJ2145" s="87"/>
      <c r="AK2145" s="87">
        <v>80</v>
      </c>
      <c r="AL2145" s="87"/>
      <c r="AM2145" s="87"/>
      <c r="AN2145" s="87"/>
      <c r="AO2145" s="87"/>
      <c r="AP2145" s="87">
        <v>50</v>
      </c>
      <c r="AQ2145" s="87"/>
      <c r="AR2145" s="87"/>
      <c r="AS2145" s="87"/>
      <c r="AT2145" s="87">
        <v>510</v>
      </c>
      <c r="AU2145" s="87"/>
      <c r="AV2145" s="87"/>
      <c r="AW2145" s="88" t="str">
        <f>HYPERLINK("http://www.openstreetmap.org/?mlat=36.4444&amp;mlon=43.0949&amp;zoom=12#map=12/36.4444/43.0949","Maplink1")</f>
        <v>Maplink1</v>
      </c>
      <c r="AX2145" s="88" t="str">
        <f>HYPERLINK("https://www.google.iq/maps/search/+36.4444,43.0949/@36.4444,43.0949,14z?hl=en","Maplink2")</f>
        <v>Maplink2</v>
      </c>
      <c r="AY2145" s="88" t="str">
        <f>HYPERLINK("http://www.bing.com/maps/?lvl=14&amp;sty=h&amp;cp=36.4444~43.0949&amp;sp=point.36.4444_43.0949","Maplink3")</f>
        <v>Maplink3</v>
      </c>
      <c r="AZ2145" s="76"/>
    </row>
    <row r="2146" spans="1:52" x14ac:dyDescent="0.25">
      <c r="A2146" s="86">
        <v>17134</v>
      </c>
      <c r="B2146" s="87" t="s">
        <v>24</v>
      </c>
      <c r="C2146" s="87" t="s">
        <v>4131</v>
      </c>
      <c r="D2146" s="87" t="s">
        <v>4136</v>
      </c>
      <c r="E2146" s="87" t="s">
        <v>4137</v>
      </c>
      <c r="F2146" s="87">
        <v>36.737422217800002</v>
      </c>
      <c r="G2146" s="87">
        <v>43.1056813812</v>
      </c>
      <c r="H2146" s="86">
        <v>125</v>
      </c>
      <c r="I2146" s="86">
        <v>750</v>
      </c>
      <c r="J2146" s="87"/>
      <c r="K2146" s="87"/>
      <c r="L2146" s="87"/>
      <c r="M2146" s="87"/>
      <c r="N2146" s="87"/>
      <c r="O2146" s="87"/>
      <c r="P2146" s="87"/>
      <c r="Q2146" s="87"/>
      <c r="R2146" s="87"/>
      <c r="S2146" s="87"/>
      <c r="T2146" s="87"/>
      <c r="U2146" s="87"/>
      <c r="V2146" s="87">
        <v>125</v>
      </c>
      <c r="W2146" s="87"/>
      <c r="X2146" s="87"/>
      <c r="Y2146" s="87"/>
      <c r="Z2146" s="87"/>
      <c r="AA2146" s="87"/>
      <c r="AB2146" s="87"/>
      <c r="AC2146" s="87">
        <v>115</v>
      </c>
      <c r="AD2146" s="87"/>
      <c r="AE2146" s="87"/>
      <c r="AF2146" s="87"/>
      <c r="AG2146" s="87"/>
      <c r="AH2146" s="87">
        <v>10</v>
      </c>
      <c r="AI2146" s="87"/>
      <c r="AJ2146" s="87"/>
      <c r="AK2146" s="87"/>
      <c r="AL2146" s="87"/>
      <c r="AM2146" s="87"/>
      <c r="AN2146" s="87"/>
      <c r="AO2146" s="87"/>
      <c r="AP2146" s="87">
        <v>125</v>
      </c>
      <c r="AQ2146" s="87"/>
      <c r="AR2146" s="87"/>
      <c r="AS2146" s="87"/>
      <c r="AT2146" s="87"/>
      <c r="AU2146" s="87"/>
      <c r="AV2146" s="87"/>
      <c r="AW2146" s="88" t="str">
        <f>HYPERLINK("http://www.openstreetmap.org/?mlat=36.7374&amp;mlon=43.1057&amp;zoom=12#map=12/36.7374/43.1057","Maplink1")</f>
        <v>Maplink1</v>
      </c>
      <c r="AX2146" s="88" t="str">
        <f>HYPERLINK("https://www.google.iq/maps/search/+36.7374,43.1057/@36.7374,43.1057,14z?hl=en","Maplink2")</f>
        <v>Maplink2</v>
      </c>
      <c r="AY2146" s="88" t="str">
        <f>HYPERLINK("http://www.bing.com/maps/?lvl=14&amp;sty=h&amp;cp=36.7374~43.1057&amp;sp=point.36.7374_43.1057","Maplink3")</f>
        <v>Maplink3</v>
      </c>
      <c r="AZ2146" s="76"/>
    </row>
    <row r="2147" spans="1:52" x14ac:dyDescent="0.25">
      <c r="A2147" s="86">
        <v>21603</v>
      </c>
      <c r="B2147" s="87" t="s">
        <v>24</v>
      </c>
      <c r="C2147" s="87" t="s">
        <v>4131</v>
      </c>
      <c r="D2147" s="87" t="s">
        <v>4138</v>
      </c>
      <c r="E2147" s="87" t="s">
        <v>4139</v>
      </c>
      <c r="F2147" s="87">
        <v>36.433560319599998</v>
      </c>
      <c r="G2147" s="87">
        <v>43.155787029099997</v>
      </c>
      <c r="H2147" s="86">
        <v>10</v>
      </c>
      <c r="I2147" s="86">
        <v>60</v>
      </c>
      <c r="J2147" s="87"/>
      <c r="K2147" s="87"/>
      <c r="L2147" s="87"/>
      <c r="M2147" s="87"/>
      <c r="N2147" s="87"/>
      <c r="O2147" s="87"/>
      <c r="P2147" s="87"/>
      <c r="Q2147" s="87"/>
      <c r="R2147" s="87"/>
      <c r="S2147" s="87"/>
      <c r="T2147" s="87"/>
      <c r="U2147" s="87"/>
      <c r="V2147" s="87">
        <v>10</v>
      </c>
      <c r="W2147" s="87"/>
      <c r="X2147" s="87"/>
      <c r="Y2147" s="87"/>
      <c r="Z2147" s="87"/>
      <c r="AA2147" s="87"/>
      <c r="AB2147" s="87"/>
      <c r="AC2147" s="87"/>
      <c r="AD2147" s="87"/>
      <c r="AE2147" s="87"/>
      <c r="AF2147" s="87"/>
      <c r="AG2147" s="87"/>
      <c r="AH2147" s="87">
        <v>10</v>
      </c>
      <c r="AI2147" s="87"/>
      <c r="AJ2147" s="87"/>
      <c r="AK2147" s="87"/>
      <c r="AL2147" s="87"/>
      <c r="AM2147" s="87"/>
      <c r="AN2147" s="87"/>
      <c r="AO2147" s="87"/>
      <c r="AP2147" s="87"/>
      <c r="AQ2147" s="87"/>
      <c r="AR2147" s="87"/>
      <c r="AS2147" s="87"/>
      <c r="AT2147" s="87">
        <v>10</v>
      </c>
      <c r="AU2147" s="87"/>
      <c r="AV2147" s="87"/>
      <c r="AW2147" s="88" t="str">
        <f>HYPERLINK("http://www.openstreetmap.org/?mlat=36.4336&amp;mlon=43.1558&amp;zoom=12#map=12/36.4336/43.1558","Maplink1")</f>
        <v>Maplink1</v>
      </c>
      <c r="AX2147" s="88" t="str">
        <f>HYPERLINK("https://www.google.iq/maps/search/+36.4336,43.1558/@36.4336,43.1558,14z?hl=en","Maplink2")</f>
        <v>Maplink2</v>
      </c>
      <c r="AY2147" s="88" t="str">
        <f>HYPERLINK("http://www.bing.com/maps/?lvl=14&amp;sty=h&amp;cp=36.4336~43.1558&amp;sp=point.36.4336_43.1558","Maplink3")</f>
        <v>Maplink3</v>
      </c>
      <c r="AZ2147" s="76"/>
    </row>
    <row r="2148" spans="1:52" x14ac:dyDescent="0.25">
      <c r="A2148" s="86">
        <v>17077</v>
      </c>
      <c r="B2148" s="87" t="s">
        <v>24</v>
      </c>
      <c r="C2148" s="87" t="s">
        <v>4131</v>
      </c>
      <c r="D2148" s="87" t="s">
        <v>4140</v>
      </c>
      <c r="E2148" s="87" t="s">
        <v>4141</v>
      </c>
      <c r="F2148" s="87">
        <v>36.735918097300001</v>
      </c>
      <c r="G2148" s="87">
        <v>43.040294623500003</v>
      </c>
      <c r="H2148" s="86">
        <v>6</v>
      </c>
      <c r="I2148" s="86">
        <v>36</v>
      </c>
      <c r="J2148" s="87"/>
      <c r="K2148" s="87"/>
      <c r="L2148" s="87"/>
      <c r="M2148" s="87"/>
      <c r="N2148" s="87"/>
      <c r="O2148" s="87"/>
      <c r="P2148" s="87"/>
      <c r="Q2148" s="87"/>
      <c r="R2148" s="87"/>
      <c r="S2148" s="87"/>
      <c r="T2148" s="87"/>
      <c r="U2148" s="87"/>
      <c r="V2148" s="87">
        <v>6</v>
      </c>
      <c r="W2148" s="87"/>
      <c r="X2148" s="87"/>
      <c r="Y2148" s="87"/>
      <c r="Z2148" s="87"/>
      <c r="AA2148" s="87"/>
      <c r="AB2148" s="87"/>
      <c r="AC2148" s="87">
        <v>6</v>
      </c>
      <c r="AD2148" s="87"/>
      <c r="AE2148" s="87"/>
      <c r="AF2148" s="87"/>
      <c r="AG2148" s="87"/>
      <c r="AH2148" s="87"/>
      <c r="AI2148" s="87"/>
      <c r="AJ2148" s="87"/>
      <c r="AK2148" s="87"/>
      <c r="AL2148" s="87"/>
      <c r="AM2148" s="87"/>
      <c r="AN2148" s="87"/>
      <c r="AO2148" s="87"/>
      <c r="AP2148" s="87">
        <v>6</v>
      </c>
      <c r="AQ2148" s="87"/>
      <c r="AR2148" s="87"/>
      <c r="AS2148" s="87"/>
      <c r="AT2148" s="87"/>
      <c r="AU2148" s="87"/>
      <c r="AV2148" s="87"/>
      <c r="AW2148" s="88" t="str">
        <f>HYPERLINK("http://www.openstreetmap.org/?mlat=36.7359&amp;mlon=43.0403&amp;zoom=12#map=12/36.7359/43.0403","Maplink1")</f>
        <v>Maplink1</v>
      </c>
      <c r="AX2148" s="88" t="str">
        <f>HYPERLINK("https://www.google.iq/maps/search/+36.7359,43.0403/@36.7359,43.0403,14z?hl=en","Maplink2")</f>
        <v>Maplink2</v>
      </c>
      <c r="AY2148" s="88" t="str">
        <f>HYPERLINK("http://www.bing.com/maps/?lvl=14&amp;sty=h&amp;cp=36.7359~43.0403&amp;sp=point.36.7359_43.0403","Maplink3")</f>
        <v>Maplink3</v>
      </c>
      <c r="AZ2148" s="76"/>
    </row>
    <row r="2149" spans="1:52" x14ac:dyDescent="0.25">
      <c r="A2149" s="86">
        <v>17569</v>
      </c>
      <c r="B2149" s="87" t="s">
        <v>24</v>
      </c>
      <c r="C2149" s="87" t="s">
        <v>4131</v>
      </c>
      <c r="D2149" s="87" t="s">
        <v>4142</v>
      </c>
      <c r="E2149" s="87" t="s">
        <v>4143</v>
      </c>
      <c r="F2149" s="87">
        <v>36.700573660700002</v>
      </c>
      <c r="G2149" s="87">
        <v>43.1531024819</v>
      </c>
      <c r="H2149" s="86">
        <v>115</v>
      </c>
      <c r="I2149" s="86">
        <v>690</v>
      </c>
      <c r="J2149" s="87"/>
      <c r="K2149" s="87"/>
      <c r="L2149" s="87"/>
      <c r="M2149" s="87"/>
      <c r="N2149" s="87"/>
      <c r="O2149" s="87"/>
      <c r="P2149" s="87"/>
      <c r="Q2149" s="87"/>
      <c r="R2149" s="87"/>
      <c r="S2149" s="87"/>
      <c r="T2149" s="87"/>
      <c r="U2149" s="87"/>
      <c r="V2149" s="87">
        <v>115</v>
      </c>
      <c r="W2149" s="87"/>
      <c r="X2149" s="87"/>
      <c r="Y2149" s="87"/>
      <c r="Z2149" s="87"/>
      <c r="AA2149" s="87"/>
      <c r="AB2149" s="87"/>
      <c r="AC2149" s="87">
        <v>89</v>
      </c>
      <c r="AD2149" s="87"/>
      <c r="AE2149" s="87"/>
      <c r="AF2149" s="87"/>
      <c r="AG2149" s="87"/>
      <c r="AH2149" s="87"/>
      <c r="AI2149" s="87"/>
      <c r="AJ2149" s="87"/>
      <c r="AK2149" s="87">
        <v>26</v>
      </c>
      <c r="AL2149" s="87"/>
      <c r="AM2149" s="87"/>
      <c r="AN2149" s="87"/>
      <c r="AO2149" s="87"/>
      <c r="AP2149" s="87">
        <v>110</v>
      </c>
      <c r="AQ2149" s="87"/>
      <c r="AR2149" s="87"/>
      <c r="AS2149" s="87"/>
      <c r="AT2149" s="87"/>
      <c r="AU2149" s="87">
        <v>5</v>
      </c>
      <c r="AV2149" s="87"/>
      <c r="AW2149" s="88" t="str">
        <f>HYPERLINK("http://www.openstreetmap.org/?mlat=36.7006&amp;mlon=43.1531&amp;zoom=12#map=12/36.7006/43.1531","Maplink1")</f>
        <v>Maplink1</v>
      </c>
      <c r="AX2149" s="88" t="str">
        <f>HYPERLINK("https://www.google.iq/maps/search/+36.7006,43.1531/@36.7006,43.1531,14z?hl=en","Maplink2")</f>
        <v>Maplink2</v>
      </c>
      <c r="AY2149" s="88" t="str">
        <f>HYPERLINK("http://www.bing.com/maps/?lvl=14&amp;sty=h&amp;cp=36.7006~43.1531&amp;sp=point.36.7006_43.1531","Maplink3")</f>
        <v>Maplink3</v>
      </c>
      <c r="AZ2149" s="76"/>
    </row>
    <row r="2150" spans="1:52" x14ac:dyDescent="0.25">
      <c r="A2150" s="86">
        <v>24684</v>
      </c>
      <c r="B2150" s="87" t="s">
        <v>24</v>
      </c>
      <c r="C2150" s="87" t="s">
        <v>4131</v>
      </c>
      <c r="D2150" s="87" t="s">
        <v>4144</v>
      </c>
      <c r="E2150" s="87" t="s">
        <v>4145</v>
      </c>
      <c r="F2150" s="87">
        <v>36.661227882600002</v>
      </c>
      <c r="G2150" s="87">
        <v>43.242249722899999</v>
      </c>
      <c r="H2150" s="86">
        <v>20</v>
      </c>
      <c r="I2150" s="86">
        <v>120</v>
      </c>
      <c r="J2150" s="87"/>
      <c r="K2150" s="87"/>
      <c r="L2150" s="87"/>
      <c r="M2150" s="87"/>
      <c r="N2150" s="87"/>
      <c r="O2150" s="87"/>
      <c r="P2150" s="87"/>
      <c r="Q2150" s="87"/>
      <c r="R2150" s="87"/>
      <c r="S2150" s="87"/>
      <c r="T2150" s="87"/>
      <c r="U2150" s="87"/>
      <c r="V2150" s="87">
        <v>20</v>
      </c>
      <c r="W2150" s="87"/>
      <c r="X2150" s="87"/>
      <c r="Y2150" s="87"/>
      <c r="Z2150" s="87"/>
      <c r="AA2150" s="87"/>
      <c r="AB2150" s="87"/>
      <c r="AC2150" s="87">
        <v>20</v>
      </c>
      <c r="AD2150" s="87"/>
      <c r="AE2150" s="87"/>
      <c r="AF2150" s="87"/>
      <c r="AG2150" s="87"/>
      <c r="AH2150" s="87"/>
      <c r="AI2150" s="87"/>
      <c r="AJ2150" s="87"/>
      <c r="AK2150" s="87"/>
      <c r="AL2150" s="87"/>
      <c r="AM2150" s="87"/>
      <c r="AN2150" s="87"/>
      <c r="AO2150" s="87"/>
      <c r="AP2150" s="87">
        <v>20</v>
      </c>
      <c r="AQ2150" s="87"/>
      <c r="AR2150" s="87"/>
      <c r="AS2150" s="87"/>
      <c r="AT2150" s="87"/>
      <c r="AU2150" s="87"/>
      <c r="AV2150" s="87"/>
      <c r="AW2150" s="88" t="str">
        <f>HYPERLINK("http://www.openstreetmap.org/?mlat=36.6612&amp;mlon=43.2422&amp;zoom=12#map=12/36.6612/43.2422","Maplink1")</f>
        <v>Maplink1</v>
      </c>
      <c r="AX2150" s="88" t="str">
        <f>HYPERLINK("https://www.google.iq/maps/search/+36.6612,43.2422/@36.6612,43.2422,14z?hl=en","Maplink2")</f>
        <v>Maplink2</v>
      </c>
      <c r="AY2150" s="88" t="str">
        <f>HYPERLINK("http://www.bing.com/maps/?lvl=14&amp;sty=h&amp;cp=36.6612~43.2422&amp;sp=point.36.6612_43.2422","Maplink3")</f>
        <v>Maplink3</v>
      </c>
      <c r="AZ2150" s="76"/>
    </row>
    <row r="2151" spans="1:52" x14ac:dyDescent="0.25">
      <c r="A2151" s="86">
        <v>17570</v>
      </c>
      <c r="B2151" s="87" t="s">
        <v>24</v>
      </c>
      <c r="C2151" s="87" t="s">
        <v>4131</v>
      </c>
      <c r="D2151" s="87" t="s">
        <v>4146</v>
      </c>
      <c r="E2151" s="87" t="s">
        <v>4147</v>
      </c>
      <c r="F2151" s="87">
        <v>36.733244618100002</v>
      </c>
      <c r="G2151" s="87">
        <v>43.127624572199998</v>
      </c>
      <c r="H2151" s="86">
        <v>170</v>
      </c>
      <c r="I2151" s="86">
        <v>1020</v>
      </c>
      <c r="J2151" s="87"/>
      <c r="K2151" s="87"/>
      <c r="L2151" s="87"/>
      <c r="M2151" s="87"/>
      <c r="N2151" s="87"/>
      <c r="O2151" s="87"/>
      <c r="P2151" s="87"/>
      <c r="Q2151" s="87"/>
      <c r="R2151" s="87"/>
      <c r="S2151" s="87"/>
      <c r="T2151" s="87"/>
      <c r="U2151" s="87"/>
      <c r="V2151" s="87">
        <v>170</v>
      </c>
      <c r="W2151" s="87"/>
      <c r="X2151" s="87"/>
      <c r="Y2151" s="87"/>
      <c r="Z2151" s="87"/>
      <c r="AA2151" s="87"/>
      <c r="AB2151" s="87"/>
      <c r="AC2151" s="87">
        <v>160</v>
      </c>
      <c r="AD2151" s="87"/>
      <c r="AE2151" s="87"/>
      <c r="AF2151" s="87"/>
      <c r="AG2151" s="87"/>
      <c r="AH2151" s="87"/>
      <c r="AI2151" s="87"/>
      <c r="AJ2151" s="87"/>
      <c r="AK2151" s="87">
        <v>10</v>
      </c>
      <c r="AL2151" s="87"/>
      <c r="AM2151" s="87"/>
      <c r="AN2151" s="87"/>
      <c r="AO2151" s="87"/>
      <c r="AP2151" s="87">
        <v>170</v>
      </c>
      <c r="AQ2151" s="87"/>
      <c r="AR2151" s="87"/>
      <c r="AS2151" s="87"/>
      <c r="AT2151" s="87"/>
      <c r="AU2151" s="87"/>
      <c r="AV2151" s="87"/>
      <c r="AW2151" s="88" t="str">
        <f>HYPERLINK("http://www.openstreetmap.org/?mlat=36.7332&amp;mlon=43.1276&amp;zoom=12#map=12/36.7332/43.1276","Maplink1")</f>
        <v>Maplink1</v>
      </c>
      <c r="AX2151" s="88" t="str">
        <f>HYPERLINK("https://www.google.iq/maps/search/+36.7332,43.1276/@36.7332,43.1276,14z?hl=en","Maplink2")</f>
        <v>Maplink2</v>
      </c>
      <c r="AY2151" s="88" t="str">
        <f>HYPERLINK("http://www.bing.com/maps/?lvl=14&amp;sty=h&amp;cp=36.7332~43.1276&amp;sp=point.36.7332_43.1276","Maplink3")</f>
        <v>Maplink3</v>
      </c>
      <c r="AZ2151" s="76"/>
    </row>
    <row r="2152" spans="1:52" x14ac:dyDescent="0.25">
      <c r="A2152" s="86">
        <v>17080</v>
      </c>
      <c r="B2152" s="87" t="s">
        <v>24</v>
      </c>
      <c r="C2152" s="87" t="s">
        <v>4131</v>
      </c>
      <c r="D2152" s="87" t="s">
        <v>4148</v>
      </c>
      <c r="E2152" s="87" t="s">
        <v>4149</v>
      </c>
      <c r="F2152" s="87">
        <v>36.741422227699999</v>
      </c>
      <c r="G2152" s="87">
        <v>43.004948168200002</v>
      </c>
      <c r="H2152" s="86">
        <v>4</v>
      </c>
      <c r="I2152" s="86">
        <v>24</v>
      </c>
      <c r="J2152" s="87"/>
      <c r="K2152" s="87"/>
      <c r="L2152" s="87"/>
      <c r="M2152" s="87"/>
      <c r="N2152" s="87"/>
      <c r="O2152" s="87"/>
      <c r="P2152" s="87"/>
      <c r="Q2152" s="87"/>
      <c r="R2152" s="87"/>
      <c r="S2152" s="87"/>
      <c r="T2152" s="87"/>
      <c r="U2152" s="87"/>
      <c r="V2152" s="87">
        <v>4</v>
      </c>
      <c r="W2152" s="87"/>
      <c r="X2152" s="87"/>
      <c r="Y2152" s="87"/>
      <c r="Z2152" s="87"/>
      <c r="AA2152" s="87"/>
      <c r="AB2152" s="87"/>
      <c r="AC2152" s="87">
        <v>4</v>
      </c>
      <c r="AD2152" s="87"/>
      <c r="AE2152" s="87"/>
      <c r="AF2152" s="87"/>
      <c r="AG2152" s="87"/>
      <c r="AH2152" s="87"/>
      <c r="AI2152" s="87"/>
      <c r="AJ2152" s="87"/>
      <c r="AK2152" s="87"/>
      <c r="AL2152" s="87"/>
      <c r="AM2152" s="87"/>
      <c r="AN2152" s="87"/>
      <c r="AO2152" s="87"/>
      <c r="AP2152" s="87">
        <v>4</v>
      </c>
      <c r="AQ2152" s="87"/>
      <c r="AR2152" s="87"/>
      <c r="AS2152" s="87"/>
      <c r="AT2152" s="87"/>
      <c r="AU2152" s="87"/>
      <c r="AV2152" s="87"/>
      <c r="AW2152" s="88" t="str">
        <f>HYPERLINK("http://www.openstreetmap.org/?mlat=36.7414&amp;mlon=43.0049&amp;zoom=12#map=12/36.7414/43.0049","Maplink1")</f>
        <v>Maplink1</v>
      </c>
      <c r="AX2152" s="88" t="str">
        <f>HYPERLINK("https://www.google.iq/maps/search/+36.7414,43.0049/@36.7414,43.0049,14z?hl=en","Maplink2")</f>
        <v>Maplink2</v>
      </c>
      <c r="AY2152" s="88" t="str">
        <f>HYPERLINK("http://www.bing.com/maps/?lvl=14&amp;sty=h&amp;cp=36.7414~43.0049&amp;sp=point.36.7414_43.0049","Maplink3")</f>
        <v>Maplink3</v>
      </c>
      <c r="AZ2152" s="76"/>
    </row>
    <row r="2153" spans="1:52" x14ac:dyDescent="0.25">
      <c r="A2153" s="86">
        <v>24683</v>
      </c>
      <c r="B2153" s="87" t="s">
        <v>24</v>
      </c>
      <c r="C2153" s="87" t="s">
        <v>4131</v>
      </c>
      <c r="D2153" s="87" t="s">
        <v>4150</v>
      </c>
      <c r="E2153" s="87" t="s">
        <v>4151</v>
      </c>
      <c r="F2153" s="87">
        <v>36.6567844968</v>
      </c>
      <c r="G2153" s="87">
        <v>43.218106150499999</v>
      </c>
      <c r="H2153" s="86">
        <v>7</v>
      </c>
      <c r="I2153" s="86">
        <v>42</v>
      </c>
      <c r="J2153" s="87"/>
      <c r="K2153" s="87"/>
      <c r="L2153" s="87"/>
      <c r="M2153" s="87"/>
      <c r="N2153" s="87"/>
      <c r="O2153" s="87"/>
      <c r="P2153" s="87"/>
      <c r="Q2153" s="87"/>
      <c r="R2153" s="87"/>
      <c r="S2153" s="87"/>
      <c r="T2153" s="87"/>
      <c r="U2153" s="87"/>
      <c r="V2153" s="87">
        <v>7</v>
      </c>
      <c r="W2153" s="87"/>
      <c r="X2153" s="87"/>
      <c r="Y2153" s="87"/>
      <c r="Z2153" s="87"/>
      <c r="AA2153" s="87"/>
      <c r="AB2153" s="87"/>
      <c r="AC2153" s="87">
        <v>7</v>
      </c>
      <c r="AD2153" s="87"/>
      <c r="AE2153" s="87"/>
      <c r="AF2153" s="87"/>
      <c r="AG2153" s="87"/>
      <c r="AH2153" s="87"/>
      <c r="AI2153" s="87"/>
      <c r="AJ2153" s="87"/>
      <c r="AK2153" s="87"/>
      <c r="AL2153" s="87"/>
      <c r="AM2153" s="87"/>
      <c r="AN2153" s="87"/>
      <c r="AO2153" s="87"/>
      <c r="AP2153" s="87">
        <v>7</v>
      </c>
      <c r="AQ2153" s="87"/>
      <c r="AR2153" s="87"/>
      <c r="AS2153" s="87"/>
      <c r="AT2153" s="87"/>
      <c r="AU2153" s="87"/>
      <c r="AV2153" s="87"/>
      <c r="AW2153" s="88" t="str">
        <f>HYPERLINK("http://www.openstreetmap.org/?mlat=36.6568&amp;mlon=43.2181&amp;zoom=12#map=12/36.6568/43.2181","Maplink1")</f>
        <v>Maplink1</v>
      </c>
      <c r="AX2153" s="88" t="str">
        <f>HYPERLINK("https://www.google.iq/maps/search/+36.6568,43.2181/@36.6568,43.2181,14z?hl=en","Maplink2")</f>
        <v>Maplink2</v>
      </c>
      <c r="AY2153" s="88" t="str">
        <f>HYPERLINK("http://www.bing.com/maps/?lvl=14&amp;sty=h&amp;cp=36.6568~43.2181&amp;sp=point.36.6568_43.2181","Maplink3")</f>
        <v>Maplink3</v>
      </c>
      <c r="AZ2153" s="76"/>
    </row>
    <row r="2154" spans="1:52" x14ac:dyDescent="0.25">
      <c r="A2154" s="86">
        <v>18044</v>
      </c>
      <c r="B2154" s="87" t="s">
        <v>24</v>
      </c>
      <c r="C2154" s="87" t="s">
        <v>4131</v>
      </c>
      <c r="D2154" s="87" t="s">
        <v>4152</v>
      </c>
      <c r="E2154" s="87" t="s">
        <v>4153</v>
      </c>
      <c r="F2154" s="87">
        <v>36.508828491099997</v>
      </c>
      <c r="G2154" s="87">
        <v>42.841713038499996</v>
      </c>
      <c r="H2154" s="86">
        <v>17</v>
      </c>
      <c r="I2154" s="86">
        <v>102</v>
      </c>
      <c r="J2154" s="87"/>
      <c r="K2154" s="87"/>
      <c r="L2154" s="87"/>
      <c r="M2154" s="87"/>
      <c r="N2154" s="87"/>
      <c r="O2154" s="87"/>
      <c r="P2154" s="87"/>
      <c r="Q2154" s="87"/>
      <c r="R2154" s="87"/>
      <c r="S2154" s="87"/>
      <c r="T2154" s="87"/>
      <c r="U2154" s="87"/>
      <c r="V2154" s="87">
        <v>17</v>
      </c>
      <c r="W2154" s="87"/>
      <c r="X2154" s="87"/>
      <c r="Y2154" s="87"/>
      <c r="Z2154" s="87"/>
      <c r="AA2154" s="87"/>
      <c r="AB2154" s="87"/>
      <c r="AC2154" s="87">
        <v>17</v>
      </c>
      <c r="AD2154" s="87"/>
      <c r="AE2154" s="87"/>
      <c r="AF2154" s="87"/>
      <c r="AG2154" s="87"/>
      <c r="AH2154" s="87"/>
      <c r="AI2154" s="87"/>
      <c r="AJ2154" s="87"/>
      <c r="AK2154" s="87"/>
      <c r="AL2154" s="87"/>
      <c r="AM2154" s="87"/>
      <c r="AN2154" s="87"/>
      <c r="AO2154" s="87"/>
      <c r="AP2154" s="87">
        <v>17</v>
      </c>
      <c r="AQ2154" s="87"/>
      <c r="AR2154" s="87"/>
      <c r="AS2154" s="87"/>
      <c r="AT2154" s="87"/>
      <c r="AU2154" s="87"/>
      <c r="AV2154" s="87"/>
      <c r="AW2154" s="88" t="str">
        <f>HYPERLINK("http://www.openstreetmap.org/?mlat=36.5088&amp;mlon=42.8417&amp;zoom=12#map=12/36.5088/42.8417","Maplink1")</f>
        <v>Maplink1</v>
      </c>
      <c r="AX2154" s="88" t="str">
        <f>HYPERLINK("https://www.google.iq/maps/search/+36.5088,42.8417/@36.5088,42.8417,14z?hl=en","Maplink2")</f>
        <v>Maplink2</v>
      </c>
      <c r="AY2154" s="88" t="str">
        <f>HYPERLINK("http://www.bing.com/maps/?lvl=14&amp;sty=h&amp;cp=36.5088~42.8417&amp;sp=point.36.5088_42.8417","Maplink3")</f>
        <v>Maplink3</v>
      </c>
      <c r="AZ2154" s="76"/>
    </row>
    <row r="2155" spans="1:52" x14ac:dyDescent="0.25">
      <c r="A2155" s="86">
        <v>21604</v>
      </c>
      <c r="B2155" s="87" t="s">
        <v>24</v>
      </c>
      <c r="C2155" s="87" t="s">
        <v>4131</v>
      </c>
      <c r="D2155" s="87" t="s">
        <v>4154</v>
      </c>
      <c r="E2155" s="87" t="s">
        <v>4155</v>
      </c>
      <c r="F2155" s="87">
        <v>36.643802087499999</v>
      </c>
      <c r="G2155" s="87">
        <v>43.103945316299999</v>
      </c>
      <c r="H2155" s="86">
        <v>10</v>
      </c>
      <c r="I2155" s="86">
        <v>60</v>
      </c>
      <c r="J2155" s="87"/>
      <c r="K2155" s="87"/>
      <c r="L2155" s="87"/>
      <c r="M2155" s="87"/>
      <c r="N2155" s="87"/>
      <c r="O2155" s="87"/>
      <c r="P2155" s="87"/>
      <c r="Q2155" s="87"/>
      <c r="R2155" s="87"/>
      <c r="S2155" s="87"/>
      <c r="T2155" s="87"/>
      <c r="U2155" s="87"/>
      <c r="V2155" s="87">
        <v>10</v>
      </c>
      <c r="W2155" s="87"/>
      <c r="X2155" s="87"/>
      <c r="Y2155" s="87"/>
      <c r="Z2155" s="87"/>
      <c r="AA2155" s="87"/>
      <c r="AB2155" s="87"/>
      <c r="AC2155" s="87">
        <v>10</v>
      </c>
      <c r="AD2155" s="87"/>
      <c r="AE2155" s="87"/>
      <c r="AF2155" s="87"/>
      <c r="AG2155" s="87"/>
      <c r="AH2155" s="87"/>
      <c r="AI2155" s="87"/>
      <c r="AJ2155" s="87"/>
      <c r="AK2155" s="87"/>
      <c r="AL2155" s="87"/>
      <c r="AM2155" s="87"/>
      <c r="AN2155" s="87"/>
      <c r="AO2155" s="87"/>
      <c r="AP2155" s="87">
        <v>10</v>
      </c>
      <c r="AQ2155" s="87"/>
      <c r="AR2155" s="87"/>
      <c r="AS2155" s="87"/>
      <c r="AT2155" s="87"/>
      <c r="AU2155" s="87"/>
      <c r="AV2155" s="87"/>
      <c r="AW2155" s="88" t="str">
        <f>HYPERLINK("http://www.openstreetmap.org/?mlat=36.6438&amp;mlon=43.1039&amp;zoom=12#map=12/36.6438/43.1039","Maplink1")</f>
        <v>Maplink1</v>
      </c>
      <c r="AX2155" s="88" t="str">
        <f>HYPERLINK("https://www.google.iq/maps/search/+36.6438,43.1039/@36.6438,43.1039,14z?hl=en","Maplink2")</f>
        <v>Maplink2</v>
      </c>
      <c r="AY2155" s="88" t="str">
        <f>HYPERLINK("http://www.bing.com/maps/?lvl=14&amp;sty=h&amp;cp=36.6438~43.1039&amp;sp=point.36.6438_43.1039","Maplink3")</f>
        <v>Maplink3</v>
      </c>
      <c r="AZ2155" s="76"/>
    </row>
    <row r="2156" spans="1:52" x14ac:dyDescent="0.25">
      <c r="A2156" s="86">
        <v>24797</v>
      </c>
      <c r="B2156" s="87" t="s">
        <v>24</v>
      </c>
      <c r="C2156" s="87" t="s">
        <v>4131</v>
      </c>
      <c r="D2156" s="87" t="s">
        <v>4156</v>
      </c>
      <c r="E2156" s="87" t="s">
        <v>4157</v>
      </c>
      <c r="F2156" s="87">
        <v>36.646940274000002</v>
      </c>
      <c r="G2156" s="87">
        <v>43.238158775300001</v>
      </c>
      <c r="H2156" s="86">
        <v>75</v>
      </c>
      <c r="I2156" s="86">
        <v>450</v>
      </c>
      <c r="J2156" s="87"/>
      <c r="K2156" s="87"/>
      <c r="L2156" s="87"/>
      <c r="M2156" s="87"/>
      <c r="N2156" s="87"/>
      <c r="O2156" s="87"/>
      <c r="P2156" s="87"/>
      <c r="Q2156" s="87"/>
      <c r="R2156" s="87"/>
      <c r="S2156" s="87"/>
      <c r="T2156" s="87"/>
      <c r="U2156" s="87"/>
      <c r="V2156" s="87">
        <v>75</v>
      </c>
      <c r="W2156" s="87"/>
      <c r="X2156" s="87"/>
      <c r="Y2156" s="87"/>
      <c r="Z2156" s="87"/>
      <c r="AA2156" s="87"/>
      <c r="AB2156" s="87">
        <v>75</v>
      </c>
      <c r="AC2156" s="87"/>
      <c r="AD2156" s="87"/>
      <c r="AE2156" s="87"/>
      <c r="AF2156" s="87"/>
      <c r="AG2156" s="87"/>
      <c r="AH2156" s="87"/>
      <c r="AI2156" s="87"/>
      <c r="AJ2156" s="87"/>
      <c r="AK2156" s="87"/>
      <c r="AL2156" s="87"/>
      <c r="AM2156" s="87"/>
      <c r="AN2156" s="87"/>
      <c r="AO2156" s="87"/>
      <c r="AP2156" s="87"/>
      <c r="AQ2156" s="87"/>
      <c r="AR2156" s="87">
        <v>38</v>
      </c>
      <c r="AS2156" s="87">
        <v>37</v>
      </c>
      <c r="AT2156" s="87"/>
      <c r="AU2156" s="87"/>
      <c r="AV2156" s="87"/>
      <c r="AW2156" s="88" t="str">
        <f>HYPERLINK("http://www.openstreetmap.org/?mlat=36.6469&amp;mlon=43.2382&amp;zoom=12#map=12/36.6469/43.2382","Maplink1")</f>
        <v>Maplink1</v>
      </c>
      <c r="AX2156" s="88" t="str">
        <f>HYPERLINK("https://www.google.iq/maps/search/+36.6469,43.2382/@36.6469,43.2382,14z?hl=en","Maplink2")</f>
        <v>Maplink2</v>
      </c>
      <c r="AY2156" s="88" t="str">
        <f>HYPERLINK("http://www.bing.com/maps/?lvl=14&amp;sty=h&amp;cp=36.6469~43.2382&amp;sp=point.36.6469_43.2382","Maplink3")</f>
        <v>Maplink3</v>
      </c>
      <c r="AZ2156" s="76"/>
    </row>
    <row r="2157" spans="1:52" x14ac:dyDescent="0.25">
      <c r="A2157" s="86">
        <v>18055</v>
      </c>
      <c r="B2157" s="87" t="s">
        <v>24</v>
      </c>
      <c r="C2157" s="87" t="s">
        <v>4131</v>
      </c>
      <c r="D2157" s="87" t="s">
        <v>4158</v>
      </c>
      <c r="E2157" s="87" t="s">
        <v>4159</v>
      </c>
      <c r="F2157" s="87">
        <v>36.659750292799998</v>
      </c>
      <c r="G2157" s="87">
        <v>43.048758940100001</v>
      </c>
      <c r="H2157" s="86">
        <v>37</v>
      </c>
      <c r="I2157" s="86">
        <v>222</v>
      </c>
      <c r="J2157" s="87"/>
      <c r="K2157" s="87"/>
      <c r="L2157" s="87"/>
      <c r="M2157" s="87"/>
      <c r="N2157" s="87"/>
      <c r="O2157" s="87"/>
      <c r="P2157" s="87"/>
      <c r="Q2157" s="87"/>
      <c r="R2157" s="87"/>
      <c r="S2157" s="87"/>
      <c r="T2157" s="87"/>
      <c r="U2157" s="87"/>
      <c r="V2157" s="87">
        <v>37</v>
      </c>
      <c r="W2157" s="87"/>
      <c r="X2157" s="87"/>
      <c r="Y2157" s="87"/>
      <c r="Z2157" s="87"/>
      <c r="AA2157" s="87"/>
      <c r="AB2157" s="87"/>
      <c r="AC2157" s="87">
        <v>37</v>
      </c>
      <c r="AD2157" s="87"/>
      <c r="AE2157" s="87"/>
      <c r="AF2157" s="87"/>
      <c r="AG2157" s="87"/>
      <c r="AH2157" s="87"/>
      <c r="AI2157" s="87"/>
      <c r="AJ2157" s="87"/>
      <c r="AK2157" s="87"/>
      <c r="AL2157" s="87"/>
      <c r="AM2157" s="87"/>
      <c r="AN2157" s="87"/>
      <c r="AO2157" s="87"/>
      <c r="AP2157" s="87">
        <v>37</v>
      </c>
      <c r="AQ2157" s="87"/>
      <c r="AR2157" s="87"/>
      <c r="AS2157" s="87"/>
      <c r="AT2157" s="87"/>
      <c r="AU2157" s="87"/>
      <c r="AV2157" s="87"/>
      <c r="AW2157" s="88" t="str">
        <f>HYPERLINK("http://www.openstreetmap.org/?mlat=36.6598&amp;mlon=43.0488&amp;zoom=12#map=12/36.6598/43.0488","Maplink1")</f>
        <v>Maplink1</v>
      </c>
      <c r="AX2157" s="88" t="str">
        <f>HYPERLINK("https://www.google.iq/maps/search/+36.6598,43.0488/@36.6598,43.0488,14z?hl=en","Maplink2")</f>
        <v>Maplink2</v>
      </c>
      <c r="AY2157" s="88" t="str">
        <f>HYPERLINK("http://www.bing.com/maps/?lvl=14&amp;sty=h&amp;cp=36.6598~43.0488&amp;sp=point.36.6598_43.0488","Maplink3")</f>
        <v>Maplink3</v>
      </c>
      <c r="AZ2157" s="76"/>
    </row>
    <row r="2158" spans="1:52" x14ac:dyDescent="0.25">
      <c r="A2158" s="86">
        <v>24703</v>
      </c>
      <c r="B2158" s="87" t="s">
        <v>24</v>
      </c>
      <c r="C2158" s="87" t="s">
        <v>4131</v>
      </c>
      <c r="D2158" s="87" t="s">
        <v>4160</v>
      </c>
      <c r="E2158" s="87" t="s">
        <v>4161</v>
      </c>
      <c r="F2158" s="87">
        <v>36.716787892100001</v>
      </c>
      <c r="G2158" s="87">
        <v>42.954070472700003</v>
      </c>
      <c r="H2158" s="86">
        <v>70</v>
      </c>
      <c r="I2158" s="86">
        <v>420</v>
      </c>
      <c r="J2158" s="87"/>
      <c r="K2158" s="87"/>
      <c r="L2158" s="87"/>
      <c r="M2158" s="87"/>
      <c r="N2158" s="87"/>
      <c r="O2158" s="87"/>
      <c r="P2158" s="87"/>
      <c r="Q2158" s="87"/>
      <c r="R2158" s="87"/>
      <c r="S2158" s="87"/>
      <c r="T2158" s="87"/>
      <c r="U2158" s="87"/>
      <c r="V2158" s="87">
        <v>70</v>
      </c>
      <c r="W2158" s="87"/>
      <c r="X2158" s="87"/>
      <c r="Y2158" s="87"/>
      <c r="Z2158" s="87"/>
      <c r="AA2158" s="87"/>
      <c r="AB2158" s="87"/>
      <c r="AC2158" s="87">
        <v>26</v>
      </c>
      <c r="AD2158" s="87"/>
      <c r="AE2158" s="87"/>
      <c r="AF2158" s="87"/>
      <c r="AG2158" s="87"/>
      <c r="AH2158" s="87">
        <v>44</v>
      </c>
      <c r="AI2158" s="87"/>
      <c r="AJ2158" s="87"/>
      <c r="AK2158" s="87"/>
      <c r="AL2158" s="87"/>
      <c r="AM2158" s="87"/>
      <c r="AN2158" s="87"/>
      <c r="AO2158" s="87"/>
      <c r="AP2158" s="87">
        <v>63</v>
      </c>
      <c r="AQ2158" s="87"/>
      <c r="AR2158" s="87"/>
      <c r="AS2158" s="87"/>
      <c r="AT2158" s="87"/>
      <c r="AU2158" s="87">
        <v>7</v>
      </c>
      <c r="AV2158" s="87"/>
      <c r="AW2158" s="88" t="str">
        <f>HYPERLINK("http://www.openstreetmap.org/?mlat=36.7168&amp;mlon=42.9541&amp;zoom=12#map=12/36.7168/42.9541","Maplink1")</f>
        <v>Maplink1</v>
      </c>
      <c r="AX2158" s="88" t="str">
        <f>HYPERLINK("https://www.google.iq/maps/search/+36.7168,42.9541/@36.7168,42.9541,14z?hl=en","Maplink2")</f>
        <v>Maplink2</v>
      </c>
      <c r="AY2158" s="88" t="str">
        <f>HYPERLINK("http://www.bing.com/maps/?lvl=14&amp;sty=h&amp;cp=36.7168~42.9541&amp;sp=point.36.7168_42.9541","Maplink3")</f>
        <v>Maplink3</v>
      </c>
      <c r="AZ2158" s="76"/>
    </row>
    <row r="2159" spans="1:52" x14ac:dyDescent="0.25">
      <c r="A2159" s="86">
        <v>17830</v>
      </c>
      <c r="B2159" s="87" t="s">
        <v>24</v>
      </c>
      <c r="C2159" s="87" t="s">
        <v>4131</v>
      </c>
      <c r="D2159" s="87" t="s">
        <v>4162</v>
      </c>
      <c r="E2159" s="87" t="s">
        <v>4163</v>
      </c>
      <c r="F2159" s="87">
        <v>36.701779599299996</v>
      </c>
      <c r="G2159" s="87">
        <v>43.213027222699999</v>
      </c>
      <c r="H2159" s="86">
        <v>12</v>
      </c>
      <c r="I2159" s="86">
        <v>72</v>
      </c>
      <c r="J2159" s="87"/>
      <c r="K2159" s="87"/>
      <c r="L2159" s="87"/>
      <c r="M2159" s="87"/>
      <c r="N2159" s="87"/>
      <c r="O2159" s="87"/>
      <c r="P2159" s="87"/>
      <c r="Q2159" s="87"/>
      <c r="R2159" s="87"/>
      <c r="S2159" s="87"/>
      <c r="T2159" s="87"/>
      <c r="U2159" s="87"/>
      <c r="V2159" s="87">
        <v>12</v>
      </c>
      <c r="W2159" s="87"/>
      <c r="X2159" s="87"/>
      <c r="Y2159" s="87"/>
      <c r="Z2159" s="87"/>
      <c r="AA2159" s="87"/>
      <c r="AB2159" s="87"/>
      <c r="AC2159" s="87">
        <v>12</v>
      </c>
      <c r="AD2159" s="87"/>
      <c r="AE2159" s="87"/>
      <c r="AF2159" s="87"/>
      <c r="AG2159" s="87"/>
      <c r="AH2159" s="87"/>
      <c r="AI2159" s="87"/>
      <c r="AJ2159" s="87"/>
      <c r="AK2159" s="87"/>
      <c r="AL2159" s="87"/>
      <c r="AM2159" s="87"/>
      <c r="AN2159" s="87"/>
      <c r="AO2159" s="87"/>
      <c r="AP2159" s="87">
        <v>12</v>
      </c>
      <c r="AQ2159" s="87"/>
      <c r="AR2159" s="87"/>
      <c r="AS2159" s="87"/>
      <c r="AT2159" s="87"/>
      <c r="AU2159" s="87"/>
      <c r="AV2159" s="87"/>
      <c r="AW2159" s="88" t="str">
        <f>HYPERLINK("http://www.openstreetmap.org/?mlat=36.7018&amp;mlon=43.213&amp;zoom=12#map=12/36.7018/43.213","Maplink1")</f>
        <v>Maplink1</v>
      </c>
      <c r="AX2159" s="88" t="str">
        <f>HYPERLINK("https://www.google.iq/maps/search/+36.7018,43.213/@36.7018,43.213,14z?hl=en","Maplink2")</f>
        <v>Maplink2</v>
      </c>
      <c r="AY2159" s="88" t="str">
        <f>HYPERLINK("http://www.bing.com/maps/?lvl=14&amp;sty=h&amp;cp=36.7018~43.213&amp;sp=point.36.7018_43.213","Maplink3")</f>
        <v>Maplink3</v>
      </c>
      <c r="AZ2159" s="76"/>
    </row>
    <row r="2160" spans="1:52" x14ac:dyDescent="0.25">
      <c r="A2160" s="86">
        <v>25278</v>
      </c>
      <c r="B2160" s="87" t="s">
        <v>24</v>
      </c>
      <c r="C2160" s="87" t="s">
        <v>4131</v>
      </c>
      <c r="D2160" s="87" t="s">
        <v>4164</v>
      </c>
      <c r="E2160" s="87" t="s">
        <v>4165</v>
      </c>
      <c r="F2160" s="87">
        <v>36.697839486500001</v>
      </c>
      <c r="G2160" s="87">
        <v>43.222524115799999</v>
      </c>
      <c r="H2160" s="86">
        <v>8</v>
      </c>
      <c r="I2160" s="86">
        <v>48</v>
      </c>
      <c r="J2160" s="87"/>
      <c r="K2160" s="87"/>
      <c r="L2160" s="87"/>
      <c r="M2160" s="87"/>
      <c r="N2160" s="87"/>
      <c r="O2160" s="87"/>
      <c r="P2160" s="87"/>
      <c r="Q2160" s="87"/>
      <c r="R2160" s="87"/>
      <c r="S2160" s="87"/>
      <c r="T2160" s="87"/>
      <c r="U2160" s="87"/>
      <c r="V2160" s="87">
        <v>8</v>
      </c>
      <c r="W2160" s="87"/>
      <c r="X2160" s="87"/>
      <c r="Y2160" s="87"/>
      <c r="Z2160" s="87"/>
      <c r="AA2160" s="87"/>
      <c r="AB2160" s="87"/>
      <c r="AC2160" s="87">
        <v>8</v>
      </c>
      <c r="AD2160" s="87"/>
      <c r="AE2160" s="87"/>
      <c r="AF2160" s="87"/>
      <c r="AG2160" s="87"/>
      <c r="AH2160" s="87"/>
      <c r="AI2160" s="87"/>
      <c r="AJ2160" s="87"/>
      <c r="AK2160" s="87"/>
      <c r="AL2160" s="87"/>
      <c r="AM2160" s="87"/>
      <c r="AN2160" s="87"/>
      <c r="AO2160" s="87"/>
      <c r="AP2160" s="87">
        <v>8</v>
      </c>
      <c r="AQ2160" s="87"/>
      <c r="AR2160" s="87"/>
      <c r="AS2160" s="87"/>
      <c r="AT2160" s="87"/>
      <c r="AU2160" s="87"/>
      <c r="AV2160" s="87"/>
      <c r="AW2160" s="88" t="str">
        <f>HYPERLINK("http://www.openstreetmap.org/?mlat=36.6978&amp;mlon=43.2225&amp;zoom=12#map=12/36.6978/43.2225","Maplink1")</f>
        <v>Maplink1</v>
      </c>
      <c r="AX2160" s="88" t="str">
        <f>HYPERLINK("https://www.google.iq/maps/search/+36.6978,43.2225/@36.6978,43.2225,14z?hl=en","Maplink2")</f>
        <v>Maplink2</v>
      </c>
      <c r="AY2160" s="88" t="str">
        <f>HYPERLINK("http://www.bing.com/maps/?lvl=14&amp;sty=h&amp;cp=36.6978~43.2225&amp;sp=point.36.6978_43.2225","Maplink3")</f>
        <v>Maplink3</v>
      </c>
      <c r="AZ2160" s="76"/>
    </row>
    <row r="2161" spans="1:52" x14ac:dyDescent="0.25">
      <c r="A2161" s="86">
        <v>24637</v>
      </c>
      <c r="B2161" s="87" t="s">
        <v>24</v>
      </c>
      <c r="C2161" s="87" t="s">
        <v>4131</v>
      </c>
      <c r="D2161" s="87" t="s">
        <v>4166</v>
      </c>
      <c r="E2161" s="87" t="s">
        <v>4167</v>
      </c>
      <c r="F2161" s="87">
        <v>36.595730935200002</v>
      </c>
      <c r="G2161" s="87">
        <v>43.210337987499997</v>
      </c>
      <c r="H2161" s="86">
        <v>25</v>
      </c>
      <c r="I2161" s="86">
        <v>150</v>
      </c>
      <c r="J2161" s="87"/>
      <c r="K2161" s="87"/>
      <c r="L2161" s="87"/>
      <c r="M2161" s="87"/>
      <c r="N2161" s="87"/>
      <c r="O2161" s="87"/>
      <c r="P2161" s="87"/>
      <c r="Q2161" s="87"/>
      <c r="R2161" s="87"/>
      <c r="S2161" s="87"/>
      <c r="T2161" s="87"/>
      <c r="U2161" s="87"/>
      <c r="V2161" s="87">
        <v>25</v>
      </c>
      <c r="W2161" s="87"/>
      <c r="X2161" s="87"/>
      <c r="Y2161" s="87"/>
      <c r="Z2161" s="87"/>
      <c r="AA2161" s="87"/>
      <c r="AB2161" s="87"/>
      <c r="AC2161" s="87">
        <v>25</v>
      </c>
      <c r="AD2161" s="87"/>
      <c r="AE2161" s="87"/>
      <c r="AF2161" s="87"/>
      <c r="AG2161" s="87"/>
      <c r="AH2161" s="87"/>
      <c r="AI2161" s="87"/>
      <c r="AJ2161" s="87"/>
      <c r="AK2161" s="87"/>
      <c r="AL2161" s="87"/>
      <c r="AM2161" s="87"/>
      <c r="AN2161" s="87"/>
      <c r="AO2161" s="87"/>
      <c r="AP2161" s="87">
        <v>15</v>
      </c>
      <c r="AQ2161" s="87">
        <v>10</v>
      </c>
      <c r="AR2161" s="87"/>
      <c r="AS2161" s="87"/>
      <c r="AT2161" s="87"/>
      <c r="AU2161" s="87"/>
      <c r="AV2161" s="87"/>
      <c r="AW2161" s="88" t="str">
        <f>HYPERLINK("http://www.openstreetmap.org/?mlat=36.5957&amp;mlon=43.2103&amp;zoom=12#map=12/36.5957/43.2103","Maplink1")</f>
        <v>Maplink1</v>
      </c>
      <c r="AX2161" s="88" t="str">
        <f>HYPERLINK("https://www.google.iq/maps/search/+36.5957,43.2103/@36.5957,43.2103,14z?hl=en","Maplink2")</f>
        <v>Maplink2</v>
      </c>
      <c r="AY2161" s="88" t="str">
        <f>HYPERLINK("http://www.bing.com/maps/?lvl=14&amp;sty=h&amp;cp=36.5957~43.2103&amp;sp=point.36.5957_43.2103","Maplink3")</f>
        <v>Maplink3</v>
      </c>
      <c r="AZ2161" s="76"/>
    </row>
    <row r="2162" spans="1:52" x14ac:dyDescent="0.25">
      <c r="A2162" s="86">
        <v>18379</v>
      </c>
      <c r="B2162" s="87" t="s">
        <v>24</v>
      </c>
      <c r="C2162" s="87" t="s">
        <v>4131</v>
      </c>
      <c r="D2162" s="87" t="s">
        <v>4168</v>
      </c>
      <c r="E2162" s="87" t="s">
        <v>4169</v>
      </c>
      <c r="F2162" s="87">
        <v>36.6733593055</v>
      </c>
      <c r="G2162" s="87">
        <v>43.215682668299998</v>
      </c>
      <c r="H2162" s="86">
        <v>1</v>
      </c>
      <c r="I2162" s="86">
        <v>6</v>
      </c>
      <c r="J2162" s="87"/>
      <c r="K2162" s="87"/>
      <c r="L2162" s="87"/>
      <c r="M2162" s="87"/>
      <c r="N2162" s="87"/>
      <c r="O2162" s="87"/>
      <c r="P2162" s="87"/>
      <c r="Q2162" s="87"/>
      <c r="R2162" s="87"/>
      <c r="S2162" s="87"/>
      <c r="T2162" s="87"/>
      <c r="U2162" s="87"/>
      <c r="V2162" s="87">
        <v>1</v>
      </c>
      <c r="W2162" s="87"/>
      <c r="X2162" s="87"/>
      <c r="Y2162" s="87"/>
      <c r="Z2162" s="87"/>
      <c r="AA2162" s="87"/>
      <c r="AB2162" s="87"/>
      <c r="AC2162" s="87">
        <v>1</v>
      </c>
      <c r="AD2162" s="87"/>
      <c r="AE2162" s="87"/>
      <c r="AF2162" s="87"/>
      <c r="AG2162" s="87"/>
      <c r="AH2162" s="87"/>
      <c r="AI2162" s="87"/>
      <c r="AJ2162" s="87"/>
      <c r="AK2162" s="87"/>
      <c r="AL2162" s="87"/>
      <c r="AM2162" s="87"/>
      <c r="AN2162" s="87"/>
      <c r="AO2162" s="87"/>
      <c r="AP2162" s="87">
        <v>1</v>
      </c>
      <c r="AQ2162" s="87"/>
      <c r="AR2162" s="87"/>
      <c r="AS2162" s="87"/>
      <c r="AT2162" s="87"/>
      <c r="AU2162" s="87"/>
      <c r="AV2162" s="87"/>
      <c r="AW2162" s="88" t="str">
        <f>HYPERLINK("http://www.openstreetmap.org/?mlat=36.6734&amp;mlon=43.2157&amp;zoom=12#map=12/36.6734/43.2157","Maplink1")</f>
        <v>Maplink1</v>
      </c>
      <c r="AX2162" s="88" t="str">
        <f>HYPERLINK("https://www.google.iq/maps/search/+36.6734,43.2157/@36.6734,43.2157,14z?hl=en","Maplink2")</f>
        <v>Maplink2</v>
      </c>
      <c r="AY2162" s="88" t="str">
        <f>HYPERLINK("http://www.bing.com/maps/?lvl=14&amp;sty=h&amp;cp=36.6734~43.2157&amp;sp=point.36.6734_43.2157","Maplink3")</f>
        <v>Maplink3</v>
      </c>
      <c r="AZ2162" s="76"/>
    </row>
    <row r="2163" spans="1:52" x14ac:dyDescent="0.25">
      <c r="A2163" s="86">
        <v>24685</v>
      </c>
      <c r="B2163" s="87" t="s">
        <v>24</v>
      </c>
      <c r="C2163" s="87" t="s">
        <v>4131</v>
      </c>
      <c r="D2163" s="87" t="s">
        <v>4170</v>
      </c>
      <c r="E2163" s="87" t="s">
        <v>4171</v>
      </c>
      <c r="F2163" s="87">
        <v>36.642851332699998</v>
      </c>
      <c r="G2163" s="87">
        <v>43.234096534300001</v>
      </c>
      <c r="H2163" s="86">
        <v>1</v>
      </c>
      <c r="I2163" s="86">
        <v>6</v>
      </c>
      <c r="J2163" s="87"/>
      <c r="K2163" s="87"/>
      <c r="L2163" s="87"/>
      <c r="M2163" s="87"/>
      <c r="N2163" s="87"/>
      <c r="O2163" s="87"/>
      <c r="P2163" s="87"/>
      <c r="Q2163" s="87"/>
      <c r="R2163" s="87"/>
      <c r="S2163" s="87"/>
      <c r="T2163" s="87"/>
      <c r="U2163" s="87"/>
      <c r="V2163" s="87">
        <v>1</v>
      </c>
      <c r="W2163" s="87"/>
      <c r="X2163" s="87"/>
      <c r="Y2163" s="87"/>
      <c r="Z2163" s="87"/>
      <c r="AA2163" s="87"/>
      <c r="AB2163" s="87"/>
      <c r="AC2163" s="87">
        <v>1</v>
      </c>
      <c r="AD2163" s="87"/>
      <c r="AE2163" s="87"/>
      <c r="AF2163" s="87"/>
      <c r="AG2163" s="87"/>
      <c r="AH2163" s="87"/>
      <c r="AI2163" s="87"/>
      <c r="AJ2163" s="87"/>
      <c r="AK2163" s="87"/>
      <c r="AL2163" s="87"/>
      <c r="AM2163" s="87"/>
      <c r="AN2163" s="87"/>
      <c r="AO2163" s="87"/>
      <c r="AP2163" s="87">
        <v>1</v>
      </c>
      <c r="AQ2163" s="87"/>
      <c r="AR2163" s="87"/>
      <c r="AS2163" s="87"/>
      <c r="AT2163" s="87"/>
      <c r="AU2163" s="87"/>
      <c r="AV2163" s="87"/>
      <c r="AW2163" s="88" t="str">
        <f>HYPERLINK("http://www.openstreetmap.org/?mlat=36.6429&amp;mlon=43.2341&amp;zoom=12#map=12/36.6429/43.2341","Maplink1")</f>
        <v>Maplink1</v>
      </c>
      <c r="AX2163" s="88" t="str">
        <f>HYPERLINK("https://www.google.iq/maps/search/+36.6429,43.2341/@36.6429,43.2341,14z?hl=en","Maplink2")</f>
        <v>Maplink2</v>
      </c>
      <c r="AY2163" s="88" t="str">
        <f>HYPERLINK("http://www.bing.com/maps/?lvl=14&amp;sty=h&amp;cp=36.6429~43.2341&amp;sp=point.36.6429_43.2341","Maplink3")</f>
        <v>Maplink3</v>
      </c>
      <c r="AZ2163" s="76"/>
    </row>
    <row r="2164" spans="1:52" x14ac:dyDescent="0.25">
      <c r="A2164" s="86">
        <v>17564</v>
      </c>
      <c r="B2164" s="87" t="s">
        <v>24</v>
      </c>
      <c r="C2164" s="87" t="s">
        <v>4131</v>
      </c>
      <c r="D2164" s="87" t="s">
        <v>4172</v>
      </c>
      <c r="E2164" s="87" t="s">
        <v>4173</v>
      </c>
      <c r="F2164" s="87">
        <v>36.696908939099998</v>
      </c>
      <c r="G2164" s="87">
        <v>43.221428187000001</v>
      </c>
      <c r="H2164" s="86">
        <v>4</v>
      </c>
      <c r="I2164" s="86">
        <v>24</v>
      </c>
      <c r="J2164" s="87"/>
      <c r="K2164" s="87"/>
      <c r="L2164" s="87"/>
      <c r="M2164" s="87"/>
      <c r="N2164" s="87"/>
      <c r="O2164" s="87"/>
      <c r="P2164" s="87"/>
      <c r="Q2164" s="87"/>
      <c r="R2164" s="87"/>
      <c r="S2164" s="87"/>
      <c r="T2164" s="87"/>
      <c r="U2164" s="87"/>
      <c r="V2164" s="87">
        <v>4</v>
      </c>
      <c r="W2164" s="87"/>
      <c r="X2164" s="87"/>
      <c r="Y2164" s="87"/>
      <c r="Z2164" s="87"/>
      <c r="AA2164" s="87"/>
      <c r="AB2164" s="87"/>
      <c r="AC2164" s="87">
        <v>4</v>
      </c>
      <c r="AD2164" s="87"/>
      <c r="AE2164" s="87"/>
      <c r="AF2164" s="87"/>
      <c r="AG2164" s="87"/>
      <c r="AH2164" s="87"/>
      <c r="AI2164" s="87"/>
      <c r="AJ2164" s="87"/>
      <c r="AK2164" s="87"/>
      <c r="AL2164" s="87"/>
      <c r="AM2164" s="87"/>
      <c r="AN2164" s="87"/>
      <c r="AO2164" s="87"/>
      <c r="AP2164" s="87">
        <v>4</v>
      </c>
      <c r="AQ2164" s="87"/>
      <c r="AR2164" s="87"/>
      <c r="AS2164" s="87"/>
      <c r="AT2164" s="87"/>
      <c r="AU2164" s="87"/>
      <c r="AV2164" s="87"/>
      <c r="AW2164" s="88" t="str">
        <f>HYPERLINK("http://www.openstreetmap.org/?mlat=36.6969&amp;mlon=43.2214&amp;zoom=12#map=12/36.6969/43.2214","Maplink1")</f>
        <v>Maplink1</v>
      </c>
      <c r="AX2164" s="88" t="str">
        <f>HYPERLINK("https://www.google.iq/maps/search/+36.6969,43.2214/@36.6969,43.2214,14z?hl=en","Maplink2")</f>
        <v>Maplink2</v>
      </c>
      <c r="AY2164" s="88" t="str">
        <f>HYPERLINK("http://www.bing.com/maps/?lvl=14&amp;sty=h&amp;cp=36.6969~43.2214&amp;sp=point.36.6969_43.2214","Maplink3")</f>
        <v>Maplink3</v>
      </c>
      <c r="AZ2164" s="76"/>
    </row>
    <row r="2165" spans="1:52" x14ac:dyDescent="0.25">
      <c r="A2165" s="86">
        <v>17849</v>
      </c>
      <c r="B2165" s="87" t="s">
        <v>24</v>
      </c>
      <c r="C2165" s="87" t="s">
        <v>4131</v>
      </c>
      <c r="D2165" s="87" t="s">
        <v>4174</v>
      </c>
      <c r="E2165" s="87" t="s">
        <v>4175</v>
      </c>
      <c r="F2165" s="87">
        <v>36.627421815399998</v>
      </c>
      <c r="G2165" s="87">
        <v>43.175376428900002</v>
      </c>
      <c r="H2165" s="86">
        <v>1</v>
      </c>
      <c r="I2165" s="86">
        <v>6</v>
      </c>
      <c r="J2165" s="87"/>
      <c r="K2165" s="87"/>
      <c r="L2165" s="87"/>
      <c r="M2165" s="87"/>
      <c r="N2165" s="87"/>
      <c r="O2165" s="87"/>
      <c r="P2165" s="87"/>
      <c r="Q2165" s="87"/>
      <c r="R2165" s="87"/>
      <c r="S2165" s="87"/>
      <c r="T2165" s="87"/>
      <c r="U2165" s="87"/>
      <c r="V2165" s="87">
        <v>1</v>
      </c>
      <c r="W2165" s="87"/>
      <c r="X2165" s="87"/>
      <c r="Y2165" s="87"/>
      <c r="Z2165" s="87"/>
      <c r="AA2165" s="87"/>
      <c r="AB2165" s="87"/>
      <c r="AC2165" s="87">
        <v>1</v>
      </c>
      <c r="AD2165" s="87"/>
      <c r="AE2165" s="87"/>
      <c r="AF2165" s="87"/>
      <c r="AG2165" s="87"/>
      <c r="AH2165" s="87"/>
      <c r="AI2165" s="87"/>
      <c r="AJ2165" s="87"/>
      <c r="AK2165" s="87"/>
      <c r="AL2165" s="87"/>
      <c r="AM2165" s="87"/>
      <c r="AN2165" s="87"/>
      <c r="AO2165" s="87"/>
      <c r="AP2165" s="87">
        <v>1</v>
      </c>
      <c r="AQ2165" s="87"/>
      <c r="AR2165" s="87"/>
      <c r="AS2165" s="87"/>
      <c r="AT2165" s="87"/>
      <c r="AU2165" s="87"/>
      <c r="AV2165" s="87"/>
      <c r="AW2165" s="88" t="str">
        <f>HYPERLINK("http://www.openstreetmap.org/?mlat=36.6274&amp;mlon=43.1754&amp;zoom=12#map=12/36.6274/43.1754","Maplink1")</f>
        <v>Maplink1</v>
      </c>
      <c r="AX2165" s="88" t="str">
        <f>HYPERLINK("https://www.google.iq/maps/search/+36.6274,43.1754/@36.6274,43.1754,14z?hl=en","Maplink2")</f>
        <v>Maplink2</v>
      </c>
      <c r="AY2165" s="88" t="str">
        <f>HYPERLINK("http://www.bing.com/maps/?lvl=14&amp;sty=h&amp;cp=36.6274~43.1754&amp;sp=point.36.6274_43.1754","Maplink3")</f>
        <v>Maplink3</v>
      </c>
      <c r="AZ2165" s="76"/>
    </row>
    <row r="2166" spans="1:52" x14ac:dyDescent="0.25">
      <c r="A2166" s="86">
        <v>18046</v>
      </c>
      <c r="B2166" s="87" t="s">
        <v>24</v>
      </c>
      <c r="C2166" s="87" t="s">
        <v>4131</v>
      </c>
      <c r="D2166" s="87" t="s">
        <v>2718</v>
      </c>
      <c r="E2166" s="87" t="s">
        <v>4176</v>
      </c>
      <c r="F2166" s="87">
        <v>36.615423998899999</v>
      </c>
      <c r="G2166" s="87">
        <v>42.989930244599996</v>
      </c>
      <c r="H2166" s="86">
        <v>40</v>
      </c>
      <c r="I2166" s="86">
        <v>240</v>
      </c>
      <c r="J2166" s="87"/>
      <c r="K2166" s="87"/>
      <c r="L2166" s="87"/>
      <c r="M2166" s="87"/>
      <c r="N2166" s="87"/>
      <c r="O2166" s="87"/>
      <c r="P2166" s="87"/>
      <c r="Q2166" s="87"/>
      <c r="R2166" s="87"/>
      <c r="S2166" s="87"/>
      <c r="T2166" s="87"/>
      <c r="U2166" s="87"/>
      <c r="V2166" s="87">
        <v>40</v>
      </c>
      <c r="W2166" s="87"/>
      <c r="X2166" s="87"/>
      <c r="Y2166" s="87"/>
      <c r="Z2166" s="87"/>
      <c r="AA2166" s="87"/>
      <c r="AB2166" s="87"/>
      <c r="AC2166" s="87">
        <v>40</v>
      </c>
      <c r="AD2166" s="87"/>
      <c r="AE2166" s="87"/>
      <c r="AF2166" s="87"/>
      <c r="AG2166" s="87"/>
      <c r="AH2166" s="87"/>
      <c r="AI2166" s="87"/>
      <c r="AJ2166" s="87"/>
      <c r="AK2166" s="87"/>
      <c r="AL2166" s="87"/>
      <c r="AM2166" s="87"/>
      <c r="AN2166" s="87"/>
      <c r="AO2166" s="87"/>
      <c r="AP2166" s="87">
        <v>40</v>
      </c>
      <c r="AQ2166" s="87"/>
      <c r="AR2166" s="87"/>
      <c r="AS2166" s="87"/>
      <c r="AT2166" s="87"/>
      <c r="AU2166" s="87"/>
      <c r="AV2166" s="87"/>
      <c r="AW2166" s="88" t="str">
        <f>HYPERLINK("http://www.openstreetmap.org/?mlat=36.6154&amp;mlon=42.9899&amp;zoom=12#map=12/36.6154/42.9899","Maplink1")</f>
        <v>Maplink1</v>
      </c>
      <c r="AX2166" s="88" t="str">
        <f>HYPERLINK("https://www.google.iq/maps/search/+36.6154,42.9899/@36.6154,42.9899,14z?hl=en","Maplink2")</f>
        <v>Maplink2</v>
      </c>
      <c r="AY2166" s="88" t="str">
        <f>HYPERLINK("http://www.bing.com/maps/?lvl=14&amp;sty=h&amp;cp=36.6154~42.9899&amp;sp=point.36.6154_42.9899","Maplink3")</f>
        <v>Maplink3</v>
      </c>
      <c r="AZ2166" s="76"/>
    </row>
    <row r="2167" spans="1:52" x14ac:dyDescent="0.25">
      <c r="A2167" s="86">
        <v>18380</v>
      </c>
      <c r="B2167" s="87" t="s">
        <v>24</v>
      </c>
      <c r="C2167" s="87" t="s">
        <v>4131</v>
      </c>
      <c r="D2167" s="87" t="s">
        <v>4177</v>
      </c>
      <c r="E2167" s="87" t="s">
        <v>4178</v>
      </c>
      <c r="F2167" s="87">
        <v>36.699090502200001</v>
      </c>
      <c r="G2167" s="87">
        <v>43.219292301300001</v>
      </c>
      <c r="H2167" s="86">
        <v>54</v>
      </c>
      <c r="I2167" s="86">
        <v>324</v>
      </c>
      <c r="J2167" s="87"/>
      <c r="K2167" s="87"/>
      <c r="L2167" s="87"/>
      <c r="M2167" s="87"/>
      <c r="N2167" s="87"/>
      <c r="O2167" s="87"/>
      <c r="P2167" s="87"/>
      <c r="Q2167" s="87"/>
      <c r="R2167" s="87"/>
      <c r="S2167" s="87"/>
      <c r="T2167" s="87"/>
      <c r="U2167" s="87"/>
      <c r="V2167" s="87">
        <v>54</v>
      </c>
      <c r="W2167" s="87"/>
      <c r="X2167" s="87"/>
      <c r="Y2167" s="87"/>
      <c r="Z2167" s="87"/>
      <c r="AA2167" s="87"/>
      <c r="AB2167" s="87"/>
      <c r="AC2167" s="87">
        <v>54</v>
      </c>
      <c r="AD2167" s="87"/>
      <c r="AE2167" s="87"/>
      <c r="AF2167" s="87"/>
      <c r="AG2167" s="87"/>
      <c r="AH2167" s="87"/>
      <c r="AI2167" s="87"/>
      <c r="AJ2167" s="87"/>
      <c r="AK2167" s="87"/>
      <c r="AL2167" s="87"/>
      <c r="AM2167" s="87"/>
      <c r="AN2167" s="87"/>
      <c r="AO2167" s="87"/>
      <c r="AP2167" s="87">
        <v>54</v>
      </c>
      <c r="AQ2167" s="87"/>
      <c r="AR2167" s="87"/>
      <c r="AS2167" s="87"/>
      <c r="AT2167" s="87"/>
      <c r="AU2167" s="87"/>
      <c r="AV2167" s="87"/>
      <c r="AW2167" s="88" t="str">
        <f>HYPERLINK("http://www.openstreetmap.org/?mlat=36.6991&amp;mlon=43.2193&amp;zoom=12#map=12/36.6991/43.2193","Maplink1")</f>
        <v>Maplink1</v>
      </c>
      <c r="AX2167" s="88" t="str">
        <f>HYPERLINK("https://www.google.iq/maps/search/+36.6991,43.2193/@36.6991,43.2193,14z?hl=en","Maplink2")</f>
        <v>Maplink2</v>
      </c>
      <c r="AY2167" s="88" t="str">
        <f>HYPERLINK("http://www.bing.com/maps/?lvl=14&amp;sty=h&amp;cp=36.6991~43.2193&amp;sp=point.36.6991_43.2193","Maplink3")</f>
        <v>Maplink3</v>
      </c>
      <c r="AZ2167" s="76"/>
    </row>
    <row r="2168" spans="1:52" x14ac:dyDescent="0.25">
      <c r="A2168" s="86">
        <v>25368</v>
      </c>
      <c r="B2168" s="87" t="s">
        <v>24</v>
      </c>
      <c r="C2168" s="87" t="s">
        <v>4131</v>
      </c>
      <c r="D2168" s="87" t="s">
        <v>4179</v>
      </c>
      <c r="E2168" s="87" t="s">
        <v>4180</v>
      </c>
      <c r="F2168" s="87">
        <v>36.6324847988</v>
      </c>
      <c r="G2168" s="87">
        <v>42.984591482900001</v>
      </c>
      <c r="H2168" s="86">
        <v>14</v>
      </c>
      <c r="I2168" s="86">
        <v>84</v>
      </c>
      <c r="J2168" s="87"/>
      <c r="K2168" s="87"/>
      <c r="L2168" s="87"/>
      <c r="M2168" s="87"/>
      <c r="N2168" s="87"/>
      <c r="O2168" s="87"/>
      <c r="P2168" s="87"/>
      <c r="Q2168" s="87"/>
      <c r="R2168" s="87"/>
      <c r="S2168" s="87"/>
      <c r="T2168" s="87"/>
      <c r="U2168" s="87"/>
      <c r="V2168" s="87">
        <v>14</v>
      </c>
      <c r="W2168" s="87"/>
      <c r="X2168" s="87"/>
      <c r="Y2168" s="87"/>
      <c r="Z2168" s="87"/>
      <c r="AA2168" s="87"/>
      <c r="AB2168" s="87"/>
      <c r="AC2168" s="87">
        <v>14</v>
      </c>
      <c r="AD2168" s="87"/>
      <c r="AE2168" s="87"/>
      <c r="AF2168" s="87"/>
      <c r="AG2168" s="87"/>
      <c r="AH2168" s="87"/>
      <c r="AI2168" s="87"/>
      <c r="AJ2168" s="87"/>
      <c r="AK2168" s="87"/>
      <c r="AL2168" s="87"/>
      <c r="AM2168" s="87"/>
      <c r="AN2168" s="87"/>
      <c r="AO2168" s="87"/>
      <c r="AP2168" s="87"/>
      <c r="AQ2168" s="87"/>
      <c r="AR2168" s="87"/>
      <c r="AS2168" s="87"/>
      <c r="AT2168" s="87"/>
      <c r="AU2168" s="87">
        <v>14</v>
      </c>
      <c r="AV2168" s="87"/>
      <c r="AW2168" s="88" t="str">
        <f>HYPERLINK("http://www.openstreetmap.org/?mlat=36.6325&amp;mlon=42.9846&amp;zoom=12#map=12/36.6325/42.9846","Maplink1")</f>
        <v>Maplink1</v>
      </c>
      <c r="AX2168" s="88" t="str">
        <f>HYPERLINK("https://www.google.iq/maps/search/+36.6325,42.9846/@36.6325,42.9846,14z?hl=en","Maplink2")</f>
        <v>Maplink2</v>
      </c>
      <c r="AY2168" s="88" t="str">
        <f>HYPERLINK("http://www.bing.com/maps/?lvl=14&amp;sty=h&amp;cp=36.6325~42.9846&amp;sp=point.36.6325_42.9846","Maplink3")</f>
        <v>Maplink3</v>
      </c>
      <c r="AZ2168" s="76"/>
    </row>
    <row r="2169" spans="1:52" x14ac:dyDescent="0.25">
      <c r="A2169" s="86">
        <v>17551</v>
      </c>
      <c r="B2169" s="87" t="s">
        <v>24</v>
      </c>
      <c r="C2169" s="87" t="s">
        <v>4131</v>
      </c>
      <c r="D2169" s="87" t="s">
        <v>4181</v>
      </c>
      <c r="E2169" s="87" t="s">
        <v>4182</v>
      </c>
      <c r="F2169" s="87">
        <v>36.633712791299999</v>
      </c>
      <c r="G2169" s="87">
        <v>43.141286258900003</v>
      </c>
      <c r="H2169" s="86">
        <v>9</v>
      </c>
      <c r="I2169" s="86">
        <v>54</v>
      </c>
      <c r="J2169" s="87"/>
      <c r="K2169" s="87"/>
      <c r="L2169" s="87"/>
      <c r="M2169" s="87"/>
      <c r="N2169" s="87"/>
      <c r="O2169" s="87"/>
      <c r="P2169" s="87"/>
      <c r="Q2169" s="87"/>
      <c r="R2169" s="87"/>
      <c r="S2169" s="87"/>
      <c r="T2169" s="87"/>
      <c r="U2169" s="87"/>
      <c r="V2169" s="87">
        <v>9</v>
      </c>
      <c r="W2169" s="87"/>
      <c r="X2169" s="87"/>
      <c r="Y2169" s="87"/>
      <c r="Z2169" s="87"/>
      <c r="AA2169" s="87"/>
      <c r="AB2169" s="87"/>
      <c r="AC2169" s="87">
        <v>9</v>
      </c>
      <c r="AD2169" s="87"/>
      <c r="AE2169" s="87"/>
      <c r="AF2169" s="87"/>
      <c r="AG2169" s="87"/>
      <c r="AH2169" s="87"/>
      <c r="AI2169" s="87"/>
      <c r="AJ2169" s="87"/>
      <c r="AK2169" s="87"/>
      <c r="AL2169" s="87"/>
      <c r="AM2169" s="87"/>
      <c r="AN2169" s="87"/>
      <c r="AO2169" s="87"/>
      <c r="AP2169" s="87">
        <v>9</v>
      </c>
      <c r="AQ2169" s="87"/>
      <c r="AR2169" s="87"/>
      <c r="AS2169" s="87"/>
      <c r="AT2169" s="87"/>
      <c r="AU2169" s="87"/>
      <c r="AV2169" s="87"/>
      <c r="AW2169" s="88" t="str">
        <f>HYPERLINK("http://www.openstreetmap.org/?mlat=36.6337&amp;mlon=43.1413&amp;zoom=12#map=12/36.6337/43.1413","Maplink1")</f>
        <v>Maplink1</v>
      </c>
      <c r="AX2169" s="88" t="str">
        <f>HYPERLINK("https://www.google.iq/maps/search/+36.6337,43.1413/@36.6337,43.1413,14z?hl=en","Maplink2")</f>
        <v>Maplink2</v>
      </c>
      <c r="AY2169" s="88" t="str">
        <f>HYPERLINK("http://www.bing.com/maps/?lvl=14&amp;sty=h&amp;cp=36.6337~43.1413&amp;sp=point.36.6337_43.1413","Maplink3")</f>
        <v>Maplink3</v>
      </c>
      <c r="AZ2169" s="76"/>
    </row>
    <row r="2170" spans="1:52" x14ac:dyDescent="0.25">
      <c r="A2170" s="86">
        <v>25277</v>
      </c>
      <c r="B2170" s="87" t="s">
        <v>24</v>
      </c>
      <c r="C2170" s="87" t="s">
        <v>4131</v>
      </c>
      <c r="D2170" s="87" t="s">
        <v>4183</v>
      </c>
      <c r="E2170" s="87" t="s">
        <v>4184</v>
      </c>
      <c r="F2170" s="87">
        <v>36.689457534799999</v>
      </c>
      <c r="G2170" s="87">
        <v>43.092762710800002</v>
      </c>
      <c r="H2170" s="86">
        <v>5</v>
      </c>
      <c r="I2170" s="86">
        <v>30</v>
      </c>
      <c r="J2170" s="87"/>
      <c r="K2170" s="87"/>
      <c r="L2170" s="87"/>
      <c r="M2170" s="87"/>
      <c r="N2170" s="87"/>
      <c r="O2170" s="87"/>
      <c r="P2170" s="87"/>
      <c r="Q2170" s="87"/>
      <c r="R2170" s="87"/>
      <c r="S2170" s="87"/>
      <c r="T2170" s="87"/>
      <c r="U2170" s="87"/>
      <c r="V2170" s="87">
        <v>5</v>
      </c>
      <c r="W2170" s="87"/>
      <c r="X2170" s="87"/>
      <c r="Y2170" s="87"/>
      <c r="Z2170" s="87"/>
      <c r="AA2170" s="87"/>
      <c r="AB2170" s="87"/>
      <c r="AC2170" s="87">
        <v>5</v>
      </c>
      <c r="AD2170" s="87"/>
      <c r="AE2170" s="87"/>
      <c r="AF2170" s="87"/>
      <c r="AG2170" s="87"/>
      <c r="AH2170" s="87"/>
      <c r="AI2170" s="87"/>
      <c r="AJ2170" s="87"/>
      <c r="AK2170" s="87"/>
      <c r="AL2170" s="87"/>
      <c r="AM2170" s="87"/>
      <c r="AN2170" s="87"/>
      <c r="AO2170" s="87"/>
      <c r="AP2170" s="87">
        <v>5</v>
      </c>
      <c r="AQ2170" s="87"/>
      <c r="AR2170" s="87"/>
      <c r="AS2170" s="87"/>
      <c r="AT2170" s="87"/>
      <c r="AU2170" s="87"/>
      <c r="AV2170" s="87"/>
      <c r="AW2170" s="88" t="str">
        <f>HYPERLINK("http://www.openstreetmap.org/?mlat=36.6895&amp;mlon=43.0928&amp;zoom=12#map=12/36.6895/43.0928","Maplink1")</f>
        <v>Maplink1</v>
      </c>
      <c r="AX2170" s="88" t="str">
        <f>HYPERLINK("https://www.google.iq/maps/search/+36.6895,43.0928/@36.6895,43.0928,14z?hl=en","Maplink2")</f>
        <v>Maplink2</v>
      </c>
      <c r="AY2170" s="88" t="str">
        <f>HYPERLINK("http://www.bing.com/maps/?lvl=14&amp;sty=h&amp;cp=36.6895~43.0928&amp;sp=point.36.6895_43.0928","Maplink3")</f>
        <v>Maplink3</v>
      </c>
      <c r="AZ2170" s="76"/>
    </row>
    <row r="2171" spans="1:52" x14ac:dyDescent="0.25">
      <c r="A2171" s="86">
        <v>22365</v>
      </c>
      <c r="B2171" s="87" t="s">
        <v>24</v>
      </c>
      <c r="C2171" s="87" t="s">
        <v>4131</v>
      </c>
      <c r="D2171" s="87" t="s">
        <v>4185</v>
      </c>
      <c r="E2171" s="87" t="s">
        <v>4186</v>
      </c>
      <c r="F2171" s="87">
        <v>36.690026395700002</v>
      </c>
      <c r="G2171" s="87">
        <v>43.162801576299998</v>
      </c>
      <c r="H2171" s="86">
        <v>160</v>
      </c>
      <c r="I2171" s="86">
        <v>960</v>
      </c>
      <c r="J2171" s="87"/>
      <c r="K2171" s="87"/>
      <c r="L2171" s="87"/>
      <c r="M2171" s="87"/>
      <c r="N2171" s="87"/>
      <c r="O2171" s="87"/>
      <c r="P2171" s="87"/>
      <c r="Q2171" s="87"/>
      <c r="R2171" s="87"/>
      <c r="S2171" s="87"/>
      <c r="T2171" s="87"/>
      <c r="U2171" s="87"/>
      <c r="V2171" s="87">
        <v>160</v>
      </c>
      <c r="W2171" s="87"/>
      <c r="X2171" s="87"/>
      <c r="Y2171" s="87"/>
      <c r="Z2171" s="87"/>
      <c r="AA2171" s="87"/>
      <c r="AB2171" s="87"/>
      <c r="AC2171" s="87">
        <v>130</v>
      </c>
      <c r="AD2171" s="87"/>
      <c r="AE2171" s="87"/>
      <c r="AF2171" s="87"/>
      <c r="AG2171" s="87"/>
      <c r="AH2171" s="87">
        <v>30</v>
      </c>
      <c r="AI2171" s="87"/>
      <c r="AJ2171" s="87"/>
      <c r="AK2171" s="87"/>
      <c r="AL2171" s="87"/>
      <c r="AM2171" s="87"/>
      <c r="AN2171" s="87"/>
      <c r="AO2171" s="87"/>
      <c r="AP2171" s="87">
        <v>160</v>
      </c>
      <c r="AQ2171" s="87"/>
      <c r="AR2171" s="87"/>
      <c r="AS2171" s="87"/>
      <c r="AT2171" s="87"/>
      <c r="AU2171" s="87"/>
      <c r="AV2171" s="87"/>
      <c r="AW2171" s="88" t="str">
        <f>HYPERLINK("http://www.openstreetmap.org/?mlat=36.69&amp;mlon=43.1628&amp;zoom=12#map=12/36.69/43.1628","Maplink1")</f>
        <v>Maplink1</v>
      </c>
      <c r="AX2171" s="88" t="str">
        <f>HYPERLINK("https://www.google.iq/maps/search/+36.69,43.1628/@36.69,43.1628,14z?hl=en","Maplink2")</f>
        <v>Maplink2</v>
      </c>
      <c r="AY2171" s="88" t="str">
        <f>HYPERLINK("http://www.bing.com/maps/?lvl=14&amp;sty=h&amp;cp=36.69~43.1628&amp;sp=point.36.69_43.1628","Maplink3")</f>
        <v>Maplink3</v>
      </c>
      <c r="AZ2171" s="76"/>
    </row>
    <row r="2172" spans="1:52" x14ac:dyDescent="0.25">
      <c r="A2172" s="86">
        <v>16978</v>
      </c>
      <c r="B2172" s="87" t="s">
        <v>24</v>
      </c>
      <c r="C2172" s="87" t="s">
        <v>4131</v>
      </c>
      <c r="D2172" s="87" t="s">
        <v>4187</v>
      </c>
      <c r="E2172" s="87" t="s">
        <v>4188</v>
      </c>
      <c r="F2172" s="87">
        <v>36.6977663001</v>
      </c>
      <c r="G2172" s="87">
        <v>43.220148393300001</v>
      </c>
      <c r="H2172" s="86">
        <v>7</v>
      </c>
      <c r="I2172" s="86">
        <v>42</v>
      </c>
      <c r="J2172" s="87"/>
      <c r="K2172" s="87"/>
      <c r="L2172" s="87"/>
      <c r="M2172" s="87"/>
      <c r="N2172" s="87"/>
      <c r="O2172" s="87"/>
      <c r="P2172" s="87"/>
      <c r="Q2172" s="87"/>
      <c r="R2172" s="87"/>
      <c r="S2172" s="87"/>
      <c r="T2172" s="87"/>
      <c r="U2172" s="87"/>
      <c r="V2172" s="87">
        <v>7</v>
      </c>
      <c r="W2172" s="87"/>
      <c r="X2172" s="87"/>
      <c r="Y2172" s="87"/>
      <c r="Z2172" s="87"/>
      <c r="AA2172" s="87"/>
      <c r="AB2172" s="87"/>
      <c r="AC2172" s="87">
        <v>7</v>
      </c>
      <c r="AD2172" s="87"/>
      <c r="AE2172" s="87"/>
      <c r="AF2172" s="87"/>
      <c r="AG2172" s="87"/>
      <c r="AH2172" s="87"/>
      <c r="AI2172" s="87"/>
      <c r="AJ2172" s="87"/>
      <c r="AK2172" s="87"/>
      <c r="AL2172" s="87"/>
      <c r="AM2172" s="87"/>
      <c r="AN2172" s="87"/>
      <c r="AO2172" s="87"/>
      <c r="AP2172" s="87">
        <v>7</v>
      </c>
      <c r="AQ2172" s="87"/>
      <c r="AR2172" s="87"/>
      <c r="AS2172" s="87"/>
      <c r="AT2172" s="87"/>
      <c r="AU2172" s="87"/>
      <c r="AV2172" s="87"/>
      <c r="AW2172" s="88" t="str">
        <f>HYPERLINK("http://www.openstreetmap.org/?mlat=36.6978&amp;mlon=43.2201&amp;zoom=12#map=12/36.6978/43.2201","Maplink1")</f>
        <v>Maplink1</v>
      </c>
      <c r="AX2172" s="88" t="str">
        <f>HYPERLINK("https://www.google.iq/maps/search/+36.6978,43.2201/@36.6978,43.2201,14z?hl=en","Maplink2")</f>
        <v>Maplink2</v>
      </c>
      <c r="AY2172" s="88" t="str">
        <f>HYPERLINK("http://www.bing.com/maps/?lvl=14&amp;sty=h&amp;cp=36.6978~43.2201&amp;sp=point.36.6978_43.2201","Maplink3")</f>
        <v>Maplink3</v>
      </c>
      <c r="AZ2172" s="76"/>
    </row>
    <row r="2173" spans="1:52" x14ac:dyDescent="0.25">
      <c r="A2173" s="86">
        <v>17931</v>
      </c>
      <c r="B2173" s="87" t="s">
        <v>24</v>
      </c>
      <c r="C2173" s="87" t="s">
        <v>4131</v>
      </c>
      <c r="D2173" s="87" t="s">
        <v>4189</v>
      </c>
      <c r="E2173" s="87" t="s">
        <v>4190</v>
      </c>
      <c r="F2173" s="87">
        <v>36.609168925299997</v>
      </c>
      <c r="G2173" s="87">
        <v>42.9855099149</v>
      </c>
      <c r="H2173" s="86">
        <v>5</v>
      </c>
      <c r="I2173" s="86">
        <v>30</v>
      </c>
      <c r="J2173" s="87"/>
      <c r="K2173" s="87"/>
      <c r="L2173" s="87"/>
      <c r="M2173" s="87"/>
      <c r="N2173" s="87"/>
      <c r="O2173" s="87"/>
      <c r="P2173" s="87"/>
      <c r="Q2173" s="87"/>
      <c r="R2173" s="87"/>
      <c r="S2173" s="87"/>
      <c r="T2173" s="87"/>
      <c r="U2173" s="87"/>
      <c r="V2173" s="87">
        <v>5</v>
      </c>
      <c r="W2173" s="87"/>
      <c r="X2173" s="87"/>
      <c r="Y2173" s="87"/>
      <c r="Z2173" s="87"/>
      <c r="AA2173" s="87"/>
      <c r="AB2173" s="87"/>
      <c r="AC2173" s="87">
        <v>5</v>
      </c>
      <c r="AD2173" s="87"/>
      <c r="AE2173" s="87"/>
      <c r="AF2173" s="87"/>
      <c r="AG2173" s="87"/>
      <c r="AH2173" s="87"/>
      <c r="AI2173" s="87"/>
      <c r="AJ2173" s="87"/>
      <c r="AK2173" s="87"/>
      <c r="AL2173" s="87"/>
      <c r="AM2173" s="87"/>
      <c r="AN2173" s="87"/>
      <c r="AO2173" s="87"/>
      <c r="AP2173" s="87">
        <v>5</v>
      </c>
      <c r="AQ2173" s="87"/>
      <c r="AR2173" s="87"/>
      <c r="AS2173" s="87"/>
      <c r="AT2173" s="87"/>
      <c r="AU2173" s="87"/>
      <c r="AV2173" s="87"/>
      <c r="AW2173" s="88" t="str">
        <f>HYPERLINK("http://www.openstreetmap.org/?mlat=36.6092&amp;mlon=42.9855&amp;zoom=12#map=12/36.6092/42.9855","Maplink1")</f>
        <v>Maplink1</v>
      </c>
      <c r="AX2173" s="88" t="str">
        <f>HYPERLINK("https://www.google.iq/maps/search/+36.6092,42.9855/@36.6092,42.9855,14z?hl=en","Maplink2")</f>
        <v>Maplink2</v>
      </c>
      <c r="AY2173" s="88" t="str">
        <f>HYPERLINK("http://www.bing.com/maps/?lvl=14&amp;sty=h&amp;cp=36.6092~42.9855&amp;sp=point.36.6092_42.9855","Maplink3")</f>
        <v>Maplink3</v>
      </c>
      <c r="AZ2173" s="76"/>
    </row>
    <row r="2174" spans="1:52" x14ac:dyDescent="0.25">
      <c r="A2174" s="86">
        <v>17959</v>
      </c>
      <c r="B2174" s="87" t="s">
        <v>24</v>
      </c>
      <c r="C2174" s="87" t="s">
        <v>4131</v>
      </c>
      <c r="D2174" s="87" t="s">
        <v>4191</v>
      </c>
      <c r="E2174" s="87" t="s">
        <v>4192</v>
      </c>
      <c r="F2174" s="87">
        <v>36.5976809438</v>
      </c>
      <c r="G2174" s="87">
        <v>43.105653425500002</v>
      </c>
      <c r="H2174" s="86">
        <v>248</v>
      </c>
      <c r="I2174" s="86">
        <v>1488</v>
      </c>
      <c r="J2174" s="87"/>
      <c r="K2174" s="87"/>
      <c r="L2174" s="87"/>
      <c r="M2174" s="87"/>
      <c r="N2174" s="87"/>
      <c r="O2174" s="87"/>
      <c r="P2174" s="87"/>
      <c r="Q2174" s="87"/>
      <c r="R2174" s="87"/>
      <c r="S2174" s="87"/>
      <c r="T2174" s="87"/>
      <c r="U2174" s="87"/>
      <c r="V2174" s="87">
        <v>248</v>
      </c>
      <c r="W2174" s="87"/>
      <c r="X2174" s="87"/>
      <c r="Y2174" s="87"/>
      <c r="Z2174" s="87"/>
      <c r="AA2174" s="87"/>
      <c r="AB2174" s="87"/>
      <c r="AC2174" s="87"/>
      <c r="AD2174" s="87"/>
      <c r="AE2174" s="87"/>
      <c r="AF2174" s="87"/>
      <c r="AG2174" s="87"/>
      <c r="AH2174" s="87">
        <v>248</v>
      </c>
      <c r="AI2174" s="87"/>
      <c r="AJ2174" s="87"/>
      <c r="AK2174" s="87"/>
      <c r="AL2174" s="87"/>
      <c r="AM2174" s="87"/>
      <c r="AN2174" s="87"/>
      <c r="AO2174" s="87"/>
      <c r="AP2174" s="87"/>
      <c r="AQ2174" s="87"/>
      <c r="AR2174" s="87"/>
      <c r="AS2174" s="87"/>
      <c r="AT2174" s="87"/>
      <c r="AU2174" s="87">
        <v>248</v>
      </c>
      <c r="AV2174" s="87"/>
      <c r="AW2174" s="88" t="str">
        <f>HYPERLINK("http://www.openstreetmap.org/?mlat=36.5977&amp;mlon=43.1057&amp;zoom=12#map=12/36.5977/43.1057","Maplink1")</f>
        <v>Maplink1</v>
      </c>
      <c r="AX2174" s="88" t="str">
        <f>HYPERLINK("https://www.google.iq/maps/search/+36.5977,43.1057/@36.5977,43.1057,14z?hl=en","Maplink2")</f>
        <v>Maplink2</v>
      </c>
      <c r="AY2174" s="88" t="str">
        <f>HYPERLINK("http://www.bing.com/maps/?lvl=14&amp;sty=h&amp;cp=36.5977~43.1057&amp;sp=point.36.5977_43.1057","Maplink3")</f>
        <v>Maplink3</v>
      </c>
      <c r="AZ2174" s="76"/>
    </row>
    <row r="2175" spans="1:52" x14ac:dyDescent="0.25">
      <c r="A2175" s="86">
        <v>17941</v>
      </c>
      <c r="B2175" s="87" t="s">
        <v>24</v>
      </c>
      <c r="C2175" s="87" t="s">
        <v>4131</v>
      </c>
      <c r="D2175" s="87" t="s">
        <v>4193</v>
      </c>
      <c r="E2175" s="87" t="s">
        <v>4194</v>
      </c>
      <c r="F2175" s="87">
        <v>36.487360602899997</v>
      </c>
      <c r="G2175" s="87">
        <v>43.123826137000002</v>
      </c>
      <c r="H2175" s="86">
        <v>140</v>
      </c>
      <c r="I2175" s="86">
        <v>840</v>
      </c>
      <c r="J2175" s="87"/>
      <c r="K2175" s="87"/>
      <c r="L2175" s="87"/>
      <c r="M2175" s="87"/>
      <c r="N2175" s="87"/>
      <c r="O2175" s="87"/>
      <c r="P2175" s="87"/>
      <c r="Q2175" s="87"/>
      <c r="R2175" s="87"/>
      <c r="S2175" s="87"/>
      <c r="T2175" s="87"/>
      <c r="U2175" s="87"/>
      <c r="V2175" s="87">
        <v>140</v>
      </c>
      <c r="W2175" s="87"/>
      <c r="X2175" s="87"/>
      <c r="Y2175" s="87"/>
      <c r="Z2175" s="87"/>
      <c r="AA2175" s="87"/>
      <c r="AB2175" s="87"/>
      <c r="AC2175" s="87">
        <v>140</v>
      </c>
      <c r="AD2175" s="87"/>
      <c r="AE2175" s="87"/>
      <c r="AF2175" s="87"/>
      <c r="AG2175" s="87"/>
      <c r="AH2175" s="87"/>
      <c r="AI2175" s="87"/>
      <c r="AJ2175" s="87"/>
      <c r="AK2175" s="87"/>
      <c r="AL2175" s="87"/>
      <c r="AM2175" s="87"/>
      <c r="AN2175" s="87"/>
      <c r="AO2175" s="87"/>
      <c r="AP2175" s="87">
        <v>50</v>
      </c>
      <c r="AQ2175" s="87"/>
      <c r="AR2175" s="87"/>
      <c r="AS2175" s="87"/>
      <c r="AT2175" s="87">
        <v>90</v>
      </c>
      <c r="AU2175" s="87"/>
      <c r="AV2175" s="87"/>
      <c r="AW2175" s="88" t="str">
        <f>HYPERLINK("http://www.openstreetmap.org/?mlat=36.4874&amp;mlon=43.1238&amp;zoom=12#map=12/36.4874/43.1238","Maplink1")</f>
        <v>Maplink1</v>
      </c>
      <c r="AX2175" s="88" t="str">
        <f>HYPERLINK("https://www.google.iq/maps/search/+36.4874,43.1238/@36.4874,43.1238,14z?hl=en","Maplink2")</f>
        <v>Maplink2</v>
      </c>
      <c r="AY2175" s="88" t="str">
        <f>HYPERLINK("http://www.bing.com/maps/?lvl=14&amp;sty=h&amp;cp=36.4874~43.1238&amp;sp=point.36.4874_43.1238","Maplink3")</f>
        <v>Maplink3</v>
      </c>
      <c r="AZ2175" s="76"/>
    </row>
    <row r="2176" spans="1:52" x14ac:dyDescent="0.25">
      <c r="A2176" s="86">
        <v>17133</v>
      </c>
      <c r="B2176" s="87" t="s">
        <v>24</v>
      </c>
      <c r="C2176" s="87" t="s">
        <v>4131</v>
      </c>
      <c r="D2176" s="87" t="s">
        <v>4195</v>
      </c>
      <c r="E2176" s="87" t="s">
        <v>4196</v>
      </c>
      <c r="F2176" s="87">
        <v>36.535585072000003</v>
      </c>
      <c r="G2176" s="87">
        <v>42.7599794164</v>
      </c>
      <c r="H2176" s="86">
        <v>60</v>
      </c>
      <c r="I2176" s="86">
        <v>360</v>
      </c>
      <c r="J2176" s="87"/>
      <c r="K2176" s="87"/>
      <c r="L2176" s="87"/>
      <c r="M2176" s="87"/>
      <c r="N2176" s="87"/>
      <c r="O2176" s="87"/>
      <c r="P2176" s="87"/>
      <c r="Q2176" s="87"/>
      <c r="R2176" s="87"/>
      <c r="S2176" s="87"/>
      <c r="T2176" s="87"/>
      <c r="U2176" s="87"/>
      <c r="V2176" s="87">
        <v>60</v>
      </c>
      <c r="W2176" s="87"/>
      <c r="X2176" s="87"/>
      <c r="Y2176" s="87"/>
      <c r="Z2176" s="87"/>
      <c r="AA2176" s="87"/>
      <c r="AB2176" s="87"/>
      <c r="AC2176" s="87">
        <v>20</v>
      </c>
      <c r="AD2176" s="87"/>
      <c r="AE2176" s="87"/>
      <c r="AF2176" s="87"/>
      <c r="AG2176" s="87"/>
      <c r="AH2176" s="87">
        <v>40</v>
      </c>
      <c r="AI2176" s="87"/>
      <c r="AJ2176" s="87"/>
      <c r="AK2176" s="87"/>
      <c r="AL2176" s="87"/>
      <c r="AM2176" s="87"/>
      <c r="AN2176" s="87"/>
      <c r="AO2176" s="87"/>
      <c r="AP2176" s="87"/>
      <c r="AQ2176" s="87"/>
      <c r="AR2176" s="87">
        <v>50</v>
      </c>
      <c r="AS2176" s="87">
        <v>10</v>
      </c>
      <c r="AT2176" s="87"/>
      <c r="AU2176" s="87"/>
      <c r="AV2176" s="87"/>
      <c r="AW2176" s="88" t="str">
        <f>HYPERLINK("http://www.openstreetmap.org/?mlat=36.5356&amp;mlon=42.76&amp;zoom=12#map=12/36.5356/42.76","Maplink1")</f>
        <v>Maplink1</v>
      </c>
      <c r="AX2176" s="88" t="str">
        <f>HYPERLINK("https://www.google.iq/maps/search/+36.5356,42.76/@36.5356,42.76,14z?hl=en","Maplink2")</f>
        <v>Maplink2</v>
      </c>
      <c r="AY2176" s="88" t="str">
        <f>HYPERLINK("http://www.bing.com/maps/?lvl=14&amp;sty=h&amp;cp=36.5356~42.76&amp;sp=point.36.5356_42.76","Maplink3")</f>
        <v>Maplink3</v>
      </c>
      <c r="AZ2176" s="76"/>
    </row>
    <row r="2177" spans="1:52" x14ac:dyDescent="0.25">
      <c r="A2177" s="86">
        <v>3392</v>
      </c>
      <c r="B2177" s="87" t="s">
        <v>25</v>
      </c>
      <c r="C2177" s="87" t="s">
        <v>4197</v>
      </c>
      <c r="D2177" s="87" t="s">
        <v>4198</v>
      </c>
      <c r="E2177" s="87" t="s">
        <v>4199</v>
      </c>
      <c r="F2177" s="87">
        <v>32.053763984</v>
      </c>
      <c r="G2177" s="87">
        <v>45.233399760899999</v>
      </c>
      <c r="H2177" s="86">
        <v>9</v>
      </c>
      <c r="I2177" s="86">
        <v>54</v>
      </c>
      <c r="J2177" s="87"/>
      <c r="K2177" s="87"/>
      <c r="L2177" s="87"/>
      <c r="M2177" s="87"/>
      <c r="N2177" s="87"/>
      <c r="O2177" s="87"/>
      <c r="P2177" s="87"/>
      <c r="Q2177" s="87"/>
      <c r="R2177" s="87">
        <v>5</v>
      </c>
      <c r="S2177" s="87"/>
      <c r="T2177" s="87"/>
      <c r="U2177" s="87"/>
      <c r="V2177" s="87">
        <v>4</v>
      </c>
      <c r="W2177" s="87"/>
      <c r="X2177" s="87"/>
      <c r="Y2177" s="87"/>
      <c r="Z2177" s="87"/>
      <c r="AA2177" s="87"/>
      <c r="AB2177" s="87"/>
      <c r="AC2177" s="87">
        <v>3</v>
      </c>
      <c r="AD2177" s="87"/>
      <c r="AE2177" s="87"/>
      <c r="AF2177" s="87"/>
      <c r="AG2177" s="87">
        <v>2</v>
      </c>
      <c r="AH2177" s="87">
        <v>4</v>
      </c>
      <c r="AI2177" s="87"/>
      <c r="AJ2177" s="87"/>
      <c r="AK2177" s="87"/>
      <c r="AL2177" s="87"/>
      <c r="AM2177" s="87"/>
      <c r="AN2177" s="87"/>
      <c r="AO2177" s="87">
        <v>9</v>
      </c>
      <c r="AP2177" s="87"/>
      <c r="AQ2177" s="87"/>
      <c r="AR2177" s="87"/>
      <c r="AS2177" s="87"/>
      <c r="AT2177" s="87"/>
      <c r="AU2177" s="87"/>
      <c r="AV2177" s="87"/>
      <c r="AW2177" s="88" t="str">
        <f>HYPERLINK("http://www.openstreetmap.org/?mlat=32.0538&amp;mlon=45.2334&amp;zoom=12#map=12/32.0538/45.2334","Maplink1")</f>
        <v>Maplink1</v>
      </c>
      <c r="AX2177" s="88" t="str">
        <f>HYPERLINK("https://www.google.iq/maps/search/+32.0538,45.2334/@32.0538,45.2334,14z?hl=en","Maplink2")</f>
        <v>Maplink2</v>
      </c>
      <c r="AY2177" s="88" t="str">
        <f>HYPERLINK("http://www.bing.com/maps/?lvl=14&amp;sty=h&amp;cp=32.0538~45.2334&amp;sp=point.32.0538_45.2334","Maplink3")</f>
        <v>Maplink3</v>
      </c>
      <c r="AZ2177" s="76"/>
    </row>
    <row r="2178" spans="1:52" x14ac:dyDescent="0.25">
      <c r="A2178" s="86">
        <v>24601</v>
      </c>
      <c r="B2178" s="87" t="s">
        <v>25</v>
      </c>
      <c r="C2178" s="87" t="s">
        <v>4197</v>
      </c>
      <c r="D2178" s="87" t="s">
        <v>4200</v>
      </c>
      <c r="E2178" s="87" t="s">
        <v>4201</v>
      </c>
      <c r="F2178" s="87">
        <v>32.1524920536</v>
      </c>
      <c r="G2178" s="87">
        <v>45.004822387099999</v>
      </c>
      <c r="H2178" s="86">
        <v>10</v>
      </c>
      <c r="I2178" s="86">
        <v>60</v>
      </c>
      <c r="J2178" s="87"/>
      <c r="K2178" s="87"/>
      <c r="L2178" s="87"/>
      <c r="M2178" s="87"/>
      <c r="N2178" s="87"/>
      <c r="O2178" s="87"/>
      <c r="P2178" s="87"/>
      <c r="Q2178" s="87"/>
      <c r="R2178" s="87"/>
      <c r="S2178" s="87"/>
      <c r="T2178" s="87"/>
      <c r="U2178" s="87"/>
      <c r="V2178" s="87">
        <v>10</v>
      </c>
      <c r="W2178" s="87"/>
      <c r="X2178" s="87"/>
      <c r="Y2178" s="87"/>
      <c r="Z2178" s="87"/>
      <c r="AA2178" s="87"/>
      <c r="AB2178" s="87"/>
      <c r="AC2178" s="87">
        <v>3</v>
      </c>
      <c r="AD2178" s="87"/>
      <c r="AE2178" s="87"/>
      <c r="AF2178" s="87"/>
      <c r="AG2178" s="87"/>
      <c r="AH2178" s="87">
        <v>7</v>
      </c>
      <c r="AI2178" s="87"/>
      <c r="AJ2178" s="87"/>
      <c r="AK2178" s="87"/>
      <c r="AL2178" s="87"/>
      <c r="AM2178" s="87"/>
      <c r="AN2178" s="87"/>
      <c r="AO2178" s="87"/>
      <c r="AP2178" s="87">
        <v>10</v>
      </c>
      <c r="AQ2178" s="87"/>
      <c r="AR2178" s="87"/>
      <c r="AS2178" s="87"/>
      <c r="AT2178" s="87"/>
      <c r="AU2178" s="87"/>
      <c r="AV2178" s="87"/>
      <c r="AW2178" s="88" t="str">
        <f>HYPERLINK("http://www.openstreetmap.org/?mlat=32.1525&amp;mlon=45.0048&amp;zoom=12#map=12/32.1525/45.0048","Maplink1")</f>
        <v>Maplink1</v>
      </c>
      <c r="AX2178" s="88" t="str">
        <f>HYPERLINK("https://www.google.iq/maps/search/+32.1525,45.0048/@32.1525,45.0048,14z?hl=en","Maplink2")</f>
        <v>Maplink2</v>
      </c>
      <c r="AY2178" s="88" t="str">
        <f>HYPERLINK("http://www.bing.com/maps/?lvl=14&amp;sty=h&amp;cp=32.1525~45.0048&amp;sp=point.32.1525_45.0048","Maplink3")</f>
        <v>Maplink3</v>
      </c>
      <c r="AZ2178" s="76"/>
    </row>
    <row r="2179" spans="1:52" x14ac:dyDescent="0.25">
      <c r="A2179" s="86">
        <v>3116</v>
      </c>
      <c r="B2179" s="87" t="s">
        <v>25</v>
      </c>
      <c r="C2179" s="87" t="s">
        <v>4197</v>
      </c>
      <c r="D2179" s="87" t="s">
        <v>4202</v>
      </c>
      <c r="E2179" s="87" t="s">
        <v>4203</v>
      </c>
      <c r="F2179" s="87">
        <v>32.0584227485</v>
      </c>
      <c r="G2179" s="87">
        <v>45.162764874600001</v>
      </c>
      <c r="H2179" s="86">
        <v>5</v>
      </c>
      <c r="I2179" s="86">
        <v>30</v>
      </c>
      <c r="J2179" s="87"/>
      <c r="K2179" s="87"/>
      <c r="L2179" s="87"/>
      <c r="M2179" s="87"/>
      <c r="N2179" s="87"/>
      <c r="O2179" s="87"/>
      <c r="P2179" s="87"/>
      <c r="Q2179" s="87"/>
      <c r="R2179" s="87"/>
      <c r="S2179" s="87"/>
      <c r="T2179" s="87"/>
      <c r="U2179" s="87"/>
      <c r="V2179" s="87">
        <v>5</v>
      </c>
      <c r="W2179" s="87"/>
      <c r="X2179" s="87"/>
      <c r="Y2179" s="87"/>
      <c r="Z2179" s="87"/>
      <c r="AA2179" s="87"/>
      <c r="AB2179" s="87"/>
      <c r="AC2179" s="87">
        <v>1</v>
      </c>
      <c r="AD2179" s="87"/>
      <c r="AE2179" s="87"/>
      <c r="AF2179" s="87"/>
      <c r="AG2179" s="87"/>
      <c r="AH2179" s="87">
        <v>4</v>
      </c>
      <c r="AI2179" s="87"/>
      <c r="AJ2179" s="87"/>
      <c r="AK2179" s="87"/>
      <c r="AL2179" s="87"/>
      <c r="AM2179" s="87"/>
      <c r="AN2179" s="87"/>
      <c r="AO2179" s="87">
        <v>2</v>
      </c>
      <c r="AP2179" s="87">
        <v>3</v>
      </c>
      <c r="AQ2179" s="87"/>
      <c r="AR2179" s="87"/>
      <c r="AS2179" s="87"/>
      <c r="AT2179" s="87"/>
      <c r="AU2179" s="87"/>
      <c r="AV2179" s="87"/>
      <c r="AW2179" s="88" t="str">
        <f>HYPERLINK("http://www.openstreetmap.org/?mlat=32.0584&amp;mlon=45.1628&amp;zoom=12#map=12/32.0584/45.1628","Maplink1")</f>
        <v>Maplink1</v>
      </c>
      <c r="AX2179" s="88" t="str">
        <f>HYPERLINK("https://www.google.iq/maps/search/+32.0584,45.1628/@32.0584,45.1628,14z?hl=en","Maplink2")</f>
        <v>Maplink2</v>
      </c>
      <c r="AY2179" s="88" t="str">
        <f>HYPERLINK("http://www.bing.com/maps/?lvl=14&amp;sty=h&amp;cp=32.0584~45.1628&amp;sp=point.32.0584_45.1628","Maplink3")</f>
        <v>Maplink3</v>
      </c>
      <c r="AZ2179" s="76"/>
    </row>
    <row r="2180" spans="1:52" x14ac:dyDescent="0.25">
      <c r="A2180" s="86">
        <v>24287</v>
      </c>
      <c r="B2180" s="87" t="s">
        <v>25</v>
      </c>
      <c r="C2180" s="87" t="s">
        <v>4197</v>
      </c>
      <c r="D2180" s="87" t="s">
        <v>4204</v>
      </c>
      <c r="E2180" s="87" t="s">
        <v>4205</v>
      </c>
      <c r="F2180" s="87">
        <v>31.967916735399999</v>
      </c>
      <c r="G2180" s="87">
        <v>45.405007185400002</v>
      </c>
      <c r="H2180" s="86">
        <v>10</v>
      </c>
      <c r="I2180" s="86">
        <v>60</v>
      </c>
      <c r="J2180" s="87"/>
      <c r="K2180" s="87"/>
      <c r="L2180" s="87"/>
      <c r="M2180" s="87"/>
      <c r="N2180" s="87"/>
      <c r="O2180" s="87"/>
      <c r="P2180" s="87"/>
      <c r="Q2180" s="87"/>
      <c r="R2180" s="87">
        <v>10</v>
      </c>
      <c r="S2180" s="87"/>
      <c r="T2180" s="87"/>
      <c r="U2180" s="87"/>
      <c r="V2180" s="87"/>
      <c r="W2180" s="87"/>
      <c r="X2180" s="87"/>
      <c r="Y2180" s="87"/>
      <c r="Z2180" s="87"/>
      <c r="AA2180" s="87"/>
      <c r="AB2180" s="87"/>
      <c r="AC2180" s="87">
        <v>3</v>
      </c>
      <c r="AD2180" s="87"/>
      <c r="AE2180" s="87"/>
      <c r="AF2180" s="87"/>
      <c r="AG2180" s="87"/>
      <c r="AH2180" s="87">
        <v>7</v>
      </c>
      <c r="AI2180" s="87"/>
      <c r="AJ2180" s="87"/>
      <c r="AK2180" s="87"/>
      <c r="AL2180" s="87"/>
      <c r="AM2180" s="87"/>
      <c r="AN2180" s="87"/>
      <c r="AO2180" s="87"/>
      <c r="AP2180" s="87">
        <v>10</v>
      </c>
      <c r="AQ2180" s="87"/>
      <c r="AR2180" s="87"/>
      <c r="AS2180" s="87"/>
      <c r="AT2180" s="87"/>
      <c r="AU2180" s="87"/>
      <c r="AV2180" s="87"/>
      <c r="AW2180" s="88" t="str">
        <f>HYPERLINK("http://www.openstreetmap.org/?mlat=31.9679&amp;mlon=45.405&amp;zoom=12#map=12/31.9679/45.405","Maplink1")</f>
        <v>Maplink1</v>
      </c>
      <c r="AX2180" s="88" t="str">
        <f>HYPERLINK("https://www.google.iq/maps/search/+31.9679,45.405/@31.9679,45.405,14z?hl=en","Maplink2")</f>
        <v>Maplink2</v>
      </c>
      <c r="AY2180" s="88" t="str">
        <f>HYPERLINK("http://www.bing.com/maps/?lvl=14&amp;sty=h&amp;cp=31.9679~45.405&amp;sp=point.31.9679_45.405","Maplink3")</f>
        <v>Maplink3</v>
      </c>
      <c r="AZ2180" s="76"/>
    </row>
    <row r="2181" spans="1:52" x14ac:dyDescent="0.25">
      <c r="A2181" s="86">
        <v>22751</v>
      </c>
      <c r="B2181" s="87" t="s">
        <v>25</v>
      </c>
      <c r="C2181" s="87" t="s">
        <v>4197</v>
      </c>
      <c r="D2181" s="87" t="s">
        <v>4206</v>
      </c>
      <c r="E2181" s="87" t="s">
        <v>4207</v>
      </c>
      <c r="F2181" s="87">
        <v>32.152402788700002</v>
      </c>
      <c r="G2181" s="87">
        <v>45.001441919800001</v>
      </c>
      <c r="H2181" s="86">
        <v>5</v>
      </c>
      <c r="I2181" s="86">
        <v>30</v>
      </c>
      <c r="J2181" s="87"/>
      <c r="K2181" s="87"/>
      <c r="L2181" s="87"/>
      <c r="M2181" s="87"/>
      <c r="N2181" s="87"/>
      <c r="O2181" s="87"/>
      <c r="P2181" s="87"/>
      <c r="Q2181" s="87"/>
      <c r="R2181" s="87">
        <v>5</v>
      </c>
      <c r="S2181" s="87"/>
      <c r="T2181" s="87"/>
      <c r="U2181" s="87"/>
      <c r="V2181" s="87"/>
      <c r="W2181" s="87"/>
      <c r="X2181" s="87"/>
      <c r="Y2181" s="87"/>
      <c r="Z2181" s="87"/>
      <c r="AA2181" s="87"/>
      <c r="AB2181" s="87"/>
      <c r="AC2181" s="87">
        <v>1</v>
      </c>
      <c r="AD2181" s="87"/>
      <c r="AE2181" s="87"/>
      <c r="AF2181" s="87"/>
      <c r="AG2181" s="87"/>
      <c r="AH2181" s="87">
        <v>4</v>
      </c>
      <c r="AI2181" s="87"/>
      <c r="AJ2181" s="87"/>
      <c r="AK2181" s="87"/>
      <c r="AL2181" s="87"/>
      <c r="AM2181" s="87"/>
      <c r="AN2181" s="87"/>
      <c r="AO2181" s="87">
        <v>5</v>
      </c>
      <c r="AP2181" s="87"/>
      <c r="AQ2181" s="87"/>
      <c r="AR2181" s="87"/>
      <c r="AS2181" s="87"/>
      <c r="AT2181" s="87"/>
      <c r="AU2181" s="87"/>
      <c r="AV2181" s="87"/>
      <c r="AW2181" s="88" t="str">
        <f>HYPERLINK("http://www.openstreetmap.org/?mlat=32.1524&amp;mlon=45.0014&amp;zoom=12#map=12/32.1524/45.0014","Maplink1")</f>
        <v>Maplink1</v>
      </c>
      <c r="AX2181" s="88" t="str">
        <f>HYPERLINK("https://www.google.iq/maps/search/+32.1524,45.0014/@32.1524,45.0014,14z?hl=en","Maplink2")</f>
        <v>Maplink2</v>
      </c>
      <c r="AY2181" s="88" t="str">
        <f>HYPERLINK("http://www.bing.com/maps/?lvl=14&amp;sty=h&amp;cp=32.1524~45.0014&amp;sp=point.32.1524_45.0014","Maplink3")</f>
        <v>Maplink3</v>
      </c>
      <c r="AZ2181" s="76"/>
    </row>
    <row r="2182" spans="1:52" x14ac:dyDescent="0.25">
      <c r="A2182" s="86">
        <v>24288</v>
      </c>
      <c r="B2182" s="87" t="s">
        <v>25</v>
      </c>
      <c r="C2182" s="87" t="s">
        <v>4197</v>
      </c>
      <c r="D2182" s="87" t="s">
        <v>209</v>
      </c>
      <c r="E2182" s="87" t="s">
        <v>1353</v>
      </c>
      <c r="F2182" s="87">
        <v>32.063236115999999</v>
      </c>
      <c r="G2182" s="87">
        <v>45.236726927100001</v>
      </c>
      <c r="H2182" s="86">
        <v>6</v>
      </c>
      <c r="I2182" s="86">
        <v>36</v>
      </c>
      <c r="J2182" s="87"/>
      <c r="K2182" s="87"/>
      <c r="L2182" s="87"/>
      <c r="M2182" s="87"/>
      <c r="N2182" s="87"/>
      <c r="O2182" s="87"/>
      <c r="P2182" s="87"/>
      <c r="Q2182" s="87"/>
      <c r="R2182" s="87">
        <v>6</v>
      </c>
      <c r="S2182" s="87"/>
      <c r="T2182" s="87"/>
      <c r="U2182" s="87"/>
      <c r="V2182" s="87"/>
      <c r="W2182" s="87"/>
      <c r="X2182" s="87"/>
      <c r="Y2182" s="87"/>
      <c r="Z2182" s="87"/>
      <c r="AA2182" s="87"/>
      <c r="AB2182" s="87"/>
      <c r="AC2182" s="87">
        <v>2</v>
      </c>
      <c r="AD2182" s="87"/>
      <c r="AE2182" s="87"/>
      <c r="AF2182" s="87"/>
      <c r="AG2182" s="87"/>
      <c r="AH2182" s="87">
        <v>4</v>
      </c>
      <c r="AI2182" s="87"/>
      <c r="AJ2182" s="87"/>
      <c r="AK2182" s="87"/>
      <c r="AL2182" s="87"/>
      <c r="AM2182" s="87"/>
      <c r="AN2182" s="87"/>
      <c r="AO2182" s="87">
        <v>6</v>
      </c>
      <c r="AP2182" s="87"/>
      <c r="AQ2182" s="87"/>
      <c r="AR2182" s="87"/>
      <c r="AS2182" s="87"/>
      <c r="AT2182" s="87"/>
      <c r="AU2182" s="87"/>
      <c r="AV2182" s="87"/>
      <c r="AW2182" s="88" t="str">
        <f>HYPERLINK("http://www.openstreetmap.org/?mlat=32.0632&amp;mlon=45.2367&amp;zoom=12#map=12/32.0632/45.2367","Maplink1")</f>
        <v>Maplink1</v>
      </c>
      <c r="AX2182" s="88" t="str">
        <f>HYPERLINK("https://www.google.iq/maps/search/+32.0632,45.2367/@32.0632,45.2367,14z?hl=en","Maplink2")</f>
        <v>Maplink2</v>
      </c>
      <c r="AY2182" s="88" t="str">
        <f>HYPERLINK("http://www.bing.com/maps/?lvl=14&amp;sty=h&amp;cp=32.0632~45.2367&amp;sp=point.32.0632_45.2367","Maplink3")</f>
        <v>Maplink3</v>
      </c>
      <c r="AZ2182" s="76"/>
    </row>
    <row r="2183" spans="1:52" x14ac:dyDescent="0.25">
      <c r="A2183" s="86">
        <v>3362</v>
      </c>
      <c r="B2183" s="87" t="s">
        <v>25</v>
      </c>
      <c r="C2183" s="87" t="s">
        <v>4197</v>
      </c>
      <c r="D2183" s="87" t="s">
        <v>213</v>
      </c>
      <c r="E2183" s="87" t="s">
        <v>214</v>
      </c>
      <c r="F2183" s="87">
        <v>32.066068836299998</v>
      </c>
      <c r="G2183" s="87">
        <v>45.2406862068</v>
      </c>
      <c r="H2183" s="86">
        <v>9</v>
      </c>
      <c r="I2183" s="86">
        <v>54</v>
      </c>
      <c r="J2183" s="87"/>
      <c r="K2183" s="87"/>
      <c r="L2183" s="87"/>
      <c r="M2183" s="87"/>
      <c r="N2183" s="87"/>
      <c r="O2183" s="87"/>
      <c r="P2183" s="87"/>
      <c r="Q2183" s="87"/>
      <c r="R2183" s="87">
        <v>1</v>
      </c>
      <c r="S2183" s="87"/>
      <c r="T2183" s="87"/>
      <c r="U2183" s="87"/>
      <c r="V2183" s="87">
        <v>8</v>
      </c>
      <c r="W2183" s="87"/>
      <c r="X2183" s="87"/>
      <c r="Y2183" s="87"/>
      <c r="Z2183" s="87"/>
      <c r="AA2183" s="87"/>
      <c r="AB2183" s="87"/>
      <c r="AC2183" s="87">
        <v>4</v>
      </c>
      <c r="AD2183" s="87"/>
      <c r="AE2183" s="87"/>
      <c r="AF2183" s="87"/>
      <c r="AG2183" s="87"/>
      <c r="AH2183" s="87">
        <v>5</v>
      </c>
      <c r="AI2183" s="87"/>
      <c r="AJ2183" s="87"/>
      <c r="AK2183" s="87"/>
      <c r="AL2183" s="87"/>
      <c r="AM2183" s="87"/>
      <c r="AN2183" s="87"/>
      <c r="AO2183" s="87">
        <v>3</v>
      </c>
      <c r="AP2183" s="87">
        <v>6</v>
      </c>
      <c r="AQ2183" s="87"/>
      <c r="AR2183" s="87"/>
      <c r="AS2183" s="87"/>
      <c r="AT2183" s="87"/>
      <c r="AU2183" s="87"/>
      <c r="AV2183" s="87"/>
      <c r="AW2183" s="88" t="str">
        <f>HYPERLINK("http://www.openstreetmap.org/?mlat=32.0661&amp;mlon=45.2407&amp;zoom=12#map=12/32.0661/45.2407","Maplink1")</f>
        <v>Maplink1</v>
      </c>
      <c r="AX2183" s="88" t="str">
        <f>HYPERLINK("https://www.google.iq/maps/search/+32.0661,45.2407/@32.0661,45.2407,14z?hl=en","Maplink2")</f>
        <v>Maplink2</v>
      </c>
      <c r="AY2183" s="88" t="str">
        <f>HYPERLINK("http://www.bing.com/maps/?lvl=14&amp;sty=h&amp;cp=32.0661~45.2407&amp;sp=point.32.0661_45.2407","Maplink3")</f>
        <v>Maplink3</v>
      </c>
      <c r="AZ2183" s="76"/>
    </row>
    <row r="2184" spans="1:52" x14ac:dyDescent="0.25">
      <c r="A2184" s="86">
        <v>25502</v>
      </c>
      <c r="B2184" s="87" t="s">
        <v>25</v>
      </c>
      <c r="C2184" s="87" t="s">
        <v>4197</v>
      </c>
      <c r="D2184" s="87" t="s">
        <v>1347</v>
      </c>
      <c r="E2184" s="87" t="s">
        <v>55</v>
      </c>
      <c r="F2184" s="87">
        <v>32.145112226199998</v>
      </c>
      <c r="G2184" s="87">
        <v>44.992849222899999</v>
      </c>
      <c r="H2184" s="86">
        <v>8</v>
      </c>
      <c r="I2184" s="86">
        <v>48</v>
      </c>
      <c r="J2184" s="87"/>
      <c r="K2184" s="87"/>
      <c r="L2184" s="87"/>
      <c r="M2184" s="87"/>
      <c r="N2184" s="87"/>
      <c r="O2184" s="87"/>
      <c r="P2184" s="87"/>
      <c r="Q2184" s="87"/>
      <c r="R2184" s="87"/>
      <c r="S2184" s="87"/>
      <c r="T2184" s="87"/>
      <c r="U2184" s="87"/>
      <c r="V2184" s="87">
        <v>8</v>
      </c>
      <c r="W2184" s="87"/>
      <c r="X2184" s="87"/>
      <c r="Y2184" s="87"/>
      <c r="Z2184" s="87"/>
      <c r="AA2184" s="87"/>
      <c r="AB2184" s="87"/>
      <c r="AC2184" s="87">
        <v>2</v>
      </c>
      <c r="AD2184" s="87"/>
      <c r="AE2184" s="87"/>
      <c r="AF2184" s="87"/>
      <c r="AG2184" s="87"/>
      <c r="AH2184" s="87">
        <v>6</v>
      </c>
      <c r="AI2184" s="87"/>
      <c r="AJ2184" s="87"/>
      <c r="AK2184" s="87"/>
      <c r="AL2184" s="87"/>
      <c r="AM2184" s="87"/>
      <c r="AN2184" s="87"/>
      <c r="AO2184" s="87"/>
      <c r="AP2184" s="87">
        <v>8</v>
      </c>
      <c r="AQ2184" s="87"/>
      <c r="AR2184" s="87"/>
      <c r="AS2184" s="87"/>
      <c r="AT2184" s="87"/>
      <c r="AU2184" s="87"/>
      <c r="AV2184" s="87"/>
      <c r="AW2184" s="88" t="str">
        <f>HYPERLINK("http://www.openstreetmap.org/?mlat=32.1451&amp;mlon=44.9928&amp;zoom=12#map=12/32.1451/44.9928","Maplink1")</f>
        <v>Maplink1</v>
      </c>
      <c r="AX2184" s="88" t="str">
        <f>HYPERLINK("https://www.google.iq/maps/search/+32.1451,44.9928/@32.1451,44.9928,14z?hl=en","Maplink2")</f>
        <v>Maplink2</v>
      </c>
      <c r="AY2184" s="88" t="str">
        <f>HYPERLINK("http://www.bing.com/maps/?lvl=14&amp;sty=h&amp;cp=32.1451~44.9928&amp;sp=point.32.1451_44.9928","Maplink3")</f>
        <v>Maplink3</v>
      </c>
      <c r="AZ2184" s="76"/>
    </row>
    <row r="2185" spans="1:52" x14ac:dyDescent="0.25">
      <c r="A2185" s="86">
        <v>24488</v>
      </c>
      <c r="B2185" s="87" t="s">
        <v>25</v>
      </c>
      <c r="C2185" s="87" t="s">
        <v>4197</v>
      </c>
      <c r="D2185" s="87" t="s">
        <v>4208</v>
      </c>
      <c r="E2185" s="87" t="s">
        <v>3460</v>
      </c>
      <c r="F2185" s="87">
        <v>32.149690255700001</v>
      </c>
      <c r="G2185" s="87">
        <v>44.995358897000003</v>
      </c>
      <c r="H2185" s="86">
        <v>7</v>
      </c>
      <c r="I2185" s="86">
        <v>42</v>
      </c>
      <c r="J2185" s="87"/>
      <c r="K2185" s="87"/>
      <c r="L2185" s="87"/>
      <c r="M2185" s="87"/>
      <c r="N2185" s="87"/>
      <c r="O2185" s="87"/>
      <c r="P2185" s="87"/>
      <c r="Q2185" s="87"/>
      <c r="R2185" s="87"/>
      <c r="S2185" s="87"/>
      <c r="T2185" s="87"/>
      <c r="U2185" s="87"/>
      <c r="V2185" s="87">
        <v>7</v>
      </c>
      <c r="W2185" s="87"/>
      <c r="X2185" s="87"/>
      <c r="Y2185" s="87"/>
      <c r="Z2185" s="87"/>
      <c r="AA2185" s="87"/>
      <c r="AB2185" s="87"/>
      <c r="AC2185" s="87">
        <v>2</v>
      </c>
      <c r="AD2185" s="87"/>
      <c r="AE2185" s="87"/>
      <c r="AF2185" s="87"/>
      <c r="AG2185" s="87"/>
      <c r="AH2185" s="87">
        <v>5</v>
      </c>
      <c r="AI2185" s="87"/>
      <c r="AJ2185" s="87"/>
      <c r="AK2185" s="87"/>
      <c r="AL2185" s="87"/>
      <c r="AM2185" s="87"/>
      <c r="AN2185" s="87"/>
      <c r="AO2185" s="87"/>
      <c r="AP2185" s="87">
        <v>7</v>
      </c>
      <c r="AQ2185" s="87"/>
      <c r="AR2185" s="87"/>
      <c r="AS2185" s="87"/>
      <c r="AT2185" s="87"/>
      <c r="AU2185" s="87"/>
      <c r="AV2185" s="87"/>
      <c r="AW2185" s="88" t="str">
        <f>HYPERLINK("http://www.openstreetmap.org/?mlat=32.1497&amp;mlon=44.9954&amp;zoom=12#map=12/32.1497/44.9954","Maplink1")</f>
        <v>Maplink1</v>
      </c>
      <c r="AX2185" s="88" t="str">
        <f>HYPERLINK("https://www.google.iq/maps/search/+32.1497,44.9954/@32.1497,44.9954,14z?hl=en","Maplink2")</f>
        <v>Maplink2</v>
      </c>
      <c r="AY2185" s="88" t="str">
        <f>HYPERLINK("http://www.bing.com/maps/?lvl=14&amp;sty=h&amp;cp=32.1497~44.9954&amp;sp=point.32.1497_44.9954","Maplink3")</f>
        <v>Maplink3</v>
      </c>
      <c r="AZ2185" s="76"/>
    </row>
    <row r="2186" spans="1:52" x14ac:dyDescent="0.25">
      <c r="A2186" s="86">
        <v>25382</v>
      </c>
      <c r="B2186" s="87" t="s">
        <v>25</v>
      </c>
      <c r="C2186" s="87" t="s">
        <v>4197</v>
      </c>
      <c r="D2186" s="87" t="s">
        <v>4209</v>
      </c>
      <c r="E2186" s="87" t="s">
        <v>307</v>
      </c>
      <c r="F2186" s="87">
        <v>32.0627755943</v>
      </c>
      <c r="G2186" s="87">
        <v>45.254619524100001</v>
      </c>
      <c r="H2186" s="86">
        <v>10</v>
      </c>
      <c r="I2186" s="86">
        <v>60</v>
      </c>
      <c r="J2186" s="87"/>
      <c r="K2186" s="87"/>
      <c r="L2186" s="87"/>
      <c r="M2186" s="87"/>
      <c r="N2186" s="87"/>
      <c r="O2186" s="87"/>
      <c r="P2186" s="87"/>
      <c r="Q2186" s="87"/>
      <c r="R2186" s="87">
        <v>1</v>
      </c>
      <c r="S2186" s="87"/>
      <c r="T2186" s="87"/>
      <c r="U2186" s="87"/>
      <c r="V2186" s="87">
        <v>9</v>
      </c>
      <c r="W2186" s="87"/>
      <c r="X2186" s="87"/>
      <c r="Y2186" s="87"/>
      <c r="Z2186" s="87"/>
      <c r="AA2186" s="87"/>
      <c r="AB2186" s="87"/>
      <c r="AC2186" s="87">
        <v>4</v>
      </c>
      <c r="AD2186" s="87"/>
      <c r="AE2186" s="87"/>
      <c r="AF2186" s="87"/>
      <c r="AG2186" s="87">
        <v>2</v>
      </c>
      <c r="AH2186" s="87">
        <v>4</v>
      </c>
      <c r="AI2186" s="87"/>
      <c r="AJ2186" s="87"/>
      <c r="AK2186" s="87"/>
      <c r="AL2186" s="87"/>
      <c r="AM2186" s="87"/>
      <c r="AN2186" s="87"/>
      <c r="AO2186" s="87">
        <v>7</v>
      </c>
      <c r="AP2186" s="87">
        <v>3</v>
      </c>
      <c r="AQ2186" s="87"/>
      <c r="AR2186" s="87"/>
      <c r="AS2186" s="87"/>
      <c r="AT2186" s="87"/>
      <c r="AU2186" s="87"/>
      <c r="AV2186" s="87"/>
      <c r="AW2186" s="88" t="str">
        <f>HYPERLINK("http://www.openstreetmap.org/?mlat=32.0628&amp;mlon=45.2546&amp;zoom=12#map=12/32.0628/45.2546","Maplink1")</f>
        <v>Maplink1</v>
      </c>
      <c r="AX2186" s="88" t="str">
        <f>HYPERLINK("https://www.google.iq/maps/search/+32.0628,45.2546/@32.0628,45.2546,14z?hl=en","Maplink2")</f>
        <v>Maplink2</v>
      </c>
      <c r="AY2186" s="88" t="str">
        <f>HYPERLINK("http://www.bing.com/maps/?lvl=14&amp;sty=h&amp;cp=32.0628~45.2546&amp;sp=point.32.0628_45.2546","Maplink3")</f>
        <v>Maplink3</v>
      </c>
      <c r="AZ2186" s="76"/>
    </row>
    <row r="2187" spans="1:52" x14ac:dyDescent="0.25">
      <c r="A2187" s="86">
        <v>2802</v>
      </c>
      <c r="B2187" s="87" t="s">
        <v>25</v>
      </c>
      <c r="C2187" s="87" t="s">
        <v>4197</v>
      </c>
      <c r="D2187" s="87" t="s">
        <v>4210</v>
      </c>
      <c r="E2187" s="87" t="s">
        <v>3354</v>
      </c>
      <c r="F2187" s="87">
        <v>31.973435632000001</v>
      </c>
      <c r="G2187" s="87">
        <v>45.413404221900002</v>
      </c>
      <c r="H2187" s="86">
        <v>10</v>
      </c>
      <c r="I2187" s="86">
        <v>60</v>
      </c>
      <c r="J2187" s="87"/>
      <c r="K2187" s="87"/>
      <c r="L2187" s="87"/>
      <c r="M2187" s="87"/>
      <c r="N2187" s="87"/>
      <c r="O2187" s="87"/>
      <c r="P2187" s="87"/>
      <c r="Q2187" s="87"/>
      <c r="R2187" s="87">
        <v>10</v>
      </c>
      <c r="S2187" s="87"/>
      <c r="T2187" s="87"/>
      <c r="U2187" s="87"/>
      <c r="V2187" s="87"/>
      <c r="W2187" s="87"/>
      <c r="X2187" s="87"/>
      <c r="Y2187" s="87"/>
      <c r="Z2187" s="87"/>
      <c r="AA2187" s="87"/>
      <c r="AB2187" s="87"/>
      <c r="AC2187" s="87">
        <v>3</v>
      </c>
      <c r="AD2187" s="87"/>
      <c r="AE2187" s="87"/>
      <c r="AF2187" s="87"/>
      <c r="AG2187" s="87"/>
      <c r="AH2187" s="87">
        <v>7</v>
      </c>
      <c r="AI2187" s="87"/>
      <c r="AJ2187" s="87"/>
      <c r="AK2187" s="87"/>
      <c r="AL2187" s="87"/>
      <c r="AM2187" s="87"/>
      <c r="AN2187" s="87"/>
      <c r="AO2187" s="87">
        <v>10</v>
      </c>
      <c r="AP2187" s="87"/>
      <c r="AQ2187" s="87"/>
      <c r="AR2187" s="87"/>
      <c r="AS2187" s="87"/>
      <c r="AT2187" s="87"/>
      <c r="AU2187" s="87"/>
      <c r="AV2187" s="87"/>
      <c r="AW2187" s="88" t="str">
        <f>HYPERLINK("http://www.openstreetmap.org/?mlat=31.9734&amp;mlon=45.4134&amp;zoom=12#map=12/31.9734/45.4134","Maplink1")</f>
        <v>Maplink1</v>
      </c>
      <c r="AX2187" s="88" t="str">
        <f>HYPERLINK("https://www.google.iq/maps/search/+31.9734,45.4134/@31.9734,45.4134,14z?hl=en","Maplink2")</f>
        <v>Maplink2</v>
      </c>
      <c r="AY2187" s="88" t="str">
        <f>HYPERLINK("http://www.bing.com/maps/?lvl=14&amp;sty=h&amp;cp=31.9734~45.4134&amp;sp=point.31.9734_45.4134","Maplink3")</f>
        <v>Maplink3</v>
      </c>
      <c r="AZ2187" s="76"/>
    </row>
    <row r="2188" spans="1:52" x14ac:dyDescent="0.25">
      <c r="A2188" s="86">
        <v>25378</v>
      </c>
      <c r="B2188" s="87" t="s">
        <v>25</v>
      </c>
      <c r="C2188" s="87" t="s">
        <v>4197</v>
      </c>
      <c r="D2188" s="87" t="s">
        <v>4211</v>
      </c>
      <c r="E2188" s="87" t="s">
        <v>4212</v>
      </c>
      <c r="F2188" s="87">
        <v>31.977928876899998</v>
      </c>
      <c r="G2188" s="87">
        <v>45.397140644700002</v>
      </c>
      <c r="H2188" s="86">
        <v>13</v>
      </c>
      <c r="I2188" s="86">
        <v>78</v>
      </c>
      <c r="J2188" s="87"/>
      <c r="K2188" s="87"/>
      <c r="L2188" s="87"/>
      <c r="M2188" s="87"/>
      <c r="N2188" s="87"/>
      <c r="O2188" s="87"/>
      <c r="P2188" s="87"/>
      <c r="Q2188" s="87"/>
      <c r="R2188" s="87">
        <v>13</v>
      </c>
      <c r="S2188" s="87"/>
      <c r="T2188" s="87"/>
      <c r="U2188" s="87"/>
      <c r="V2188" s="87"/>
      <c r="W2188" s="87"/>
      <c r="X2188" s="87"/>
      <c r="Y2188" s="87"/>
      <c r="Z2188" s="87"/>
      <c r="AA2188" s="87"/>
      <c r="AB2188" s="87"/>
      <c r="AC2188" s="87">
        <v>6</v>
      </c>
      <c r="AD2188" s="87"/>
      <c r="AE2188" s="87"/>
      <c r="AF2188" s="87"/>
      <c r="AG2188" s="87"/>
      <c r="AH2188" s="87">
        <v>7</v>
      </c>
      <c r="AI2188" s="87"/>
      <c r="AJ2188" s="87"/>
      <c r="AK2188" s="87"/>
      <c r="AL2188" s="87"/>
      <c r="AM2188" s="87"/>
      <c r="AN2188" s="87"/>
      <c r="AO2188" s="87">
        <v>5</v>
      </c>
      <c r="AP2188" s="87">
        <v>8</v>
      </c>
      <c r="AQ2188" s="87"/>
      <c r="AR2188" s="87"/>
      <c r="AS2188" s="87"/>
      <c r="AT2188" s="87"/>
      <c r="AU2188" s="87"/>
      <c r="AV2188" s="87"/>
      <c r="AW2188" s="88" t="str">
        <f>HYPERLINK("http://www.openstreetmap.org/?mlat=31.9779&amp;mlon=45.3971&amp;zoom=12#map=12/31.9779/45.3971","Maplink1")</f>
        <v>Maplink1</v>
      </c>
      <c r="AX2188" s="88" t="str">
        <f>HYPERLINK("https://www.google.iq/maps/search/+31.9779,45.3971/@31.9779,45.3971,14z?hl=en","Maplink2")</f>
        <v>Maplink2</v>
      </c>
      <c r="AY2188" s="88" t="str">
        <f>HYPERLINK("http://www.bing.com/maps/?lvl=14&amp;sty=h&amp;cp=31.9779~45.3971&amp;sp=point.31.9779_45.3971","Maplink3")</f>
        <v>Maplink3</v>
      </c>
      <c r="AZ2188" s="76"/>
    </row>
    <row r="2189" spans="1:52" x14ac:dyDescent="0.25">
      <c r="A2189" s="86">
        <v>2795</v>
      </c>
      <c r="B2189" s="87" t="s">
        <v>25</v>
      </c>
      <c r="C2189" s="87" t="s">
        <v>4197</v>
      </c>
      <c r="D2189" s="87" t="s">
        <v>4213</v>
      </c>
      <c r="E2189" s="87" t="s">
        <v>4214</v>
      </c>
      <c r="F2189" s="87">
        <v>31.972498870500001</v>
      </c>
      <c r="G2189" s="87">
        <v>45.410049754500001</v>
      </c>
      <c r="H2189" s="86">
        <v>9</v>
      </c>
      <c r="I2189" s="86">
        <v>54</v>
      </c>
      <c r="J2189" s="87"/>
      <c r="K2189" s="87"/>
      <c r="L2189" s="87"/>
      <c r="M2189" s="87"/>
      <c r="N2189" s="87"/>
      <c r="O2189" s="87"/>
      <c r="P2189" s="87"/>
      <c r="Q2189" s="87"/>
      <c r="R2189" s="87">
        <v>9</v>
      </c>
      <c r="S2189" s="87"/>
      <c r="T2189" s="87"/>
      <c r="U2189" s="87"/>
      <c r="V2189" s="87"/>
      <c r="W2189" s="87"/>
      <c r="X2189" s="87"/>
      <c r="Y2189" s="87"/>
      <c r="Z2189" s="87"/>
      <c r="AA2189" s="87"/>
      <c r="AB2189" s="87"/>
      <c r="AC2189" s="87">
        <v>1</v>
      </c>
      <c r="AD2189" s="87"/>
      <c r="AE2189" s="87"/>
      <c r="AF2189" s="87"/>
      <c r="AG2189" s="87"/>
      <c r="AH2189" s="87">
        <v>8</v>
      </c>
      <c r="AI2189" s="87"/>
      <c r="AJ2189" s="87"/>
      <c r="AK2189" s="87"/>
      <c r="AL2189" s="87"/>
      <c r="AM2189" s="87"/>
      <c r="AN2189" s="87"/>
      <c r="AO2189" s="87">
        <v>6</v>
      </c>
      <c r="AP2189" s="87">
        <v>3</v>
      </c>
      <c r="AQ2189" s="87"/>
      <c r="AR2189" s="87"/>
      <c r="AS2189" s="87"/>
      <c r="AT2189" s="87"/>
      <c r="AU2189" s="87"/>
      <c r="AV2189" s="87"/>
      <c r="AW2189" s="88" t="str">
        <f>HYPERLINK("http://www.openstreetmap.org/?mlat=31.9725&amp;mlon=45.41&amp;zoom=12#map=12/31.9725/45.41","Maplink1")</f>
        <v>Maplink1</v>
      </c>
      <c r="AX2189" s="88" t="str">
        <f>HYPERLINK("https://www.google.iq/maps/search/+31.9725,45.41/@31.9725,45.41,14z?hl=en","Maplink2")</f>
        <v>Maplink2</v>
      </c>
      <c r="AY2189" s="88" t="str">
        <f>HYPERLINK("http://www.bing.com/maps/?lvl=14&amp;sty=h&amp;cp=31.9725~45.41&amp;sp=point.31.9725_45.41","Maplink3")</f>
        <v>Maplink3</v>
      </c>
      <c r="AZ2189" s="76"/>
    </row>
    <row r="2190" spans="1:52" x14ac:dyDescent="0.25">
      <c r="A2190" s="86">
        <v>25369</v>
      </c>
      <c r="B2190" s="87" t="s">
        <v>25</v>
      </c>
      <c r="C2190" s="87" t="s">
        <v>4197</v>
      </c>
      <c r="D2190" s="87" t="s">
        <v>165</v>
      </c>
      <c r="E2190" s="87" t="s">
        <v>74</v>
      </c>
      <c r="F2190" s="87">
        <v>31.980262985500001</v>
      </c>
      <c r="G2190" s="87">
        <v>45.408130402899999</v>
      </c>
      <c r="H2190" s="86">
        <v>14</v>
      </c>
      <c r="I2190" s="86">
        <v>84</v>
      </c>
      <c r="J2190" s="87"/>
      <c r="K2190" s="87"/>
      <c r="L2190" s="87"/>
      <c r="M2190" s="87"/>
      <c r="N2190" s="87"/>
      <c r="O2190" s="87"/>
      <c r="P2190" s="87"/>
      <c r="Q2190" s="87"/>
      <c r="R2190" s="87">
        <v>14</v>
      </c>
      <c r="S2190" s="87"/>
      <c r="T2190" s="87"/>
      <c r="U2190" s="87"/>
      <c r="V2190" s="87"/>
      <c r="W2190" s="87"/>
      <c r="X2190" s="87"/>
      <c r="Y2190" s="87"/>
      <c r="Z2190" s="87"/>
      <c r="AA2190" s="87"/>
      <c r="AB2190" s="87"/>
      <c r="AC2190" s="87">
        <v>5</v>
      </c>
      <c r="AD2190" s="87"/>
      <c r="AE2190" s="87"/>
      <c r="AF2190" s="87"/>
      <c r="AG2190" s="87"/>
      <c r="AH2190" s="87">
        <v>9</v>
      </c>
      <c r="AI2190" s="87"/>
      <c r="AJ2190" s="87"/>
      <c r="AK2190" s="87"/>
      <c r="AL2190" s="87"/>
      <c r="AM2190" s="87"/>
      <c r="AN2190" s="87"/>
      <c r="AO2190" s="87">
        <v>2</v>
      </c>
      <c r="AP2190" s="87">
        <v>12</v>
      </c>
      <c r="AQ2190" s="87"/>
      <c r="AR2190" s="87"/>
      <c r="AS2190" s="87"/>
      <c r="AT2190" s="87"/>
      <c r="AU2190" s="87"/>
      <c r="AV2190" s="87"/>
      <c r="AW2190" s="88" t="str">
        <f>HYPERLINK("http://www.openstreetmap.org/?mlat=31.9803&amp;mlon=45.4081&amp;zoom=12#map=12/31.9803/45.4081","Maplink1")</f>
        <v>Maplink1</v>
      </c>
      <c r="AX2190" s="88" t="str">
        <f>HYPERLINK("https://www.google.iq/maps/search/+31.9803,45.4081/@31.9803,45.4081,14z?hl=en","Maplink2")</f>
        <v>Maplink2</v>
      </c>
      <c r="AY2190" s="88" t="str">
        <f>HYPERLINK("http://www.bing.com/maps/?lvl=14&amp;sty=h&amp;cp=31.9803~45.4081&amp;sp=point.31.9803_45.4081","Maplink3")</f>
        <v>Maplink3</v>
      </c>
      <c r="AZ2190" s="76"/>
    </row>
    <row r="2191" spans="1:52" x14ac:dyDescent="0.25">
      <c r="A2191" s="86">
        <v>25374</v>
      </c>
      <c r="B2191" s="87" t="s">
        <v>25</v>
      </c>
      <c r="C2191" s="87" t="s">
        <v>4197</v>
      </c>
      <c r="D2191" s="87" t="s">
        <v>4216</v>
      </c>
      <c r="E2191" s="87" t="s">
        <v>4217</v>
      </c>
      <c r="F2191" s="87">
        <v>31.980105824799999</v>
      </c>
      <c r="G2191" s="87">
        <v>45.414296212499998</v>
      </c>
      <c r="H2191" s="86">
        <v>18</v>
      </c>
      <c r="I2191" s="86">
        <v>108</v>
      </c>
      <c r="J2191" s="87"/>
      <c r="K2191" s="87"/>
      <c r="L2191" s="87"/>
      <c r="M2191" s="87"/>
      <c r="N2191" s="87"/>
      <c r="O2191" s="87"/>
      <c r="P2191" s="87"/>
      <c r="Q2191" s="87"/>
      <c r="R2191" s="87">
        <v>18</v>
      </c>
      <c r="S2191" s="87"/>
      <c r="T2191" s="87"/>
      <c r="U2191" s="87"/>
      <c r="V2191" s="87"/>
      <c r="W2191" s="87"/>
      <c r="X2191" s="87"/>
      <c r="Y2191" s="87"/>
      <c r="Z2191" s="87"/>
      <c r="AA2191" s="87"/>
      <c r="AB2191" s="87"/>
      <c r="AC2191" s="87">
        <v>6</v>
      </c>
      <c r="AD2191" s="87"/>
      <c r="AE2191" s="87"/>
      <c r="AF2191" s="87"/>
      <c r="AG2191" s="87"/>
      <c r="AH2191" s="87">
        <v>12</v>
      </c>
      <c r="AI2191" s="87"/>
      <c r="AJ2191" s="87"/>
      <c r="AK2191" s="87"/>
      <c r="AL2191" s="87"/>
      <c r="AM2191" s="87"/>
      <c r="AN2191" s="87"/>
      <c r="AO2191" s="87">
        <v>4</v>
      </c>
      <c r="AP2191" s="87">
        <v>14</v>
      </c>
      <c r="AQ2191" s="87"/>
      <c r="AR2191" s="87"/>
      <c r="AS2191" s="87"/>
      <c r="AT2191" s="87"/>
      <c r="AU2191" s="87"/>
      <c r="AV2191" s="87"/>
      <c r="AW2191" s="88" t="str">
        <f>HYPERLINK("http://www.openstreetmap.org/?mlat=31.9801&amp;mlon=45.4143&amp;zoom=12#map=12/31.9801/45.4143","Maplink1")</f>
        <v>Maplink1</v>
      </c>
      <c r="AX2191" s="88" t="str">
        <f>HYPERLINK("https://www.google.iq/maps/search/+31.9801,45.4143/@31.9801,45.4143,14z?hl=en","Maplink2")</f>
        <v>Maplink2</v>
      </c>
      <c r="AY2191" s="88" t="str">
        <f>HYPERLINK("http://www.bing.com/maps/?lvl=14&amp;sty=h&amp;cp=31.9801~45.4143&amp;sp=point.31.9801_45.4143","Maplink3")</f>
        <v>Maplink3</v>
      </c>
      <c r="AZ2191" s="76"/>
    </row>
    <row r="2192" spans="1:52" x14ac:dyDescent="0.25">
      <c r="A2192" s="86">
        <v>25858</v>
      </c>
      <c r="B2192" s="87" t="s">
        <v>25</v>
      </c>
      <c r="C2192" s="87" t="s">
        <v>4218</v>
      </c>
      <c r="D2192" s="87" t="s">
        <v>4219</v>
      </c>
      <c r="E2192" s="87" t="s">
        <v>4220</v>
      </c>
      <c r="F2192" s="87">
        <v>31.739036483500001</v>
      </c>
      <c r="G2192" s="87">
        <v>44.602483103700003</v>
      </c>
      <c r="H2192" s="86">
        <v>7</v>
      </c>
      <c r="I2192" s="86">
        <v>42</v>
      </c>
      <c r="J2192" s="87"/>
      <c r="K2192" s="87"/>
      <c r="L2192" s="87"/>
      <c r="M2192" s="87"/>
      <c r="N2192" s="87"/>
      <c r="O2192" s="87"/>
      <c r="P2192" s="87"/>
      <c r="Q2192" s="87"/>
      <c r="R2192" s="87"/>
      <c r="S2192" s="87"/>
      <c r="T2192" s="87"/>
      <c r="U2192" s="87"/>
      <c r="V2192" s="87">
        <v>7</v>
      </c>
      <c r="W2192" s="87"/>
      <c r="X2192" s="87"/>
      <c r="Y2192" s="87"/>
      <c r="Z2192" s="87"/>
      <c r="AA2192" s="87"/>
      <c r="AB2192" s="87"/>
      <c r="AC2192" s="87">
        <v>3</v>
      </c>
      <c r="AD2192" s="87"/>
      <c r="AE2192" s="87"/>
      <c r="AF2192" s="87"/>
      <c r="AG2192" s="87"/>
      <c r="AH2192" s="87">
        <v>4</v>
      </c>
      <c r="AI2192" s="87"/>
      <c r="AJ2192" s="87"/>
      <c r="AK2192" s="87"/>
      <c r="AL2192" s="87"/>
      <c r="AM2192" s="87"/>
      <c r="AN2192" s="87"/>
      <c r="AO2192" s="87">
        <v>3</v>
      </c>
      <c r="AP2192" s="87">
        <v>4</v>
      </c>
      <c r="AQ2192" s="87"/>
      <c r="AR2192" s="87"/>
      <c r="AS2192" s="87"/>
      <c r="AT2192" s="87"/>
      <c r="AU2192" s="87"/>
      <c r="AV2192" s="87"/>
      <c r="AW2192" s="88" t="str">
        <f>HYPERLINK("http://www.openstreetmap.org/?mlat=31.739&amp;mlon=44.6025&amp;zoom=12#map=12/31.739/44.6025","Maplink1")</f>
        <v>Maplink1</v>
      </c>
      <c r="AX2192" s="88" t="str">
        <f>HYPERLINK("https://www.google.iq/maps/search/+31.739,44.6025/@31.739,44.6025,14z?hl=en","Maplink2")</f>
        <v>Maplink2</v>
      </c>
      <c r="AY2192" s="88" t="str">
        <f>HYPERLINK("http://www.bing.com/maps/?lvl=14&amp;sty=h&amp;cp=31.739~44.6025&amp;sp=point.31.739_44.6025","Maplink3")</f>
        <v>Maplink3</v>
      </c>
      <c r="AZ2192" s="76"/>
    </row>
    <row r="2193" spans="1:52" x14ac:dyDescent="0.25">
      <c r="A2193" s="86">
        <v>2459</v>
      </c>
      <c r="B2193" s="87" t="s">
        <v>25</v>
      </c>
      <c r="C2193" s="87" t="s">
        <v>4218</v>
      </c>
      <c r="D2193" s="87" t="s">
        <v>4221</v>
      </c>
      <c r="E2193" s="87" t="s">
        <v>4222</v>
      </c>
      <c r="F2193" s="87">
        <v>31.764051019699998</v>
      </c>
      <c r="G2193" s="87">
        <v>44.608678089999998</v>
      </c>
      <c r="H2193" s="86">
        <v>5</v>
      </c>
      <c r="I2193" s="86">
        <v>30</v>
      </c>
      <c r="J2193" s="87"/>
      <c r="K2193" s="87"/>
      <c r="L2193" s="87"/>
      <c r="M2193" s="87"/>
      <c r="N2193" s="87"/>
      <c r="O2193" s="87"/>
      <c r="P2193" s="87"/>
      <c r="Q2193" s="87"/>
      <c r="R2193" s="87"/>
      <c r="S2193" s="87"/>
      <c r="T2193" s="87"/>
      <c r="U2193" s="87"/>
      <c r="V2193" s="87">
        <v>5</v>
      </c>
      <c r="W2193" s="87"/>
      <c r="X2193" s="87"/>
      <c r="Y2193" s="87"/>
      <c r="Z2193" s="87"/>
      <c r="AA2193" s="87"/>
      <c r="AB2193" s="87"/>
      <c r="AC2193" s="87">
        <v>2</v>
      </c>
      <c r="AD2193" s="87"/>
      <c r="AE2193" s="87"/>
      <c r="AF2193" s="87"/>
      <c r="AG2193" s="87"/>
      <c r="AH2193" s="87">
        <v>3</v>
      </c>
      <c r="AI2193" s="87"/>
      <c r="AJ2193" s="87"/>
      <c r="AK2193" s="87"/>
      <c r="AL2193" s="87"/>
      <c r="AM2193" s="87"/>
      <c r="AN2193" s="87"/>
      <c r="AO2193" s="87">
        <v>5</v>
      </c>
      <c r="AP2193" s="87"/>
      <c r="AQ2193" s="87"/>
      <c r="AR2193" s="87"/>
      <c r="AS2193" s="87"/>
      <c r="AT2193" s="87"/>
      <c r="AU2193" s="87"/>
      <c r="AV2193" s="87"/>
      <c r="AW2193" s="88" t="str">
        <f>HYPERLINK("http://www.openstreetmap.org/?mlat=31.7641&amp;mlon=44.6087&amp;zoom=12#map=12/31.7641/44.6087","Maplink1")</f>
        <v>Maplink1</v>
      </c>
      <c r="AX2193" s="88" t="str">
        <f>HYPERLINK("https://www.google.iq/maps/search/+31.7641,44.6087/@31.7641,44.6087,14z?hl=en","Maplink2")</f>
        <v>Maplink2</v>
      </c>
      <c r="AY2193" s="88" t="str">
        <f>HYPERLINK("http://www.bing.com/maps/?lvl=14&amp;sty=h&amp;cp=31.7641~44.6087&amp;sp=point.31.7641_44.6087","Maplink3")</f>
        <v>Maplink3</v>
      </c>
      <c r="AZ2193" s="76"/>
    </row>
    <row r="2194" spans="1:52" x14ac:dyDescent="0.25">
      <c r="A2194" s="86">
        <v>22593</v>
      </c>
      <c r="B2194" s="87" t="s">
        <v>25</v>
      </c>
      <c r="C2194" s="87" t="s">
        <v>4218</v>
      </c>
      <c r="D2194" s="87" t="s">
        <v>4223</v>
      </c>
      <c r="E2194" s="87" t="s">
        <v>4224</v>
      </c>
      <c r="F2194" s="87">
        <v>31.747449065200001</v>
      </c>
      <c r="G2194" s="87">
        <v>44.613278120499999</v>
      </c>
      <c r="H2194" s="86">
        <v>10</v>
      </c>
      <c r="I2194" s="86">
        <v>60</v>
      </c>
      <c r="J2194" s="87"/>
      <c r="K2194" s="87"/>
      <c r="L2194" s="87"/>
      <c r="M2194" s="87"/>
      <c r="N2194" s="87"/>
      <c r="O2194" s="87"/>
      <c r="P2194" s="87"/>
      <c r="Q2194" s="87"/>
      <c r="R2194" s="87"/>
      <c r="S2194" s="87"/>
      <c r="T2194" s="87"/>
      <c r="U2194" s="87"/>
      <c r="V2194" s="87">
        <v>10</v>
      </c>
      <c r="W2194" s="87"/>
      <c r="X2194" s="87"/>
      <c r="Y2194" s="87"/>
      <c r="Z2194" s="87"/>
      <c r="AA2194" s="87"/>
      <c r="AB2194" s="87"/>
      <c r="AC2194" s="87">
        <v>4</v>
      </c>
      <c r="AD2194" s="87"/>
      <c r="AE2194" s="87"/>
      <c r="AF2194" s="87"/>
      <c r="AG2194" s="87">
        <v>2</v>
      </c>
      <c r="AH2194" s="87">
        <v>4</v>
      </c>
      <c r="AI2194" s="87"/>
      <c r="AJ2194" s="87"/>
      <c r="AK2194" s="87"/>
      <c r="AL2194" s="87"/>
      <c r="AM2194" s="87"/>
      <c r="AN2194" s="87"/>
      <c r="AO2194" s="87"/>
      <c r="AP2194" s="87">
        <v>10</v>
      </c>
      <c r="AQ2194" s="87"/>
      <c r="AR2194" s="87"/>
      <c r="AS2194" s="87"/>
      <c r="AT2194" s="87"/>
      <c r="AU2194" s="87"/>
      <c r="AV2194" s="87"/>
      <c r="AW2194" s="88" t="str">
        <f>HYPERLINK("http://www.openstreetmap.org/?mlat=31.7474&amp;mlon=44.6133&amp;zoom=12#map=12/31.7474/44.6133","Maplink1")</f>
        <v>Maplink1</v>
      </c>
      <c r="AX2194" s="88" t="str">
        <f>HYPERLINK("https://www.google.iq/maps/search/+31.7474,44.6133/@31.7474,44.6133,14z?hl=en","Maplink2")</f>
        <v>Maplink2</v>
      </c>
      <c r="AY2194" s="88" t="str">
        <f>HYPERLINK("http://www.bing.com/maps/?lvl=14&amp;sty=h&amp;cp=31.7474~44.6133&amp;sp=point.31.7474_44.6133","Maplink3")</f>
        <v>Maplink3</v>
      </c>
      <c r="AZ2194" s="76"/>
    </row>
    <row r="2195" spans="1:52" x14ac:dyDescent="0.25">
      <c r="A2195" s="86">
        <v>2749</v>
      </c>
      <c r="B2195" s="87" t="s">
        <v>25</v>
      </c>
      <c r="C2195" s="87" t="s">
        <v>4218</v>
      </c>
      <c r="D2195" s="87" t="s">
        <v>4225</v>
      </c>
      <c r="E2195" s="87" t="s">
        <v>4226</v>
      </c>
      <c r="F2195" s="87">
        <v>31.957248249100001</v>
      </c>
      <c r="G2195" s="87">
        <v>44.5736161349</v>
      </c>
      <c r="H2195" s="86">
        <v>10</v>
      </c>
      <c r="I2195" s="86">
        <v>60</v>
      </c>
      <c r="J2195" s="87"/>
      <c r="K2195" s="87"/>
      <c r="L2195" s="87"/>
      <c r="M2195" s="87"/>
      <c r="N2195" s="87"/>
      <c r="O2195" s="87"/>
      <c r="P2195" s="87"/>
      <c r="Q2195" s="87"/>
      <c r="R2195" s="87">
        <v>2</v>
      </c>
      <c r="S2195" s="87"/>
      <c r="T2195" s="87"/>
      <c r="U2195" s="87"/>
      <c r="V2195" s="87">
        <v>8</v>
      </c>
      <c r="W2195" s="87"/>
      <c r="X2195" s="87"/>
      <c r="Y2195" s="87"/>
      <c r="Z2195" s="87"/>
      <c r="AA2195" s="87"/>
      <c r="AB2195" s="87"/>
      <c r="AC2195" s="87"/>
      <c r="AD2195" s="87"/>
      <c r="AE2195" s="87"/>
      <c r="AF2195" s="87"/>
      <c r="AG2195" s="87">
        <v>3</v>
      </c>
      <c r="AH2195" s="87">
        <v>7</v>
      </c>
      <c r="AI2195" s="87"/>
      <c r="AJ2195" s="87"/>
      <c r="AK2195" s="87"/>
      <c r="AL2195" s="87"/>
      <c r="AM2195" s="87"/>
      <c r="AN2195" s="87"/>
      <c r="AO2195" s="87">
        <v>10</v>
      </c>
      <c r="AP2195" s="87"/>
      <c r="AQ2195" s="87"/>
      <c r="AR2195" s="87"/>
      <c r="AS2195" s="87"/>
      <c r="AT2195" s="87"/>
      <c r="AU2195" s="87"/>
      <c r="AV2195" s="87"/>
      <c r="AW2195" s="88" t="str">
        <f>HYPERLINK("http://www.openstreetmap.org/?mlat=31.9572&amp;mlon=44.5736&amp;zoom=12#map=12/31.9572/44.5736","Maplink1")</f>
        <v>Maplink1</v>
      </c>
      <c r="AX2195" s="88" t="str">
        <f>HYPERLINK("https://www.google.iq/maps/search/+31.9572,44.5736/@31.9572,44.5736,14z?hl=en","Maplink2")</f>
        <v>Maplink2</v>
      </c>
      <c r="AY2195" s="88" t="str">
        <f>HYPERLINK("http://www.bing.com/maps/?lvl=14&amp;sty=h&amp;cp=31.9572~44.5736&amp;sp=point.31.9572_44.5736","Maplink3")</f>
        <v>Maplink3</v>
      </c>
      <c r="AZ2195" s="76"/>
    </row>
    <row r="2196" spans="1:52" x14ac:dyDescent="0.25">
      <c r="A2196" s="86">
        <v>25910</v>
      </c>
      <c r="B2196" s="87" t="s">
        <v>25</v>
      </c>
      <c r="C2196" s="87" t="s">
        <v>4218</v>
      </c>
      <c r="D2196" s="87" t="s">
        <v>4209</v>
      </c>
      <c r="E2196" s="87" t="s">
        <v>307</v>
      </c>
      <c r="F2196" s="87">
        <v>32.056153722700003</v>
      </c>
      <c r="G2196" s="87">
        <v>44.5585173817</v>
      </c>
      <c r="H2196" s="86">
        <v>2</v>
      </c>
      <c r="I2196" s="86">
        <v>12</v>
      </c>
      <c r="J2196" s="87"/>
      <c r="K2196" s="87"/>
      <c r="L2196" s="87"/>
      <c r="M2196" s="87"/>
      <c r="N2196" s="87"/>
      <c r="O2196" s="87"/>
      <c r="P2196" s="87"/>
      <c r="Q2196" s="87"/>
      <c r="R2196" s="87"/>
      <c r="S2196" s="87"/>
      <c r="T2196" s="87"/>
      <c r="U2196" s="87"/>
      <c r="V2196" s="87">
        <v>2</v>
      </c>
      <c r="W2196" s="87"/>
      <c r="X2196" s="87"/>
      <c r="Y2196" s="87"/>
      <c r="Z2196" s="87"/>
      <c r="AA2196" s="87"/>
      <c r="AB2196" s="87"/>
      <c r="AC2196" s="87"/>
      <c r="AD2196" s="87"/>
      <c r="AE2196" s="87"/>
      <c r="AF2196" s="87"/>
      <c r="AG2196" s="87"/>
      <c r="AH2196" s="87">
        <v>2</v>
      </c>
      <c r="AI2196" s="87"/>
      <c r="AJ2196" s="87"/>
      <c r="AK2196" s="87"/>
      <c r="AL2196" s="87"/>
      <c r="AM2196" s="87"/>
      <c r="AN2196" s="87"/>
      <c r="AO2196" s="87"/>
      <c r="AP2196" s="87">
        <v>2</v>
      </c>
      <c r="AQ2196" s="87"/>
      <c r="AR2196" s="87"/>
      <c r="AS2196" s="87"/>
      <c r="AT2196" s="87"/>
      <c r="AU2196" s="87"/>
      <c r="AV2196" s="87"/>
      <c r="AW2196" s="88" t="str">
        <f>HYPERLINK("http://www.openstreetmap.org/?mlat=32.0562&amp;mlon=44.5585&amp;zoom=12#map=12/32.0562/44.5585","Maplink1")</f>
        <v>Maplink1</v>
      </c>
      <c r="AX2196" s="88" t="str">
        <f>HYPERLINK("https://www.google.iq/maps/search/+32.0562,44.5585/@32.0562,44.5585,14z?hl=en","Maplink2")</f>
        <v>Maplink2</v>
      </c>
      <c r="AY2196" s="88" t="str">
        <f>HYPERLINK("http://www.bing.com/maps/?lvl=14&amp;sty=h&amp;cp=32.0562~44.5585&amp;sp=point.32.0562_44.5585","Maplink3")</f>
        <v>Maplink3</v>
      </c>
      <c r="AZ2196" s="76"/>
    </row>
    <row r="2197" spans="1:52" x14ac:dyDescent="0.25">
      <c r="A2197" s="86">
        <v>2792</v>
      </c>
      <c r="B2197" s="87" t="s">
        <v>25</v>
      </c>
      <c r="C2197" s="87" t="s">
        <v>4218</v>
      </c>
      <c r="D2197" s="87" t="s">
        <v>4227</v>
      </c>
      <c r="E2197" s="87" t="s">
        <v>2367</v>
      </c>
      <c r="F2197" s="87">
        <v>31.965392189999999</v>
      </c>
      <c r="G2197" s="87">
        <v>44.600268475199996</v>
      </c>
      <c r="H2197" s="86">
        <v>8</v>
      </c>
      <c r="I2197" s="86">
        <v>48</v>
      </c>
      <c r="J2197" s="87"/>
      <c r="K2197" s="87"/>
      <c r="L2197" s="87">
        <v>5</v>
      </c>
      <c r="M2197" s="87"/>
      <c r="N2197" s="87"/>
      <c r="O2197" s="87"/>
      <c r="P2197" s="87"/>
      <c r="Q2197" s="87"/>
      <c r="R2197" s="87"/>
      <c r="S2197" s="87"/>
      <c r="T2197" s="87"/>
      <c r="U2197" s="87"/>
      <c r="V2197" s="87">
        <v>3</v>
      </c>
      <c r="W2197" s="87"/>
      <c r="X2197" s="87"/>
      <c r="Y2197" s="87"/>
      <c r="Z2197" s="87"/>
      <c r="AA2197" s="87"/>
      <c r="AB2197" s="87"/>
      <c r="AC2197" s="87">
        <v>2</v>
      </c>
      <c r="AD2197" s="87"/>
      <c r="AE2197" s="87"/>
      <c r="AF2197" s="87"/>
      <c r="AG2197" s="87"/>
      <c r="AH2197" s="87">
        <v>6</v>
      </c>
      <c r="AI2197" s="87"/>
      <c r="AJ2197" s="87"/>
      <c r="AK2197" s="87"/>
      <c r="AL2197" s="87"/>
      <c r="AM2197" s="87"/>
      <c r="AN2197" s="87"/>
      <c r="AO2197" s="87"/>
      <c r="AP2197" s="87">
        <v>3</v>
      </c>
      <c r="AQ2197" s="87">
        <v>5</v>
      </c>
      <c r="AR2197" s="87"/>
      <c r="AS2197" s="87"/>
      <c r="AT2197" s="87"/>
      <c r="AU2197" s="87"/>
      <c r="AV2197" s="87"/>
      <c r="AW2197" s="88" t="str">
        <f>HYPERLINK("http://www.openstreetmap.org/?mlat=31.9654&amp;mlon=44.6003&amp;zoom=12#map=12/31.9654/44.6003","Maplink1")</f>
        <v>Maplink1</v>
      </c>
      <c r="AX2197" s="88" t="str">
        <f>HYPERLINK("https://www.google.iq/maps/search/+31.9654,44.6003/@31.9654,44.6003,14z?hl=en","Maplink2")</f>
        <v>Maplink2</v>
      </c>
      <c r="AY2197" s="88" t="str">
        <f>HYPERLINK("http://www.bing.com/maps/?lvl=14&amp;sty=h&amp;cp=31.9654~44.6003&amp;sp=point.31.9654_44.6003","Maplink3")</f>
        <v>Maplink3</v>
      </c>
      <c r="AZ2197" s="76"/>
    </row>
    <row r="2198" spans="1:52" x14ac:dyDescent="0.25">
      <c r="A2198" s="86">
        <v>25908</v>
      </c>
      <c r="B2198" s="87" t="s">
        <v>25</v>
      </c>
      <c r="C2198" s="87" t="s">
        <v>4218</v>
      </c>
      <c r="D2198" s="87" t="s">
        <v>4211</v>
      </c>
      <c r="E2198" s="87" t="s">
        <v>4212</v>
      </c>
      <c r="F2198" s="87">
        <v>32.048472438200001</v>
      </c>
      <c r="G2198" s="87">
        <v>44.561635580000001</v>
      </c>
      <c r="H2198" s="86">
        <v>4</v>
      </c>
      <c r="I2198" s="86">
        <v>24</v>
      </c>
      <c r="J2198" s="87"/>
      <c r="K2198" s="87"/>
      <c r="L2198" s="87"/>
      <c r="M2198" s="87"/>
      <c r="N2198" s="87"/>
      <c r="O2198" s="87"/>
      <c r="P2198" s="87"/>
      <c r="Q2198" s="87"/>
      <c r="R2198" s="87"/>
      <c r="S2198" s="87"/>
      <c r="T2198" s="87"/>
      <c r="U2198" s="87"/>
      <c r="V2198" s="87">
        <v>4</v>
      </c>
      <c r="W2198" s="87"/>
      <c r="X2198" s="87"/>
      <c r="Y2198" s="87"/>
      <c r="Z2198" s="87"/>
      <c r="AA2198" s="87"/>
      <c r="AB2198" s="87"/>
      <c r="AC2198" s="87">
        <v>1</v>
      </c>
      <c r="AD2198" s="87"/>
      <c r="AE2198" s="87"/>
      <c r="AF2198" s="87"/>
      <c r="AG2198" s="87"/>
      <c r="AH2198" s="87">
        <v>3</v>
      </c>
      <c r="AI2198" s="87"/>
      <c r="AJ2198" s="87"/>
      <c r="AK2198" s="87"/>
      <c r="AL2198" s="87"/>
      <c r="AM2198" s="87"/>
      <c r="AN2198" s="87"/>
      <c r="AO2198" s="87"/>
      <c r="AP2198" s="87">
        <v>4</v>
      </c>
      <c r="AQ2198" s="87"/>
      <c r="AR2198" s="87"/>
      <c r="AS2198" s="87"/>
      <c r="AT2198" s="87"/>
      <c r="AU2198" s="87"/>
      <c r="AV2198" s="87"/>
      <c r="AW2198" s="88" t="str">
        <f>HYPERLINK("http://www.openstreetmap.org/?mlat=32.0485&amp;mlon=44.5616&amp;zoom=12#map=12/32.0485/44.5616","Maplink1")</f>
        <v>Maplink1</v>
      </c>
      <c r="AX2198" s="88" t="str">
        <f>HYPERLINK("https://www.google.iq/maps/search/+32.0485,44.5616/@32.0485,44.5616,14z?hl=en","Maplink2")</f>
        <v>Maplink2</v>
      </c>
      <c r="AY2198" s="88" t="str">
        <f>HYPERLINK("http://www.bing.com/maps/?lvl=14&amp;sty=h&amp;cp=32.0485~44.5616&amp;sp=point.32.0485_44.5616","Maplink3")</f>
        <v>Maplink3</v>
      </c>
      <c r="AZ2198" s="76"/>
    </row>
    <row r="2199" spans="1:52" x14ac:dyDescent="0.25">
      <c r="A2199" s="86">
        <v>24245</v>
      </c>
      <c r="B2199" s="87" t="s">
        <v>25</v>
      </c>
      <c r="C2199" s="87" t="s">
        <v>4218</v>
      </c>
      <c r="D2199" s="87" t="s">
        <v>4228</v>
      </c>
      <c r="E2199" s="87" t="s">
        <v>4229</v>
      </c>
      <c r="F2199" s="87">
        <v>31.970687038299999</v>
      </c>
      <c r="G2199" s="87">
        <v>44.611288543900002</v>
      </c>
      <c r="H2199" s="86">
        <v>6</v>
      </c>
      <c r="I2199" s="86">
        <v>36</v>
      </c>
      <c r="J2199" s="87"/>
      <c r="K2199" s="87"/>
      <c r="L2199" s="87"/>
      <c r="M2199" s="87"/>
      <c r="N2199" s="87"/>
      <c r="O2199" s="87"/>
      <c r="P2199" s="87"/>
      <c r="Q2199" s="87"/>
      <c r="R2199" s="87">
        <v>3</v>
      </c>
      <c r="S2199" s="87"/>
      <c r="T2199" s="87"/>
      <c r="U2199" s="87"/>
      <c r="V2199" s="87">
        <v>3</v>
      </c>
      <c r="W2199" s="87"/>
      <c r="X2199" s="87"/>
      <c r="Y2199" s="87"/>
      <c r="Z2199" s="87"/>
      <c r="AA2199" s="87"/>
      <c r="AB2199" s="87"/>
      <c r="AC2199" s="87">
        <v>3</v>
      </c>
      <c r="AD2199" s="87"/>
      <c r="AE2199" s="87"/>
      <c r="AF2199" s="87"/>
      <c r="AG2199" s="87"/>
      <c r="AH2199" s="87">
        <v>3</v>
      </c>
      <c r="AI2199" s="87"/>
      <c r="AJ2199" s="87"/>
      <c r="AK2199" s="87"/>
      <c r="AL2199" s="87"/>
      <c r="AM2199" s="87"/>
      <c r="AN2199" s="87"/>
      <c r="AO2199" s="87">
        <v>5</v>
      </c>
      <c r="AP2199" s="87">
        <v>1</v>
      </c>
      <c r="AQ2199" s="87"/>
      <c r="AR2199" s="87"/>
      <c r="AS2199" s="87"/>
      <c r="AT2199" s="87"/>
      <c r="AU2199" s="87"/>
      <c r="AV2199" s="87"/>
      <c r="AW2199" s="88" t="str">
        <f>HYPERLINK("http://www.openstreetmap.org/?mlat=31.9707&amp;mlon=44.6113&amp;zoom=12#map=12/31.9707/44.6113","Maplink1")</f>
        <v>Maplink1</v>
      </c>
      <c r="AX2199" s="88" t="str">
        <f>HYPERLINK("https://www.google.iq/maps/search/+31.9707,44.6113/@31.9707,44.6113,14z?hl=en","Maplink2")</f>
        <v>Maplink2</v>
      </c>
      <c r="AY2199" s="88" t="str">
        <f>HYPERLINK("http://www.bing.com/maps/?lvl=14&amp;sty=h&amp;cp=31.9707~44.6113&amp;sp=point.31.9707_44.6113","Maplink3")</f>
        <v>Maplink3</v>
      </c>
      <c r="AZ2199" s="76"/>
    </row>
    <row r="2200" spans="1:52" x14ac:dyDescent="0.25">
      <c r="A2200" s="86">
        <v>2766</v>
      </c>
      <c r="B2200" s="87" t="s">
        <v>25</v>
      </c>
      <c r="C2200" s="87" t="s">
        <v>4218</v>
      </c>
      <c r="D2200" s="87" t="s">
        <v>4230</v>
      </c>
      <c r="E2200" s="87" t="s">
        <v>4231</v>
      </c>
      <c r="F2200" s="87">
        <v>31.960626198</v>
      </c>
      <c r="G2200" s="87">
        <v>44.601623088799997</v>
      </c>
      <c r="H2200" s="86">
        <v>12</v>
      </c>
      <c r="I2200" s="86">
        <v>72</v>
      </c>
      <c r="J2200" s="87"/>
      <c r="K2200" s="87"/>
      <c r="L2200" s="87"/>
      <c r="M2200" s="87"/>
      <c r="N2200" s="87"/>
      <c r="O2200" s="87"/>
      <c r="P2200" s="87"/>
      <c r="Q2200" s="87"/>
      <c r="R2200" s="87">
        <v>2</v>
      </c>
      <c r="S2200" s="87"/>
      <c r="T2200" s="87"/>
      <c r="U2200" s="87"/>
      <c r="V2200" s="87">
        <v>10</v>
      </c>
      <c r="W2200" s="87"/>
      <c r="X2200" s="87"/>
      <c r="Y2200" s="87"/>
      <c r="Z2200" s="87"/>
      <c r="AA2200" s="87"/>
      <c r="AB2200" s="87"/>
      <c r="AC2200" s="87">
        <v>4</v>
      </c>
      <c r="AD2200" s="87"/>
      <c r="AE2200" s="87"/>
      <c r="AF2200" s="87"/>
      <c r="AG2200" s="87"/>
      <c r="AH2200" s="87">
        <v>8</v>
      </c>
      <c r="AI2200" s="87"/>
      <c r="AJ2200" s="87"/>
      <c r="AK2200" s="87"/>
      <c r="AL2200" s="87"/>
      <c r="AM2200" s="87"/>
      <c r="AN2200" s="87"/>
      <c r="AO2200" s="87">
        <v>12</v>
      </c>
      <c r="AP2200" s="87"/>
      <c r="AQ2200" s="87"/>
      <c r="AR2200" s="87"/>
      <c r="AS2200" s="87"/>
      <c r="AT2200" s="87"/>
      <c r="AU2200" s="87"/>
      <c r="AV2200" s="87"/>
      <c r="AW2200" s="88" t="str">
        <f>HYPERLINK("http://www.openstreetmap.org/?mlat=31.9606&amp;mlon=44.6016&amp;zoom=12#map=12/31.9606/44.6016","Maplink1")</f>
        <v>Maplink1</v>
      </c>
      <c r="AX2200" s="88" t="str">
        <f>HYPERLINK("https://www.google.iq/maps/search/+31.9606,44.6016/@31.9606,44.6016,14z?hl=en","Maplink2")</f>
        <v>Maplink2</v>
      </c>
      <c r="AY2200" s="88" t="str">
        <f>HYPERLINK("http://www.bing.com/maps/?lvl=14&amp;sty=h&amp;cp=31.9606~44.6016&amp;sp=point.31.9606_44.6016","Maplink3")</f>
        <v>Maplink3</v>
      </c>
      <c r="AZ2200" s="76"/>
    </row>
    <row r="2201" spans="1:52" x14ac:dyDescent="0.25">
      <c r="A2201" s="86">
        <v>25560</v>
      </c>
      <c r="B2201" s="87" t="s">
        <v>25</v>
      </c>
      <c r="C2201" s="87" t="s">
        <v>4218</v>
      </c>
      <c r="D2201" s="87" t="s">
        <v>4232</v>
      </c>
      <c r="E2201" s="87" t="s">
        <v>4233</v>
      </c>
      <c r="F2201" s="87">
        <v>31.9740316691</v>
      </c>
      <c r="G2201" s="87">
        <v>44.634306685399999</v>
      </c>
      <c r="H2201" s="86">
        <v>5</v>
      </c>
      <c r="I2201" s="86">
        <v>30</v>
      </c>
      <c r="J2201" s="87"/>
      <c r="K2201" s="87"/>
      <c r="L2201" s="87"/>
      <c r="M2201" s="87"/>
      <c r="N2201" s="87"/>
      <c r="O2201" s="87"/>
      <c r="P2201" s="87"/>
      <c r="Q2201" s="87"/>
      <c r="R2201" s="87">
        <v>1</v>
      </c>
      <c r="S2201" s="87"/>
      <c r="T2201" s="87"/>
      <c r="U2201" s="87"/>
      <c r="V2201" s="87">
        <v>4</v>
      </c>
      <c r="W2201" s="87"/>
      <c r="X2201" s="87"/>
      <c r="Y2201" s="87"/>
      <c r="Z2201" s="87"/>
      <c r="AA2201" s="87"/>
      <c r="AB2201" s="87"/>
      <c r="AC2201" s="87">
        <v>2</v>
      </c>
      <c r="AD2201" s="87"/>
      <c r="AE2201" s="87"/>
      <c r="AF2201" s="87"/>
      <c r="AG2201" s="87"/>
      <c r="AH2201" s="87">
        <v>3</v>
      </c>
      <c r="AI2201" s="87"/>
      <c r="AJ2201" s="87"/>
      <c r="AK2201" s="87"/>
      <c r="AL2201" s="87"/>
      <c r="AM2201" s="87"/>
      <c r="AN2201" s="87"/>
      <c r="AO2201" s="87">
        <v>1</v>
      </c>
      <c r="AP2201" s="87">
        <v>4</v>
      </c>
      <c r="AQ2201" s="87"/>
      <c r="AR2201" s="87"/>
      <c r="AS2201" s="87"/>
      <c r="AT2201" s="87"/>
      <c r="AU2201" s="87"/>
      <c r="AV2201" s="87"/>
      <c r="AW2201" s="88" t="str">
        <f>HYPERLINK("http://www.openstreetmap.org/?mlat=31.974&amp;mlon=44.6343&amp;zoom=12#map=12/31.974/44.6343","Maplink1")</f>
        <v>Maplink1</v>
      </c>
      <c r="AX2201" s="88" t="str">
        <f>HYPERLINK("https://www.google.iq/maps/search/+31.974,44.6343/@31.974,44.6343,14z?hl=en","Maplink2")</f>
        <v>Maplink2</v>
      </c>
      <c r="AY2201" s="88" t="str">
        <f>HYPERLINK("http://www.bing.com/maps/?lvl=14&amp;sty=h&amp;cp=31.974~44.6343&amp;sp=point.31.974_44.6343","Maplink3")</f>
        <v>Maplink3</v>
      </c>
      <c r="AZ2201" s="76"/>
    </row>
    <row r="2202" spans="1:52" x14ac:dyDescent="0.25">
      <c r="A2202" s="86">
        <v>2943</v>
      </c>
      <c r="B2202" s="87" t="s">
        <v>25</v>
      </c>
      <c r="C2202" s="87" t="s">
        <v>4234</v>
      </c>
      <c r="D2202" s="87" t="s">
        <v>4235</v>
      </c>
      <c r="E2202" s="87" t="s">
        <v>4236</v>
      </c>
      <c r="F2202" s="87">
        <v>32.004091646500001</v>
      </c>
      <c r="G2202" s="87">
        <v>44.999002372900001</v>
      </c>
      <c r="H2202" s="86">
        <v>20</v>
      </c>
      <c r="I2202" s="86">
        <v>120</v>
      </c>
      <c r="J2202" s="87"/>
      <c r="K2202" s="87"/>
      <c r="L2202" s="87"/>
      <c r="M2202" s="87"/>
      <c r="N2202" s="87"/>
      <c r="O2202" s="87"/>
      <c r="P2202" s="87"/>
      <c r="Q2202" s="87"/>
      <c r="R2202" s="87"/>
      <c r="S2202" s="87"/>
      <c r="T2202" s="87"/>
      <c r="U2202" s="87"/>
      <c r="V2202" s="87">
        <v>20</v>
      </c>
      <c r="W2202" s="87"/>
      <c r="X2202" s="87"/>
      <c r="Y2202" s="87"/>
      <c r="Z2202" s="87"/>
      <c r="AA2202" s="87"/>
      <c r="AB2202" s="87"/>
      <c r="AC2202" s="87"/>
      <c r="AD2202" s="87"/>
      <c r="AE2202" s="87"/>
      <c r="AF2202" s="87"/>
      <c r="AG2202" s="87">
        <v>9</v>
      </c>
      <c r="AH2202" s="87">
        <v>11</v>
      </c>
      <c r="AI2202" s="87"/>
      <c r="AJ2202" s="87"/>
      <c r="AK2202" s="87"/>
      <c r="AL2202" s="87"/>
      <c r="AM2202" s="87"/>
      <c r="AN2202" s="87"/>
      <c r="AO2202" s="87">
        <v>2</v>
      </c>
      <c r="AP2202" s="87">
        <v>18</v>
      </c>
      <c r="AQ2202" s="87"/>
      <c r="AR2202" s="87"/>
      <c r="AS2202" s="87"/>
      <c r="AT2202" s="87"/>
      <c r="AU2202" s="87"/>
      <c r="AV2202" s="87"/>
      <c r="AW2202" s="88" t="str">
        <f>HYPERLINK("http://www.openstreetmap.org/?mlat=32.0041&amp;mlon=44.999&amp;zoom=12#map=12/32.0041/44.999","Maplink1")</f>
        <v>Maplink1</v>
      </c>
      <c r="AX2202" s="88" t="str">
        <f>HYPERLINK("https://www.google.iq/maps/search/+32.0041,44.999/@32.0041,44.999,14z?hl=en","Maplink2")</f>
        <v>Maplink2</v>
      </c>
      <c r="AY2202" s="88" t="str">
        <f>HYPERLINK("http://www.bing.com/maps/?lvl=14&amp;sty=h&amp;cp=32.0041~44.999&amp;sp=point.32.0041_44.999","Maplink3")</f>
        <v>Maplink3</v>
      </c>
      <c r="AZ2202" s="76"/>
    </row>
    <row r="2203" spans="1:52" x14ac:dyDescent="0.25">
      <c r="A2203" s="86">
        <v>24905</v>
      </c>
      <c r="B2203" s="87" t="s">
        <v>25</v>
      </c>
      <c r="C2203" s="87" t="s">
        <v>4234</v>
      </c>
      <c r="D2203" s="87" t="s">
        <v>4237</v>
      </c>
      <c r="E2203" s="87" t="s">
        <v>4238</v>
      </c>
      <c r="F2203" s="87">
        <v>32.037785807600002</v>
      </c>
      <c r="G2203" s="87">
        <v>44.783473173300003</v>
      </c>
      <c r="H2203" s="86">
        <v>10</v>
      </c>
      <c r="I2203" s="86">
        <v>60</v>
      </c>
      <c r="J2203" s="87"/>
      <c r="K2203" s="87"/>
      <c r="L2203" s="87"/>
      <c r="M2203" s="87"/>
      <c r="N2203" s="87"/>
      <c r="O2203" s="87"/>
      <c r="P2203" s="87"/>
      <c r="Q2203" s="87"/>
      <c r="R2203" s="87"/>
      <c r="S2203" s="87"/>
      <c r="T2203" s="87"/>
      <c r="U2203" s="87"/>
      <c r="V2203" s="87">
        <v>10</v>
      </c>
      <c r="W2203" s="87"/>
      <c r="X2203" s="87"/>
      <c r="Y2203" s="87"/>
      <c r="Z2203" s="87"/>
      <c r="AA2203" s="87"/>
      <c r="AB2203" s="87"/>
      <c r="AC2203" s="87"/>
      <c r="AD2203" s="87"/>
      <c r="AE2203" s="87"/>
      <c r="AF2203" s="87"/>
      <c r="AG2203" s="87">
        <v>5</v>
      </c>
      <c r="AH2203" s="87">
        <v>5</v>
      </c>
      <c r="AI2203" s="87"/>
      <c r="AJ2203" s="87"/>
      <c r="AK2203" s="87"/>
      <c r="AL2203" s="87"/>
      <c r="AM2203" s="87"/>
      <c r="AN2203" s="87"/>
      <c r="AO2203" s="87">
        <v>10</v>
      </c>
      <c r="AP2203" s="87"/>
      <c r="AQ2203" s="87"/>
      <c r="AR2203" s="87"/>
      <c r="AS2203" s="87"/>
      <c r="AT2203" s="87"/>
      <c r="AU2203" s="87"/>
      <c r="AV2203" s="87"/>
      <c r="AW2203" s="88" t="str">
        <f>HYPERLINK("http://www.openstreetmap.org/?mlat=32.0378&amp;mlon=44.7835&amp;zoom=12#map=12/32.0378/44.7835","Maplink1")</f>
        <v>Maplink1</v>
      </c>
      <c r="AX2203" s="88" t="str">
        <f>HYPERLINK("https://www.google.iq/maps/search/+32.0378,44.7835/@32.0378,44.7835,14z?hl=en","Maplink2")</f>
        <v>Maplink2</v>
      </c>
      <c r="AY2203" s="88" t="str">
        <f>HYPERLINK("http://www.bing.com/maps/?lvl=14&amp;sty=h&amp;cp=32.0378~44.7835&amp;sp=point.32.0378_44.7835","Maplink3")</f>
        <v>Maplink3</v>
      </c>
      <c r="AZ2203" s="76"/>
    </row>
    <row r="2204" spans="1:52" x14ac:dyDescent="0.25">
      <c r="A2204" s="86">
        <v>22326</v>
      </c>
      <c r="B2204" s="87" t="s">
        <v>25</v>
      </c>
      <c r="C2204" s="87" t="s">
        <v>4234</v>
      </c>
      <c r="D2204" s="87" t="s">
        <v>4239</v>
      </c>
      <c r="E2204" s="87" t="s">
        <v>4240</v>
      </c>
      <c r="F2204" s="87">
        <v>31.981883123500001</v>
      </c>
      <c r="G2204" s="87">
        <v>44.972986456299999</v>
      </c>
      <c r="H2204" s="86">
        <v>35</v>
      </c>
      <c r="I2204" s="86">
        <v>210</v>
      </c>
      <c r="J2204" s="87"/>
      <c r="K2204" s="87"/>
      <c r="L2204" s="87"/>
      <c r="M2204" s="87"/>
      <c r="N2204" s="87"/>
      <c r="O2204" s="87"/>
      <c r="P2204" s="87"/>
      <c r="Q2204" s="87"/>
      <c r="R2204" s="87"/>
      <c r="S2204" s="87"/>
      <c r="T2204" s="87"/>
      <c r="U2204" s="87"/>
      <c r="V2204" s="87">
        <v>35</v>
      </c>
      <c r="W2204" s="87"/>
      <c r="X2204" s="87"/>
      <c r="Y2204" s="87"/>
      <c r="Z2204" s="87"/>
      <c r="AA2204" s="87"/>
      <c r="AB2204" s="87"/>
      <c r="AC2204" s="87"/>
      <c r="AD2204" s="87"/>
      <c r="AE2204" s="87"/>
      <c r="AF2204" s="87">
        <v>35</v>
      </c>
      <c r="AG2204" s="87"/>
      <c r="AH2204" s="87"/>
      <c r="AI2204" s="87"/>
      <c r="AJ2204" s="87"/>
      <c r="AK2204" s="87"/>
      <c r="AL2204" s="87"/>
      <c r="AM2204" s="87"/>
      <c r="AN2204" s="87"/>
      <c r="AO2204" s="87"/>
      <c r="AP2204" s="87">
        <v>35</v>
      </c>
      <c r="AQ2204" s="87"/>
      <c r="AR2204" s="87"/>
      <c r="AS2204" s="87"/>
      <c r="AT2204" s="87"/>
      <c r="AU2204" s="87"/>
      <c r="AV2204" s="87"/>
      <c r="AW2204" s="88" t="str">
        <f>HYPERLINK("http://www.openstreetmap.org/?mlat=31.9819&amp;mlon=44.973&amp;zoom=12#map=12/31.9819/44.973","Maplink1")</f>
        <v>Maplink1</v>
      </c>
      <c r="AX2204" s="88" t="str">
        <f>HYPERLINK("https://www.google.iq/maps/search/+31.9819,44.973/@31.9819,44.973,14z?hl=en","Maplink2")</f>
        <v>Maplink2</v>
      </c>
      <c r="AY2204" s="88" t="str">
        <f>HYPERLINK("http://www.bing.com/maps/?lvl=14&amp;sty=h&amp;cp=31.9819~44.973&amp;sp=point.31.9819_44.973","Maplink3")</f>
        <v>Maplink3</v>
      </c>
      <c r="AZ2204" s="76"/>
    </row>
    <row r="2205" spans="1:52" x14ac:dyDescent="0.25">
      <c r="A2205" s="86">
        <v>25071</v>
      </c>
      <c r="B2205" s="87" t="s">
        <v>25</v>
      </c>
      <c r="C2205" s="87" t="s">
        <v>4234</v>
      </c>
      <c r="D2205" s="87" t="s">
        <v>4241</v>
      </c>
      <c r="E2205" s="87" t="s">
        <v>4242</v>
      </c>
      <c r="F2205" s="87">
        <v>32.031989092899998</v>
      </c>
      <c r="G2205" s="87">
        <v>44.790074400000002</v>
      </c>
      <c r="H2205" s="86">
        <v>9</v>
      </c>
      <c r="I2205" s="86">
        <v>54</v>
      </c>
      <c r="J2205" s="87"/>
      <c r="K2205" s="87"/>
      <c r="L2205" s="87"/>
      <c r="M2205" s="87"/>
      <c r="N2205" s="87"/>
      <c r="O2205" s="87"/>
      <c r="P2205" s="87"/>
      <c r="Q2205" s="87"/>
      <c r="R2205" s="87"/>
      <c r="S2205" s="87"/>
      <c r="T2205" s="87"/>
      <c r="U2205" s="87"/>
      <c r="V2205" s="87">
        <v>9</v>
      </c>
      <c r="W2205" s="87"/>
      <c r="X2205" s="87"/>
      <c r="Y2205" s="87"/>
      <c r="Z2205" s="87"/>
      <c r="AA2205" s="87"/>
      <c r="AB2205" s="87"/>
      <c r="AC2205" s="87">
        <v>2</v>
      </c>
      <c r="AD2205" s="87"/>
      <c r="AE2205" s="87"/>
      <c r="AF2205" s="87"/>
      <c r="AG2205" s="87">
        <v>5</v>
      </c>
      <c r="AH2205" s="87">
        <v>2</v>
      </c>
      <c r="AI2205" s="87"/>
      <c r="AJ2205" s="87"/>
      <c r="AK2205" s="87"/>
      <c r="AL2205" s="87"/>
      <c r="AM2205" s="87"/>
      <c r="AN2205" s="87"/>
      <c r="AO2205" s="87">
        <v>6</v>
      </c>
      <c r="AP2205" s="87">
        <v>3</v>
      </c>
      <c r="AQ2205" s="87"/>
      <c r="AR2205" s="87"/>
      <c r="AS2205" s="87"/>
      <c r="AT2205" s="87"/>
      <c r="AU2205" s="87"/>
      <c r="AV2205" s="87"/>
      <c r="AW2205" s="88" t="str">
        <f>HYPERLINK("http://www.openstreetmap.org/?mlat=32.032&amp;mlon=44.7901&amp;zoom=12#map=12/32.032/44.7901","Maplink1")</f>
        <v>Maplink1</v>
      </c>
      <c r="AX2205" s="88" t="str">
        <f>HYPERLINK("https://www.google.iq/maps/search/+32.032,44.7901/@32.032,44.7901,14z?hl=en","Maplink2")</f>
        <v>Maplink2</v>
      </c>
      <c r="AY2205" s="88" t="str">
        <f>HYPERLINK("http://www.bing.com/maps/?lvl=14&amp;sty=h&amp;cp=32.032~44.7901&amp;sp=point.32.032_44.7901","Maplink3")</f>
        <v>Maplink3</v>
      </c>
      <c r="AZ2205" s="76"/>
    </row>
    <row r="2206" spans="1:52" x14ac:dyDescent="0.25">
      <c r="A2206" s="86">
        <v>3381</v>
      </c>
      <c r="B2206" s="87" t="s">
        <v>25</v>
      </c>
      <c r="C2206" s="87" t="s">
        <v>4234</v>
      </c>
      <c r="D2206" s="87" t="s">
        <v>4243</v>
      </c>
      <c r="E2206" s="87" t="s">
        <v>4244</v>
      </c>
      <c r="F2206" s="87">
        <v>31.976561914200001</v>
      </c>
      <c r="G2206" s="87">
        <v>44.948463998800001</v>
      </c>
      <c r="H2206" s="86">
        <v>4</v>
      </c>
      <c r="I2206" s="86">
        <v>24</v>
      </c>
      <c r="J2206" s="87"/>
      <c r="K2206" s="87"/>
      <c r="L2206" s="87"/>
      <c r="M2206" s="87"/>
      <c r="N2206" s="87"/>
      <c r="O2206" s="87"/>
      <c r="P2206" s="87"/>
      <c r="Q2206" s="87"/>
      <c r="R2206" s="87"/>
      <c r="S2206" s="87"/>
      <c r="T2206" s="87"/>
      <c r="U2206" s="87"/>
      <c r="V2206" s="87">
        <v>4</v>
      </c>
      <c r="W2206" s="87"/>
      <c r="X2206" s="87"/>
      <c r="Y2206" s="87"/>
      <c r="Z2206" s="87"/>
      <c r="AA2206" s="87"/>
      <c r="AB2206" s="87"/>
      <c r="AC2206" s="87">
        <v>2</v>
      </c>
      <c r="AD2206" s="87"/>
      <c r="AE2206" s="87"/>
      <c r="AF2206" s="87"/>
      <c r="AG2206" s="87"/>
      <c r="AH2206" s="87">
        <v>2</v>
      </c>
      <c r="AI2206" s="87"/>
      <c r="AJ2206" s="87"/>
      <c r="AK2206" s="87"/>
      <c r="AL2206" s="87"/>
      <c r="AM2206" s="87"/>
      <c r="AN2206" s="87"/>
      <c r="AO2206" s="87"/>
      <c r="AP2206" s="87">
        <v>4</v>
      </c>
      <c r="AQ2206" s="87"/>
      <c r="AR2206" s="87"/>
      <c r="AS2206" s="87"/>
      <c r="AT2206" s="87"/>
      <c r="AU2206" s="87"/>
      <c r="AV2206" s="87"/>
      <c r="AW2206" s="88" t="str">
        <f>HYPERLINK("http://www.openstreetmap.org/?mlat=31.9766&amp;mlon=44.9485&amp;zoom=12#map=12/31.9766/44.9485","Maplink1")</f>
        <v>Maplink1</v>
      </c>
      <c r="AX2206" s="88" t="str">
        <f>HYPERLINK("https://www.google.iq/maps/search/+31.9766,44.9485/@31.9766,44.9485,14z?hl=en","Maplink2")</f>
        <v>Maplink2</v>
      </c>
      <c r="AY2206" s="88" t="str">
        <f>HYPERLINK("http://www.bing.com/maps/?lvl=14&amp;sty=h&amp;cp=31.9766~44.9485&amp;sp=point.31.9766_44.9485","Maplink3")</f>
        <v>Maplink3</v>
      </c>
      <c r="AZ2206" s="76"/>
    </row>
    <row r="2207" spans="1:52" x14ac:dyDescent="0.25">
      <c r="A2207" s="86">
        <v>25288</v>
      </c>
      <c r="B2207" s="87" t="s">
        <v>25</v>
      </c>
      <c r="C2207" s="87" t="s">
        <v>4234</v>
      </c>
      <c r="D2207" s="87" t="s">
        <v>4245</v>
      </c>
      <c r="E2207" s="87" t="s">
        <v>4246</v>
      </c>
      <c r="F2207" s="87">
        <v>32.015238990699999</v>
      </c>
      <c r="G2207" s="87">
        <v>44.931650740999999</v>
      </c>
      <c r="H2207" s="86">
        <v>7</v>
      </c>
      <c r="I2207" s="86">
        <v>42</v>
      </c>
      <c r="J2207" s="87"/>
      <c r="K2207" s="87"/>
      <c r="L2207" s="87"/>
      <c r="M2207" s="87"/>
      <c r="N2207" s="87"/>
      <c r="O2207" s="87"/>
      <c r="P2207" s="87"/>
      <c r="Q2207" s="87"/>
      <c r="R2207" s="87"/>
      <c r="S2207" s="87"/>
      <c r="T2207" s="87"/>
      <c r="U2207" s="87"/>
      <c r="V2207" s="87">
        <v>7</v>
      </c>
      <c r="W2207" s="87"/>
      <c r="X2207" s="87"/>
      <c r="Y2207" s="87"/>
      <c r="Z2207" s="87"/>
      <c r="AA2207" s="87"/>
      <c r="AB2207" s="87"/>
      <c r="AC2207" s="87">
        <v>4</v>
      </c>
      <c r="AD2207" s="87"/>
      <c r="AE2207" s="87"/>
      <c r="AF2207" s="87"/>
      <c r="AG2207" s="87"/>
      <c r="AH2207" s="87">
        <v>3</v>
      </c>
      <c r="AI2207" s="87"/>
      <c r="AJ2207" s="87"/>
      <c r="AK2207" s="87"/>
      <c r="AL2207" s="87"/>
      <c r="AM2207" s="87"/>
      <c r="AN2207" s="87"/>
      <c r="AO2207" s="87">
        <v>7</v>
      </c>
      <c r="AP2207" s="87"/>
      <c r="AQ2207" s="87"/>
      <c r="AR2207" s="87"/>
      <c r="AS2207" s="87"/>
      <c r="AT2207" s="87"/>
      <c r="AU2207" s="87"/>
      <c r="AV2207" s="87"/>
      <c r="AW2207" s="88" t="str">
        <f>HYPERLINK("http://www.openstreetmap.org/?mlat=32.0152&amp;mlon=44.9317&amp;zoom=12#map=12/32.0152/44.9317","Maplink1")</f>
        <v>Maplink1</v>
      </c>
      <c r="AX2207" s="88" t="str">
        <f>HYPERLINK("https://www.google.iq/maps/search/+32.0152,44.9317/@32.0152,44.9317,14z?hl=en","Maplink2")</f>
        <v>Maplink2</v>
      </c>
      <c r="AY2207" s="88" t="str">
        <f>HYPERLINK("http://www.bing.com/maps/?lvl=14&amp;sty=h&amp;cp=32.0152~44.9317&amp;sp=point.32.0152_44.9317","Maplink3")</f>
        <v>Maplink3</v>
      </c>
      <c r="AZ2207" s="76"/>
    </row>
    <row r="2208" spans="1:52" x14ac:dyDescent="0.25">
      <c r="A2208" s="86">
        <v>2885</v>
      </c>
      <c r="B2208" s="87" t="s">
        <v>25</v>
      </c>
      <c r="C2208" s="87" t="s">
        <v>4234</v>
      </c>
      <c r="D2208" s="87" t="s">
        <v>4247</v>
      </c>
      <c r="E2208" s="87" t="s">
        <v>4248</v>
      </c>
      <c r="F2208" s="87">
        <v>31.987180695900001</v>
      </c>
      <c r="G2208" s="87">
        <v>44.902500910900002</v>
      </c>
      <c r="H2208" s="86">
        <v>5</v>
      </c>
      <c r="I2208" s="86">
        <v>30</v>
      </c>
      <c r="J2208" s="87"/>
      <c r="K2208" s="87"/>
      <c r="L2208" s="87"/>
      <c r="M2208" s="87"/>
      <c r="N2208" s="87"/>
      <c r="O2208" s="87"/>
      <c r="P2208" s="87"/>
      <c r="Q2208" s="87"/>
      <c r="R2208" s="87"/>
      <c r="S2208" s="87"/>
      <c r="T2208" s="87"/>
      <c r="U2208" s="87"/>
      <c r="V2208" s="87">
        <v>5</v>
      </c>
      <c r="W2208" s="87"/>
      <c r="X2208" s="87"/>
      <c r="Y2208" s="87"/>
      <c r="Z2208" s="87"/>
      <c r="AA2208" s="87"/>
      <c r="AB2208" s="87"/>
      <c r="AC2208" s="87"/>
      <c r="AD2208" s="87"/>
      <c r="AE2208" s="87"/>
      <c r="AF2208" s="87"/>
      <c r="AG2208" s="87">
        <v>1</v>
      </c>
      <c r="AH2208" s="87">
        <v>4</v>
      </c>
      <c r="AI2208" s="87"/>
      <c r="AJ2208" s="87"/>
      <c r="AK2208" s="87"/>
      <c r="AL2208" s="87"/>
      <c r="AM2208" s="87"/>
      <c r="AN2208" s="87"/>
      <c r="AO2208" s="87">
        <v>5</v>
      </c>
      <c r="AP2208" s="87"/>
      <c r="AQ2208" s="87"/>
      <c r="AR2208" s="87"/>
      <c r="AS2208" s="87"/>
      <c r="AT2208" s="87"/>
      <c r="AU2208" s="87"/>
      <c r="AV2208" s="87"/>
      <c r="AW2208" s="88" t="str">
        <f>HYPERLINK("http://www.openstreetmap.org/?mlat=31.9872&amp;mlon=44.9025&amp;zoom=12#map=12/31.9872/44.9025","Maplink1")</f>
        <v>Maplink1</v>
      </c>
      <c r="AX2208" s="88" t="str">
        <f>HYPERLINK("https://www.google.iq/maps/search/+31.9872,44.9025/@31.9872,44.9025,14z?hl=en","Maplink2")</f>
        <v>Maplink2</v>
      </c>
      <c r="AY2208" s="88" t="str">
        <f>HYPERLINK("http://www.bing.com/maps/?lvl=14&amp;sty=h&amp;cp=31.9872~44.9025&amp;sp=point.31.9872_44.9025","Maplink3")</f>
        <v>Maplink3</v>
      </c>
      <c r="AZ2208" s="76"/>
    </row>
    <row r="2209" spans="1:52" x14ac:dyDescent="0.25">
      <c r="A2209" s="86">
        <v>25370</v>
      </c>
      <c r="B2209" s="87" t="s">
        <v>25</v>
      </c>
      <c r="C2209" s="87" t="s">
        <v>4234</v>
      </c>
      <c r="D2209" s="87" t="s">
        <v>4249</v>
      </c>
      <c r="E2209" s="87" t="s">
        <v>4250</v>
      </c>
      <c r="F2209" s="87">
        <v>31.980938417200001</v>
      </c>
      <c r="G2209" s="87">
        <v>44.924152112500003</v>
      </c>
      <c r="H2209" s="86">
        <v>3</v>
      </c>
      <c r="I2209" s="86">
        <v>18</v>
      </c>
      <c r="J2209" s="87"/>
      <c r="K2209" s="87"/>
      <c r="L2209" s="87"/>
      <c r="M2209" s="87"/>
      <c r="N2209" s="87"/>
      <c r="O2209" s="87"/>
      <c r="P2209" s="87"/>
      <c r="Q2209" s="87"/>
      <c r="R2209" s="87">
        <v>3</v>
      </c>
      <c r="S2209" s="87"/>
      <c r="T2209" s="87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87"/>
      <c r="AE2209" s="87"/>
      <c r="AF2209" s="87"/>
      <c r="AG2209" s="87"/>
      <c r="AH2209" s="87"/>
      <c r="AI2209" s="87"/>
      <c r="AJ2209" s="87"/>
      <c r="AK2209" s="87">
        <v>3</v>
      </c>
      <c r="AL2209" s="87"/>
      <c r="AM2209" s="87"/>
      <c r="AN2209" s="87"/>
      <c r="AO2209" s="87">
        <v>3</v>
      </c>
      <c r="AP2209" s="87"/>
      <c r="AQ2209" s="87"/>
      <c r="AR2209" s="87"/>
      <c r="AS2209" s="87"/>
      <c r="AT2209" s="87"/>
      <c r="AU2209" s="87"/>
      <c r="AV2209" s="87"/>
      <c r="AW2209" s="88" t="str">
        <f>HYPERLINK("http://www.openstreetmap.org/?mlat=31.9809&amp;mlon=44.9242&amp;zoom=12#map=12/31.9809/44.9242","Maplink1")</f>
        <v>Maplink1</v>
      </c>
      <c r="AX2209" s="88" t="str">
        <f>HYPERLINK("https://www.google.iq/maps/search/+31.9809,44.9242/@31.9809,44.9242,14z?hl=en","Maplink2")</f>
        <v>Maplink2</v>
      </c>
      <c r="AY2209" s="88" t="str">
        <f>HYPERLINK("http://www.bing.com/maps/?lvl=14&amp;sty=h&amp;cp=31.9809~44.9242&amp;sp=point.31.9809_44.9242","Maplink3")</f>
        <v>Maplink3</v>
      </c>
      <c r="AZ2209" s="76"/>
    </row>
    <row r="2210" spans="1:52" x14ac:dyDescent="0.25">
      <c r="A2210" s="86">
        <v>25509</v>
      </c>
      <c r="B2210" s="87" t="s">
        <v>25</v>
      </c>
      <c r="C2210" s="87" t="s">
        <v>4234</v>
      </c>
      <c r="D2210" s="87" t="s">
        <v>4251</v>
      </c>
      <c r="E2210" s="87" t="s">
        <v>4252</v>
      </c>
      <c r="F2210" s="87">
        <v>31.979781151699999</v>
      </c>
      <c r="G2210" s="87">
        <v>44.942167323</v>
      </c>
      <c r="H2210" s="86">
        <v>6</v>
      </c>
      <c r="I2210" s="86">
        <v>36</v>
      </c>
      <c r="J2210" s="87"/>
      <c r="K2210" s="87"/>
      <c r="L2210" s="87"/>
      <c r="M2210" s="87"/>
      <c r="N2210" s="87"/>
      <c r="O2210" s="87"/>
      <c r="P2210" s="87"/>
      <c r="Q2210" s="87"/>
      <c r="R2210" s="87"/>
      <c r="S2210" s="87"/>
      <c r="T2210" s="87"/>
      <c r="U2210" s="87"/>
      <c r="V2210" s="87">
        <v>6</v>
      </c>
      <c r="W2210" s="87"/>
      <c r="X2210" s="87"/>
      <c r="Y2210" s="87"/>
      <c r="Z2210" s="87"/>
      <c r="AA2210" s="87"/>
      <c r="AB2210" s="87"/>
      <c r="AC2210" s="87">
        <v>3</v>
      </c>
      <c r="AD2210" s="87"/>
      <c r="AE2210" s="87"/>
      <c r="AF2210" s="87"/>
      <c r="AG2210" s="87"/>
      <c r="AH2210" s="87">
        <v>3</v>
      </c>
      <c r="AI2210" s="87"/>
      <c r="AJ2210" s="87"/>
      <c r="AK2210" s="87"/>
      <c r="AL2210" s="87"/>
      <c r="AM2210" s="87"/>
      <c r="AN2210" s="87"/>
      <c r="AO2210" s="87">
        <v>3</v>
      </c>
      <c r="AP2210" s="87">
        <v>3</v>
      </c>
      <c r="AQ2210" s="87"/>
      <c r="AR2210" s="87"/>
      <c r="AS2210" s="87"/>
      <c r="AT2210" s="87"/>
      <c r="AU2210" s="87"/>
      <c r="AV2210" s="87"/>
      <c r="AW2210" s="88" t="str">
        <f>HYPERLINK("http://www.openstreetmap.org/?mlat=31.9798&amp;mlon=44.9422&amp;zoom=12#map=12/31.9798/44.9422","Maplink1")</f>
        <v>Maplink1</v>
      </c>
      <c r="AX2210" s="88" t="str">
        <f>HYPERLINK("https://www.google.iq/maps/search/+31.9798,44.9422/@31.9798,44.9422,14z?hl=en","Maplink2")</f>
        <v>Maplink2</v>
      </c>
      <c r="AY2210" s="88" t="str">
        <f>HYPERLINK("http://www.bing.com/maps/?lvl=14&amp;sty=h&amp;cp=31.9798~44.9422&amp;sp=point.31.9798_44.9422","Maplink3")</f>
        <v>Maplink3</v>
      </c>
      <c r="AZ2210" s="76"/>
    </row>
    <row r="2211" spans="1:52" x14ac:dyDescent="0.25">
      <c r="A2211" s="86">
        <v>24381</v>
      </c>
      <c r="B2211" s="87" t="s">
        <v>25</v>
      </c>
      <c r="C2211" s="87" t="s">
        <v>4234</v>
      </c>
      <c r="D2211" s="87" t="s">
        <v>4253</v>
      </c>
      <c r="E2211" s="87" t="s">
        <v>4254</v>
      </c>
      <c r="F2211" s="87">
        <v>31.970362453100002</v>
      </c>
      <c r="G2211" s="87">
        <v>44.8911874701</v>
      </c>
      <c r="H2211" s="86">
        <v>7</v>
      </c>
      <c r="I2211" s="86">
        <v>42</v>
      </c>
      <c r="J2211" s="87"/>
      <c r="K2211" s="87"/>
      <c r="L2211" s="87"/>
      <c r="M2211" s="87"/>
      <c r="N2211" s="87"/>
      <c r="O2211" s="87"/>
      <c r="P2211" s="87"/>
      <c r="Q2211" s="87"/>
      <c r="R2211" s="87">
        <v>2</v>
      </c>
      <c r="S2211" s="87"/>
      <c r="T2211" s="87"/>
      <c r="U2211" s="87"/>
      <c r="V2211" s="87">
        <v>5</v>
      </c>
      <c r="W2211" s="87"/>
      <c r="X2211" s="87"/>
      <c r="Y2211" s="87"/>
      <c r="Z2211" s="87"/>
      <c r="AA2211" s="87"/>
      <c r="AB2211" s="87"/>
      <c r="AC2211" s="87">
        <v>2</v>
      </c>
      <c r="AD2211" s="87"/>
      <c r="AE2211" s="87"/>
      <c r="AF2211" s="87"/>
      <c r="AG2211" s="87">
        <v>2</v>
      </c>
      <c r="AH2211" s="87">
        <v>3</v>
      </c>
      <c r="AI2211" s="87"/>
      <c r="AJ2211" s="87"/>
      <c r="AK2211" s="87"/>
      <c r="AL2211" s="87"/>
      <c r="AM2211" s="87"/>
      <c r="AN2211" s="87"/>
      <c r="AO2211" s="87">
        <v>7</v>
      </c>
      <c r="AP2211" s="87"/>
      <c r="AQ2211" s="87"/>
      <c r="AR2211" s="87"/>
      <c r="AS2211" s="87"/>
      <c r="AT2211" s="87"/>
      <c r="AU2211" s="87"/>
      <c r="AV2211" s="87"/>
      <c r="AW2211" s="88" t="str">
        <f>HYPERLINK("http://www.openstreetmap.org/?mlat=31.9704&amp;mlon=44.8912&amp;zoom=12#map=12/31.9704/44.8912","Maplink1")</f>
        <v>Maplink1</v>
      </c>
      <c r="AX2211" s="88" t="str">
        <f>HYPERLINK("https://www.google.iq/maps/search/+31.9704,44.8912/@31.9704,44.8912,14z?hl=en","Maplink2")</f>
        <v>Maplink2</v>
      </c>
      <c r="AY2211" s="88" t="str">
        <f>HYPERLINK("http://www.bing.com/maps/?lvl=14&amp;sty=h&amp;cp=31.9704~44.8912&amp;sp=point.31.9704_44.8912","Maplink3")</f>
        <v>Maplink3</v>
      </c>
      <c r="AZ2211" s="76"/>
    </row>
    <row r="2212" spans="1:52" x14ac:dyDescent="0.25">
      <c r="A2212" s="86">
        <v>2705</v>
      </c>
      <c r="B2212" s="87" t="s">
        <v>25</v>
      </c>
      <c r="C2212" s="87" t="s">
        <v>4234</v>
      </c>
      <c r="D2212" s="87" t="s">
        <v>4255</v>
      </c>
      <c r="E2212" s="87" t="s">
        <v>4256</v>
      </c>
      <c r="F2212" s="87">
        <v>31.955799353300002</v>
      </c>
      <c r="G2212" s="87">
        <v>44.771499350100001</v>
      </c>
      <c r="H2212" s="86">
        <v>7</v>
      </c>
      <c r="I2212" s="86">
        <v>42</v>
      </c>
      <c r="J2212" s="87"/>
      <c r="K2212" s="87"/>
      <c r="L2212" s="87"/>
      <c r="M2212" s="87"/>
      <c r="N2212" s="87"/>
      <c r="O2212" s="87"/>
      <c r="P2212" s="87"/>
      <c r="Q2212" s="87"/>
      <c r="R2212" s="87"/>
      <c r="S2212" s="87"/>
      <c r="T2212" s="87"/>
      <c r="U2212" s="87"/>
      <c r="V2212" s="87">
        <v>7</v>
      </c>
      <c r="W2212" s="87"/>
      <c r="X2212" s="87"/>
      <c r="Y2212" s="87"/>
      <c r="Z2212" s="87"/>
      <c r="AA2212" s="87"/>
      <c r="AB2212" s="87"/>
      <c r="AC2212" s="87">
        <v>3</v>
      </c>
      <c r="AD2212" s="87"/>
      <c r="AE2212" s="87"/>
      <c r="AF2212" s="87"/>
      <c r="AG2212" s="87"/>
      <c r="AH2212" s="87">
        <v>4</v>
      </c>
      <c r="AI2212" s="87"/>
      <c r="AJ2212" s="87"/>
      <c r="AK2212" s="87"/>
      <c r="AL2212" s="87"/>
      <c r="AM2212" s="87"/>
      <c r="AN2212" s="87"/>
      <c r="AO2212" s="87">
        <v>7</v>
      </c>
      <c r="AP2212" s="87"/>
      <c r="AQ2212" s="87"/>
      <c r="AR2212" s="87"/>
      <c r="AS2212" s="87"/>
      <c r="AT2212" s="87"/>
      <c r="AU2212" s="87"/>
      <c r="AV2212" s="87"/>
      <c r="AW2212" s="88" t="str">
        <f>HYPERLINK("http://www.openstreetmap.org/?mlat=31.9558&amp;mlon=44.7715&amp;zoom=12#map=12/31.9558/44.7715","Maplink1")</f>
        <v>Maplink1</v>
      </c>
      <c r="AX2212" s="88" t="str">
        <f>HYPERLINK("https://www.google.iq/maps/search/+31.9558,44.7715/@31.9558,44.7715,14z?hl=en","Maplink2")</f>
        <v>Maplink2</v>
      </c>
      <c r="AY2212" s="88" t="str">
        <f>HYPERLINK("http://www.bing.com/maps/?lvl=14&amp;sty=h&amp;cp=31.9558~44.7715&amp;sp=point.31.9558_44.7715","Maplink3")</f>
        <v>Maplink3</v>
      </c>
      <c r="AZ2212" s="76"/>
    </row>
    <row r="2213" spans="1:52" x14ac:dyDescent="0.25">
      <c r="A2213" s="86">
        <v>24756</v>
      </c>
      <c r="B2213" s="87" t="s">
        <v>25</v>
      </c>
      <c r="C2213" s="87" t="s">
        <v>4234</v>
      </c>
      <c r="D2213" s="87" t="s">
        <v>4257</v>
      </c>
      <c r="E2213" s="87" t="s">
        <v>4258</v>
      </c>
      <c r="F2213" s="87">
        <v>32.023764878199998</v>
      </c>
      <c r="G2213" s="87">
        <v>45.060512526499998</v>
      </c>
      <c r="H2213" s="86">
        <v>5</v>
      </c>
      <c r="I2213" s="86">
        <v>30</v>
      </c>
      <c r="J2213" s="87"/>
      <c r="K2213" s="87"/>
      <c r="L2213" s="87"/>
      <c r="M2213" s="87"/>
      <c r="N2213" s="87"/>
      <c r="O2213" s="87"/>
      <c r="P2213" s="87"/>
      <c r="Q2213" s="87"/>
      <c r="R2213" s="87">
        <v>5</v>
      </c>
      <c r="S2213" s="87"/>
      <c r="T2213" s="87"/>
      <c r="U2213" s="87"/>
      <c r="V2213" s="87"/>
      <c r="W2213" s="87"/>
      <c r="X2213" s="87"/>
      <c r="Y2213" s="87"/>
      <c r="Z2213" s="87"/>
      <c r="AA2213" s="87"/>
      <c r="AB2213" s="87"/>
      <c r="AC2213" s="87">
        <v>2</v>
      </c>
      <c r="AD2213" s="87"/>
      <c r="AE2213" s="87"/>
      <c r="AF2213" s="87"/>
      <c r="AG2213" s="87"/>
      <c r="AH2213" s="87">
        <v>3</v>
      </c>
      <c r="AI2213" s="87"/>
      <c r="AJ2213" s="87"/>
      <c r="AK2213" s="87"/>
      <c r="AL2213" s="87"/>
      <c r="AM2213" s="87"/>
      <c r="AN2213" s="87"/>
      <c r="AO2213" s="87">
        <v>5</v>
      </c>
      <c r="AP2213" s="87"/>
      <c r="AQ2213" s="87"/>
      <c r="AR2213" s="87"/>
      <c r="AS2213" s="87"/>
      <c r="AT2213" s="87"/>
      <c r="AU2213" s="87"/>
      <c r="AV2213" s="87"/>
      <c r="AW2213" s="88" t="str">
        <f>HYPERLINK("http://www.openstreetmap.org/?mlat=32.0238&amp;mlon=45.0605&amp;zoom=12#map=12/32.0238/45.0605","Maplink1")</f>
        <v>Maplink1</v>
      </c>
      <c r="AX2213" s="88" t="str">
        <f>HYPERLINK("https://www.google.iq/maps/search/+32.0238,45.0605/@32.0238,45.0605,14z?hl=en","Maplink2")</f>
        <v>Maplink2</v>
      </c>
      <c r="AY2213" s="88" t="str">
        <f>HYPERLINK("http://www.bing.com/maps/?lvl=14&amp;sty=h&amp;cp=32.0238~45.0605&amp;sp=point.32.0238_45.0605","Maplink3")</f>
        <v>Maplink3</v>
      </c>
      <c r="AZ2213" s="76"/>
    </row>
    <row r="2214" spans="1:52" x14ac:dyDescent="0.25">
      <c r="A2214" s="86">
        <v>24436</v>
      </c>
      <c r="B2214" s="87" t="s">
        <v>25</v>
      </c>
      <c r="C2214" s="87" t="s">
        <v>4234</v>
      </c>
      <c r="D2214" s="87" t="s">
        <v>4259</v>
      </c>
      <c r="E2214" s="87" t="s">
        <v>4260</v>
      </c>
      <c r="F2214" s="87">
        <v>32.020827415399999</v>
      </c>
      <c r="G2214" s="87">
        <v>44.818898368399999</v>
      </c>
      <c r="H2214" s="86">
        <v>8</v>
      </c>
      <c r="I2214" s="86">
        <v>48</v>
      </c>
      <c r="J2214" s="87"/>
      <c r="K2214" s="87"/>
      <c r="L2214" s="87"/>
      <c r="M2214" s="87"/>
      <c r="N2214" s="87"/>
      <c r="O2214" s="87"/>
      <c r="P2214" s="87"/>
      <c r="Q2214" s="87"/>
      <c r="R2214" s="87"/>
      <c r="S2214" s="87"/>
      <c r="T2214" s="87"/>
      <c r="U2214" s="87"/>
      <c r="V2214" s="87">
        <v>8</v>
      </c>
      <c r="W2214" s="87"/>
      <c r="X2214" s="87"/>
      <c r="Y2214" s="87"/>
      <c r="Z2214" s="87"/>
      <c r="AA2214" s="87"/>
      <c r="AB2214" s="87"/>
      <c r="AC2214" s="87">
        <v>3</v>
      </c>
      <c r="AD2214" s="87"/>
      <c r="AE2214" s="87"/>
      <c r="AF2214" s="87"/>
      <c r="AG2214" s="87">
        <v>2</v>
      </c>
      <c r="AH2214" s="87">
        <v>3</v>
      </c>
      <c r="AI2214" s="87"/>
      <c r="AJ2214" s="87"/>
      <c r="AK2214" s="87"/>
      <c r="AL2214" s="87"/>
      <c r="AM2214" s="87"/>
      <c r="AN2214" s="87"/>
      <c r="AO2214" s="87">
        <v>2</v>
      </c>
      <c r="AP2214" s="87">
        <v>6</v>
      </c>
      <c r="AQ2214" s="87"/>
      <c r="AR2214" s="87"/>
      <c r="AS2214" s="87"/>
      <c r="AT2214" s="87"/>
      <c r="AU2214" s="87"/>
      <c r="AV2214" s="87"/>
      <c r="AW2214" s="88" t="str">
        <f>HYPERLINK("http://www.openstreetmap.org/?mlat=32.0208&amp;mlon=44.8189&amp;zoom=12#map=12/32.0208/44.8189","Maplink1")</f>
        <v>Maplink1</v>
      </c>
      <c r="AX2214" s="88" t="str">
        <f>HYPERLINK("https://www.google.iq/maps/search/+32.0208,44.8189/@32.0208,44.8189,14z?hl=en","Maplink2")</f>
        <v>Maplink2</v>
      </c>
      <c r="AY2214" s="88" t="str">
        <f>HYPERLINK("http://www.bing.com/maps/?lvl=14&amp;sty=h&amp;cp=32.0208~44.8189&amp;sp=point.32.0208_44.8189","Maplink3")</f>
        <v>Maplink3</v>
      </c>
      <c r="AZ2214" s="76"/>
    </row>
    <row r="2215" spans="1:52" x14ac:dyDescent="0.25">
      <c r="A2215" s="86">
        <v>2621</v>
      </c>
      <c r="B2215" s="87" t="s">
        <v>25</v>
      </c>
      <c r="C2215" s="87" t="s">
        <v>4234</v>
      </c>
      <c r="D2215" s="87" t="s">
        <v>4261</v>
      </c>
      <c r="E2215" s="87" t="s">
        <v>4262</v>
      </c>
      <c r="F2215" s="87">
        <v>32.020965341100002</v>
      </c>
      <c r="G2215" s="87">
        <v>44.860549176799999</v>
      </c>
      <c r="H2215" s="86">
        <v>7</v>
      </c>
      <c r="I2215" s="86">
        <v>42</v>
      </c>
      <c r="J2215" s="87"/>
      <c r="K2215" s="87"/>
      <c r="L2215" s="87"/>
      <c r="M2215" s="87"/>
      <c r="N2215" s="87"/>
      <c r="O2215" s="87"/>
      <c r="P2215" s="87"/>
      <c r="Q2215" s="87"/>
      <c r="R2215" s="87"/>
      <c r="S2215" s="87"/>
      <c r="T2215" s="87"/>
      <c r="U2215" s="87"/>
      <c r="V2215" s="87">
        <v>7</v>
      </c>
      <c r="W2215" s="87"/>
      <c r="X2215" s="87"/>
      <c r="Y2215" s="87"/>
      <c r="Z2215" s="87"/>
      <c r="AA2215" s="87"/>
      <c r="AB2215" s="87"/>
      <c r="AC2215" s="87">
        <v>3</v>
      </c>
      <c r="AD2215" s="87"/>
      <c r="AE2215" s="87"/>
      <c r="AF2215" s="87"/>
      <c r="AG2215" s="87">
        <v>4</v>
      </c>
      <c r="AH2215" s="87"/>
      <c r="AI2215" s="87"/>
      <c r="AJ2215" s="87"/>
      <c r="AK2215" s="87"/>
      <c r="AL2215" s="87"/>
      <c r="AM2215" s="87"/>
      <c r="AN2215" s="87"/>
      <c r="AO2215" s="87">
        <v>4</v>
      </c>
      <c r="AP2215" s="87">
        <v>3</v>
      </c>
      <c r="AQ2215" s="87"/>
      <c r="AR2215" s="87"/>
      <c r="AS2215" s="87"/>
      <c r="AT2215" s="87"/>
      <c r="AU2215" s="87"/>
      <c r="AV2215" s="87"/>
      <c r="AW2215" s="88" t="str">
        <f>HYPERLINK("http://www.openstreetmap.org/?mlat=32.021&amp;mlon=44.8605&amp;zoom=12#map=12/32.021/44.8605","Maplink1")</f>
        <v>Maplink1</v>
      </c>
      <c r="AX2215" s="88" t="str">
        <f>HYPERLINK("https://www.google.iq/maps/search/+32.021,44.8605/@32.021,44.8605,14z?hl=en","Maplink2")</f>
        <v>Maplink2</v>
      </c>
      <c r="AY2215" s="88" t="str">
        <f>HYPERLINK("http://www.bing.com/maps/?lvl=14&amp;sty=h&amp;cp=32.021~44.8605&amp;sp=point.32.021_44.8605","Maplink3")</f>
        <v>Maplink3</v>
      </c>
      <c r="AZ2215" s="76"/>
    </row>
    <row r="2216" spans="1:52" x14ac:dyDescent="0.25">
      <c r="A2216" s="86">
        <v>23681</v>
      </c>
      <c r="B2216" s="87" t="s">
        <v>25</v>
      </c>
      <c r="C2216" s="87" t="s">
        <v>4234</v>
      </c>
      <c r="D2216" s="87" t="s">
        <v>4263</v>
      </c>
      <c r="E2216" s="87" t="s">
        <v>4264</v>
      </c>
      <c r="F2216" s="87">
        <v>32.020060811100002</v>
      </c>
      <c r="G2216" s="87">
        <v>44.900365360499997</v>
      </c>
      <c r="H2216" s="86">
        <v>6</v>
      </c>
      <c r="I2216" s="86">
        <v>36</v>
      </c>
      <c r="J2216" s="87"/>
      <c r="K2216" s="87"/>
      <c r="L2216" s="87"/>
      <c r="M2216" s="87"/>
      <c r="N2216" s="87"/>
      <c r="O2216" s="87"/>
      <c r="P2216" s="87"/>
      <c r="Q2216" s="87"/>
      <c r="R2216" s="87">
        <v>2</v>
      </c>
      <c r="S2216" s="87"/>
      <c r="T2216" s="87"/>
      <c r="U2216" s="87"/>
      <c r="V2216" s="87">
        <v>4</v>
      </c>
      <c r="W2216" s="87"/>
      <c r="X2216" s="87"/>
      <c r="Y2216" s="87"/>
      <c r="Z2216" s="87"/>
      <c r="AA2216" s="87"/>
      <c r="AB2216" s="87"/>
      <c r="AC2216" s="87">
        <v>2</v>
      </c>
      <c r="AD2216" s="87"/>
      <c r="AE2216" s="87"/>
      <c r="AF2216" s="87"/>
      <c r="AG2216" s="87"/>
      <c r="AH2216" s="87">
        <v>4</v>
      </c>
      <c r="AI2216" s="87"/>
      <c r="AJ2216" s="87"/>
      <c r="AK2216" s="87"/>
      <c r="AL2216" s="87"/>
      <c r="AM2216" s="87"/>
      <c r="AN2216" s="87"/>
      <c r="AO2216" s="87">
        <v>6</v>
      </c>
      <c r="AP2216" s="87"/>
      <c r="AQ2216" s="87"/>
      <c r="AR2216" s="87"/>
      <c r="AS2216" s="87"/>
      <c r="AT2216" s="87"/>
      <c r="AU2216" s="87"/>
      <c r="AV2216" s="87"/>
      <c r="AW2216" s="88" t="str">
        <f>HYPERLINK("http://www.openstreetmap.org/?mlat=32.0201&amp;mlon=44.9004&amp;zoom=12#map=12/32.0201/44.9004","Maplink1")</f>
        <v>Maplink1</v>
      </c>
      <c r="AX2216" s="88" t="str">
        <f>HYPERLINK("https://www.google.iq/maps/search/+32.0201,44.9004/@32.0201,44.9004,14z?hl=en","Maplink2")</f>
        <v>Maplink2</v>
      </c>
      <c r="AY2216" s="88" t="str">
        <f>HYPERLINK("http://www.bing.com/maps/?lvl=14&amp;sty=h&amp;cp=32.0201~44.9004&amp;sp=point.32.0201_44.9004","Maplink3")</f>
        <v>Maplink3</v>
      </c>
      <c r="AZ2216" s="76"/>
    </row>
    <row r="2217" spans="1:52" x14ac:dyDescent="0.25">
      <c r="A2217" s="86">
        <v>24966</v>
      </c>
      <c r="B2217" s="87" t="s">
        <v>25</v>
      </c>
      <c r="C2217" s="87" t="s">
        <v>4234</v>
      </c>
      <c r="D2217" s="87" t="s">
        <v>4265</v>
      </c>
      <c r="E2217" s="87" t="s">
        <v>3200</v>
      </c>
      <c r="F2217" s="87">
        <v>32.146584716900001</v>
      </c>
      <c r="G2217" s="87">
        <v>44.931777739300003</v>
      </c>
      <c r="H2217" s="86">
        <v>13</v>
      </c>
      <c r="I2217" s="86">
        <v>78</v>
      </c>
      <c r="J2217" s="87"/>
      <c r="K2217" s="87"/>
      <c r="L2217" s="87"/>
      <c r="M2217" s="87"/>
      <c r="N2217" s="87"/>
      <c r="O2217" s="87"/>
      <c r="P2217" s="87"/>
      <c r="Q2217" s="87"/>
      <c r="R2217" s="87"/>
      <c r="S2217" s="87"/>
      <c r="T2217" s="87"/>
      <c r="U2217" s="87"/>
      <c r="V2217" s="87">
        <v>13</v>
      </c>
      <c r="W2217" s="87"/>
      <c r="X2217" s="87"/>
      <c r="Y2217" s="87"/>
      <c r="Z2217" s="87"/>
      <c r="AA2217" s="87"/>
      <c r="AB2217" s="87"/>
      <c r="AC2217" s="87">
        <v>6</v>
      </c>
      <c r="AD2217" s="87"/>
      <c r="AE2217" s="87"/>
      <c r="AF2217" s="87"/>
      <c r="AG2217" s="87"/>
      <c r="AH2217" s="87">
        <v>7</v>
      </c>
      <c r="AI2217" s="87"/>
      <c r="AJ2217" s="87"/>
      <c r="AK2217" s="87"/>
      <c r="AL2217" s="87"/>
      <c r="AM2217" s="87"/>
      <c r="AN2217" s="87"/>
      <c r="AO2217" s="87">
        <v>10</v>
      </c>
      <c r="AP2217" s="87">
        <v>3</v>
      </c>
      <c r="AQ2217" s="87"/>
      <c r="AR2217" s="87"/>
      <c r="AS2217" s="87"/>
      <c r="AT2217" s="87"/>
      <c r="AU2217" s="87"/>
      <c r="AV2217" s="87"/>
      <c r="AW2217" s="88" t="str">
        <f>HYPERLINK("http://www.openstreetmap.org/?mlat=32.1466&amp;mlon=44.9318&amp;zoom=12#map=12/32.1466/44.9318","Maplink1")</f>
        <v>Maplink1</v>
      </c>
      <c r="AX2217" s="88" t="str">
        <f>HYPERLINK("https://www.google.iq/maps/search/+32.1466,44.9318/@32.1466,44.9318,14z?hl=en","Maplink2")</f>
        <v>Maplink2</v>
      </c>
      <c r="AY2217" s="88" t="str">
        <f>HYPERLINK("http://www.bing.com/maps/?lvl=14&amp;sty=h&amp;cp=32.1466~44.9318&amp;sp=point.32.1466_44.9318","Maplink3")</f>
        <v>Maplink3</v>
      </c>
      <c r="AZ2217" s="76"/>
    </row>
    <row r="2218" spans="1:52" x14ac:dyDescent="0.25">
      <c r="A2218" s="86">
        <v>25790</v>
      </c>
      <c r="B2218" s="87" t="s">
        <v>25</v>
      </c>
      <c r="C2218" s="87" t="s">
        <v>4234</v>
      </c>
      <c r="D2218" s="87" t="s">
        <v>4266</v>
      </c>
      <c r="E2218" s="87" t="s">
        <v>3944</v>
      </c>
      <c r="F2218" s="87">
        <v>31.996962293100001</v>
      </c>
      <c r="G2218" s="87">
        <v>44.874578579599998</v>
      </c>
      <c r="H2218" s="86">
        <v>6</v>
      </c>
      <c r="I2218" s="86">
        <v>36</v>
      </c>
      <c r="J2218" s="87"/>
      <c r="K2218" s="87"/>
      <c r="L2218" s="87"/>
      <c r="M2218" s="87"/>
      <c r="N2218" s="87"/>
      <c r="O2218" s="87"/>
      <c r="P2218" s="87"/>
      <c r="Q2218" s="87"/>
      <c r="R2218" s="87">
        <v>6</v>
      </c>
      <c r="S2218" s="87"/>
      <c r="T2218" s="87"/>
      <c r="U2218" s="87"/>
      <c r="V2218" s="87"/>
      <c r="W2218" s="87"/>
      <c r="X2218" s="87"/>
      <c r="Y2218" s="87"/>
      <c r="Z2218" s="87"/>
      <c r="AA2218" s="87"/>
      <c r="AB2218" s="87"/>
      <c r="AC2218" s="87">
        <v>3</v>
      </c>
      <c r="AD2218" s="87"/>
      <c r="AE2218" s="87"/>
      <c r="AF2218" s="87"/>
      <c r="AG2218" s="87"/>
      <c r="AH2218" s="87">
        <v>3</v>
      </c>
      <c r="AI2218" s="87"/>
      <c r="AJ2218" s="87"/>
      <c r="AK2218" s="87"/>
      <c r="AL2218" s="87"/>
      <c r="AM2218" s="87"/>
      <c r="AN2218" s="87"/>
      <c r="AO2218" s="87">
        <v>6</v>
      </c>
      <c r="AP2218" s="87"/>
      <c r="AQ2218" s="87"/>
      <c r="AR2218" s="87"/>
      <c r="AS2218" s="87"/>
      <c r="AT2218" s="87"/>
      <c r="AU2218" s="87"/>
      <c r="AV2218" s="87"/>
      <c r="AW2218" s="88" t="str">
        <f>HYPERLINK("http://www.openstreetmap.org/?mlat=31.997&amp;mlon=44.8746&amp;zoom=12#map=12/31.997/44.8746","Maplink1")</f>
        <v>Maplink1</v>
      </c>
      <c r="AX2218" s="88" t="str">
        <f>HYPERLINK("https://www.google.iq/maps/search/+31.997,44.8746/@31.997,44.8746,14z?hl=en","Maplink2")</f>
        <v>Maplink2</v>
      </c>
      <c r="AY2218" s="88" t="str">
        <f>HYPERLINK("http://www.bing.com/maps/?lvl=14&amp;sty=h&amp;cp=31.997~44.8746&amp;sp=point.31.997_44.8746","Maplink3")</f>
        <v>Maplink3</v>
      </c>
      <c r="AZ2218" s="76"/>
    </row>
    <row r="2219" spans="1:52" x14ac:dyDescent="0.25">
      <c r="A2219" s="86">
        <v>23551</v>
      </c>
      <c r="B2219" s="87" t="s">
        <v>25</v>
      </c>
      <c r="C2219" s="87" t="s">
        <v>4234</v>
      </c>
      <c r="D2219" s="87" t="s">
        <v>4267</v>
      </c>
      <c r="E2219" s="87" t="s">
        <v>4268</v>
      </c>
      <c r="F2219" s="87">
        <v>32.007400569600001</v>
      </c>
      <c r="G2219" s="87">
        <v>44.870785841199996</v>
      </c>
      <c r="H2219" s="86">
        <v>7</v>
      </c>
      <c r="I2219" s="86">
        <v>42</v>
      </c>
      <c r="J2219" s="87"/>
      <c r="K2219" s="87"/>
      <c r="L2219" s="87"/>
      <c r="M2219" s="87"/>
      <c r="N2219" s="87"/>
      <c r="O2219" s="87"/>
      <c r="P2219" s="87"/>
      <c r="Q2219" s="87"/>
      <c r="R2219" s="87">
        <v>7</v>
      </c>
      <c r="S2219" s="87"/>
      <c r="T2219" s="87"/>
      <c r="U2219" s="87"/>
      <c r="V2219" s="87"/>
      <c r="W2219" s="87"/>
      <c r="X2219" s="87"/>
      <c r="Y2219" s="87"/>
      <c r="Z2219" s="87"/>
      <c r="AA2219" s="87"/>
      <c r="AB2219" s="87"/>
      <c r="AC2219" s="87">
        <v>3</v>
      </c>
      <c r="AD2219" s="87"/>
      <c r="AE2219" s="87"/>
      <c r="AF2219" s="87"/>
      <c r="AG2219" s="87"/>
      <c r="AH2219" s="87">
        <v>4</v>
      </c>
      <c r="AI2219" s="87"/>
      <c r="AJ2219" s="87"/>
      <c r="AK2219" s="87"/>
      <c r="AL2219" s="87"/>
      <c r="AM2219" s="87"/>
      <c r="AN2219" s="87"/>
      <c r="AO2219" s="87">
        <v>7</v>
      </c>
      <c r="AP2219" s="87"/>
      <c r="AQ2219" s="87"/>
      <c r="AR2219" s="87"/>
      <c r="AS2219" s="87"/>
      <c r="AT2219" s="87"/>
      <c r="AU2219" s="87"/>
      <c r="AV2219" s="87"/>
      <c r="AW2219" s="88" t="str">
        <f>HYPERLINK("http://www.openstreetmap.org/?mlat=32.0074&amp;mlon=44.8708&amp;zoom=12#map=12/32.0074/44.8708","Maplink1")</f>
        <v>Maplink1</v>
      </c>
      <c r="AX2219" s="88" t="str">
        <f>HYPERLINK("https://www.google.iq/maps/search/+32.0074,44.8708/@32.0074,44.8708,14z?hl=en","Maplink2")</f>
        <v>Maplink2</v>
      </c>
      <c r="AY2219" s="88" t="str">
        <f>HYPERLINK("http://www.bing.com/maps/?lvl=14&amp;sty=h&amp;cp=32.0074~44.8708&amp;sp=point.32.0074_44.8708","Maplink3")</f>
        <v>Maplink3</v>
      </c>
      <c r="AZ2219" s="76"/>
    </row>
    <row r="2220" spans="1:52" x14ac:dyDescent="0.25">
      <c r="A2220" s="86">
        <v>22815</v>
      </c>
      <c r="B2220" s="87" t="s">
        <v>25</v>
      </c>
      <c r="C2220" s="87" t="s">
        <v>4234</v>
      </c>
      <c r="D2220" s="87" t="s">
        <v>4269</v>
      </c>
      <c r="E2220" s="87" t="s">
        <v>4270</v>
      </c>
      <c r="F2220" s="87">
        <v>31.991753191699999</v>
      </c>
      <c r="G2220" s="87">
        <v>44.921382210700003</v>
      </c>
      <c r="H2220" s="86">
        <v>8</v>
      </c>
      <c r="I2220" s="86">
        <v>48</v>
      </c>
      <c r="J2220" s="87"/>
      <c r="K2220" s="87"/>
      <c r="L2220" s="87"/>
      <c r="M2220" s="87"/>
      <c r="N2220" s="87"/>
      <c r="O2220" s="87"/>
      <c r="P2220" s="87"/>
      <c r="Q2220" s="87"/>
      <c r="R2220" s="87"/>
      <c r="S2220" s="87"/>
      <c r="T2220" s="87"/>
      <c r="U2220" s="87"/>
      <c r="V2220" s="87">
        <v>8</v>
      </c>
      <c r="W2220" s="87"/>
      <c r="X2220" s="87"/>
      <c r="Y2220" s="87"/>
      <c r="Z2220" s="87"/>
      <c r="AA2220" s="87"/>
      <c r="AB2220" s="87"/>
      <c r="AC2220" s="87">
        <v>3</v>
      </c>
      <c r="AD2220" s="87"/>
      <c r="AE2220" s="87"/>
      <c r="AF2220" s="87"/>
      <c r="AG2220" s="87"/>
      <c r="AH2220" s="87">
        <v>5</v>
      </c>
      <c r="AI2220" s="87"/>
      <c r="AJ2220" s="87"/>
      <c r="AK2220" s="87"/>
      <c r="AL2220" s="87"/>
      <c r="AM2220" s="87"/>
      <c r="AN2220" s="87"/>
      <c r="AO2220" s="87"/>
      <c r="AP2220" s="87">
        <v>8</v>
      </c>
      <c r="AQ2220" s="87"/>
      <c r="AR2220" s="87"/>
      <c r="AS2220" s="87"/>
      <c r="AT2220" s="87"/>
      <c r="AU2220" s="87"/>
      <c r="AV2220" s="87"/>
      <c r="AW2220" s="88" t="str">
        <f>HYPERLINK("http://www.openstreetmap.org/?mlat=31.9918&amp;mlon=44.9214&amp;zoom=12#map=12/31.9918/44.9214","Maplink1")</f>
        <v>Maplink1</v>
      </c>
      <c r="AX2220" s="88" t="str">
        <f>HYPERLINK("https://www.google.iq/maps/search/+31.9918,44.9214/@31.9918,44.9214,14z?hl=en","Maplink2")</f>
        <v>Maplink2</v>
      </c>
      <c r="AY2220" s="88" t="str">
        <f>HYPERLINK("http://www.bing.com/maps/?lvl=14&amp;sty=h&amp;cp=31.9918~44.9214&amp;sp=point.31.9918_44.9214","Maplink3")</f>
        <v>Maplink3</v>
      </c>
      <c r="AZ2220" s="76"/>
    </row>
    <row r="2221" spans="1:52" x14ac:dyDescent="0.25">
      <c r="A2221" s="86">
        <v>24739</v>
      </c>
      <c r="B2221" s="87" t="s">
        <v>25</v>
      </c>
      <c r="C2221" s="87" t="s">
        <v>4234</v>
      </c>
      <c r="D2221" s="87" t="s">
        <v>4271</v>
      </c>
      <c r="E2221" s="87" t="s">
        <v>122</v>
      </c>
      <c r="F2221" s="87">
        <v>32.136242439500002</v>
      </c>
      <c r="G2221" s="87">
        <v>44.936344474099997</v>
      </c>
      <c r="H2221" s="86">
        <v>9</v>
      </c>
      <c r="I2221" s="86">
        <v>54</v>
      </c>
      <c r="J2221" s="87"/>
      <c r="K2221" s="87"/>
      <c r="L2221" s="87"/>
      <c r="M2221" s="87"/>
      <c r="N2221" s="87"/>
      <c r="O2221" s="87"/>
      <c r="P2221" s="87"/>
      <c r="Q2221" s="87"/>
      <c r="R2221" s="87"/>
      <c r="S2221" s="87"/>
      <c r="T2221" s="87"/>
      <c r="U2221" s="87"/>
      <c r="V2221" s="87">
        <v>9</v>
      </c>
      <c r="W2221" s="87"/>
      <c r="X2221" s="87"/>
      <c r="Y2221" s="87"/>
      <c r="Z2221" s="87"/>
      <c r="AA2221" s="87"/>
      <c r="AB2221" s="87"/>
      <c r="AC2221" s="87"/>
      <c r="AD2221" s="87"/>
      <c r="AE2221" s="87"/>
      <c r="AF2221" s="87"/>
      <c r="AG2221" s="87">
        <v>3</v>
      </c>
      <c r="AH2221" s="87">
        <v>6</v>
      </c>
      <c r="AI2221" s="87"/>
      <c r="AJ2221" s="87"/>
      <c r="AK2221" s="87"/>
      <c r="AL2221" s="87"/>
      <c r="AM2221" s="87"/>
      <c r="AN2221" s="87"/>
      <c r="AO2221" s="87">
        <v>4</v>
      </c>
      <c r="AP2221" s="87">
        <v>5</v>
      </c>
      <c r="AQ2221" s="87"/>
      <c r="AR2221" s="87"/>
      <c r="AS2221" s="87"/>
      <c r="AT2221" s="87"/>
      <c r="AU2221" s="87"/>
      <c r="AV2221" s="87"/>
      <c r="AW2221" s="88" t="str">
        <f>HYPERLINK("http://www.openstreetmap.org/?mlat=32.1362&amp;mlon=44.9363&amp;zoom=12#map=12/32.1362/44.9363","Maplink1")</f>
        <v>Maplink1</v>
      </c>
      <c r="AX2221" s="88" t="str">
        <f>HYPERLINK("https://www.google.iq/maps/search/+32.1362,44.9363/@32.1362,44.9363,14z?hl=en","Maplink2")</f>
        <v>Maplink2</v>
      </c>
      <c r="AY2221" s="88" t="str">
        <f>HYPERLINK("http://www.bing.com/maps/?lvl=14&amp;sty=h&amp;cp=32.1362~44.9363&amp;sp=point.32.1362_44.9363","Maplink3")</f>
        <v>Maplink3</v>
      </c>
      <c r="AZ2221" s="76"/>
    </row>
    <row r="2222" spans="1:52" x14ac:dyDescent="0.25">
      <c r="A2222" s="86">
        <v>24148</v>
      </c>
      <c r="B2222" s="87" t="s">
        <v>25</v>
      </c>
      <c r="C2222" s="87" t="s">
        <v>4234</v>
      </c>
      <c r="D2222" s="87" t="s">
        <v>4272</v>
      </c>
      <c r="E2222" s="87" t="s">
        <v>4273</v>
      </c>
      <c r="F2222" s="87">
        <v>31.985893340699999</v>
      </c>
      <c r="G2222" s="87">
        <v>44.953046283399999</v>
      </c>
      <c r="H2222" s="86">
        <v>12</v>
      </c>
      <c r="I2222" s="86">
        <v>72</v>
      </c>
      <c r="J2222" s="87"/>
      <c r="K2222" s="87"/>
      <c r="L2222" s="87"/>
      <c r="M2222" s="87"/>
      <c r="N2222" s="87"/>
      <c r="O2222" s="87"/>
      <c r="P2222" s="87"/>
      <c r="Q2222" s="87"/>
      <c r="R2222" s="87">
        <v>3</v>
      </c>
      <c r="S2222" s="87"/>
      <c r="T2222" s="87"/>
      <c r="U2222" s="87"/>
      <c r="V2222" s="87">
        <v>9</v>
      </c>
      <c r="W2222" s="87"/>
      <c r="X2222" s="87"/>
      <c r="Y2222" s="87"/>
      <c r="Z2222" s="87"/>
      <c r="AA2222" s="87"/>
      <c r="AB2222" s="87"/>
      <c r="AC2222" s="87">
        <v>5</v>
      </c>
      <c r="AD2222" s="87"/>
      <c r="AE2222" s="87"/>
      <c r="AF2222" s="87"/>
      <c r="AG2222" s="87"/>
      <c r="AH2222" s="87">
        <v>7</v>
      </c>
      <c r="AI2222" s="87"/>
      <c r="AJ2222" s="87"/>
      <c r="AK2222" s="87"/>
      <c r="AL2222" s="87"/>
      <c r="AM2222" s="87"/>
      <c r="AN2222" s="87"/>
      <c r="AO2222" s="87">
        <v>10</v>
      </c>
      <c r="AP2222" s="87">
        <v>2</v>
      </c>
      <c r="AQ2222" s="87"/>
      <c r="AR2222" s="87"/>
      <c r="AS2222" s="87"/>
      <c r="AT2222" s="87"/>
      <c r="AU2222" s="87"/>
      <c r="AV2222" s="87"/>
      <c r="AW2222" s="88" t="str">
        <f>HYPERLINK("http://www.openstreetmap.org/?mlat=31.9859&amp;mlon=44.953&amp;zoom=12#map=12/31.9859/44.953","Maplink1")</f>
        <v>Maplink1</v>
      </c>
      <c r="AX2222" s="88" t="str">
        <f>HYPERLINK("https://www.google.iq/maps/search/+31.9859,44.953/@31.9859,44.953,14z?hl=en","Maplink2")</f>
        <v>Maplink2</v>
      </c>
      <c r="AY2222" s="88" t="str">
        <f>HYPERLINK("http://www.bing.com/maps/?lvl=14&amp;sty=h&amp;cp=31.9859~44.953&amp;sp=point.31.9859_44.953","Maplink3")</f>
        <v>Maplink3</v>
      </c>
      <c r="AZ2222" s="76"/>
    </row>
    <row r="2223" spans="1:52" x14ac:dyDescent="0.25">
      <c r="A2223" s="86">
        <v>23680</v>
      </c>
      <c r="B2223" s="87" t="s">
        <v>25</v>
      </c>
      <c r="C2223" s="87" t="s">
        <v>4234</v>
      </c>
      <c r="D2223" s="87" t="s">
        <v>4274</v>
      </c>
      <c r="E2223" s="87" t="s">
        <v>4275</v>
      </c>
      <c r="F2223" s="87">
        <v>32.011688913900002</v>
      </c>
      <c r="G2223" s="87">
        <v>44.919243129000002</v>
      </c>
      <c r="H2223" s="86">
        <v>10</v>
      </c>
      <c r="I2223" s="86">
        <v>60</v>
      </c>
      <c r="J2223" s="87"/>
      <c r="K2223" s="87"/>
      <c r="L2223" s="87">
        <v>5</v>
      </c>
      <c r="M2223" s="87"/>
      <c r="N2223" s="87"/>
      <c r="O2223" s="87"/>
      <c r="P2223" s="87"/>
      <c r="Q2223" s="87"/>
      <c r="R2223" s="87">
        <v>5</v>
      </c>
      <c r="S2223" s="87"/>
      <c r="T2223" s="87"/>
      <c r="U2223" s="87"/>
      <c r="V2223" s="87"/>
      <c r="W2223" s="87"/>
      <c r="X2223" s="87"/>
      <c r="Y2223" s="87"/>
      <c r="Z2223" s="87"/>
      <c r="AA2223" s="87"/>
      <c r="AB2223" s="87"/>
      <c r="AC2223" s="87">
        <v>3</v>
      </c>
      <c r="AD2223" s="87"/>
      <c r="AE2223" s="87"/>
      <c r="AF2223" s="87"/>
      <c r="AG2223" s="87"/>
      <c r="AH2223" s="87">
        <v>7</v>
      </c>
      <c r="AI2223" s="87"/>
      <c r="AJ2223" s="87"/>
      <c r="AK2223" s="87"/>
      <c r="AL2223" s="87"/>
      <c r="AM2223" s="87"/>
      <c r="AN2223" s="87"/>
      <c r="AO2223" s="87">
        <v>5</v>
      </c>
      <c r="AP2223" s="87">
        <v>5</v>
      </c>
      <c r="AQ2223" s="87"/>
      <c r="AR2223" s="87"/>
      <c r="AS2223" s="87"/>
      <c r="AT2223" s="87"/>
      <c r="AU2223" s="87"/>
      <c r="AV2223" s="87"/>
      <c r="AW2223" s="88" t="str">
        <f>HYPERLINK("http://www.openstreetmap.org/?mlat=32.0117&amp;mlon=44.9192&amp;zoom=12#map=12/32.0117/44.9192","Maplink1")</f>
        <v>Maplink1</v>
      </c>
      <c r="AX2223" s="88" t="str">
        <f>HYPERLINK("https://www.google.iq/maps/search/+32.0117,44.9192/@32.0117,44.9192,14z?hl=en","Maplink2")</f>
        <v>Maplink2</v>
      </c>
      <c r="AY2223" s="88" t="str">
        <f>HYPERLINK("http://www.bing.com/maps/?lvl=14&amp;sty=h&amp;cp=32.0117~44.9192&amp;sp=point.32.0117_44.9192","Maplink3")</f>
        <v>Maplink3</v>
      </c>
      <c r="AZ2223" s="76"/>
    </row>
    <row r="2224" spans="1:52" x14ac:dyDescent="0.25">
      <c r="A2224" s="86">
        <v>24903</v>
      </c>
      <c r="B2224" s="87" t="s">
        <v>25</v>
      </c>
      <c r="C2224" s="87" t="s">
        <v>4234</v>
      </c>
      <c r="D2224" s="87" t="s">
        <v>4276</v>
      </c>
      <c r="E2224" s="87" t="s">
        <v>4277</v>
      </c>
      <c r="F2224" s="87">
        <v>32.006378062099998</v>
      </c>
      <c r="G2224" s="87">
        <v>44.937357457700003</v>
      </c>
      <c r="H2224" s="86">
        <v>6</v>
      </c>
      <c r="I2224" s="86">
        <v>36</v>
      </c>
      <c r="J2224" s="87"/>
      <c r="K2224" s="87"/>
      <c r="L2224" s="87"/>
      <c r="M2224" s="87"/>
      <c r="N2224" s="87"/>
      <c r="O2224" s="87"/>
      <c r="P2224" s="87"/>
      <c r="Q2224" s="87"/>
      <c r="R2224" s="87">
        <v>6</v>
      </c>
      <c r="S2224" s="87"/>
      <c r="T2224" s="87"/>
      <c r="U2224" s="87"/>
      <c r="V2224" s="87"/>
      <c r="W2224" s="87"/>
      <c r="X2224" s="87"/>
      <c r="Y2224" s="87"/>
      <c r="Z2224" s="87"/>
      <c r="AA2224" s="87"/>
      <c r="AB2224" s="87"/>
      <c r="AC2224" s="87">
        <v>2</v>
      </c>
      <c r="AD2224" s="87"/>
      <c r="AE2224" s="87"/>
      <c r="AF2224" s="87"/>
      <c r="AG2224" s="87"/>
      <c r="AH2224" s="87">
        <v>4</v>
      </c>
      <c r="AI2224" s="87"/>
      <c r="AJ2224" s="87"/>
      <c r="AK2224" s="87"/>
      <c r="AL2224" s="87"/>
      <c r="AM2224" s="87"/>
      <c r="AN2224" s="87"/>
      <c r="AO2224" s="87">
        <v>6</v>
      </c>
      <c r="AP2224" s="87"/>
      <c r="AQ2224" s="87"/>
      <c r="AR2224" s="87"/>
      <c r="AS2224" s="87"/>
      <c r="AT2224" s="87"/>
      <c r="AU2224" s="87"/>
      <c r="AV2224" s="87"/>
      <c r="AW2224" s="88" t="str">
        <f>HYPERLINK("http://www.openstreetmap.org/?mlat=32.0064&amp;mlon=44.9374&amp;zoom=12#map=12/32.0064/44.9374","Maplink1")</f>
        <v>Maplink1</v>
      </c>
      <c r="AX2224" s="88" t="str">
        <f>HYPERLINK("https://www.google.iq/maps/search/+32.0064,44.9374/@32.0064,44.9374,14z?hl=en","Maplink2")</f>
        <v>Maplink2</v>
      </c>
      <c r="AY2224" s="88" t="str">
        <f>HYPERLINK("http://www.bing.com/maps/?lvl=14&amp;sty=h&amp;cp=32.0064~44.9374&amp;sp=point.32.0064_44.9374","Maplink3")</f>
        <v>Maplink3</v>
      </c>
      <c r="AZ2224" s="76"/>
    </row>
    <row r="2225" spans="1:52" x14ac:dyDescent="0.25">
      <c r="A2225" s="86">
        <v>24208</v>
      </c>
      <c r="B2225" s="87" t="s">
        <v>25</v>
      </c>
      <c r="C2225" s="87" t="s">
        <v>4234</v>
      </c>
      <c r="D2225" s="87" t="s">
        <v>4278</v>
      </c>
      <c r="E2225" s="87" t="s">
        <v>4279</v>
      </c>
      <c r="F2225" s="87">
        <v>32.004631944000003</v>
      </c>
      <c r="G2225" s="87">
        <v>44.942378208599997</v>
      </c>
      <c r="H2225" s="86">
        <v>11</v>
      </c>
      <c r="I2225" s="86">
        <v>66</v>
      </c>
      <c r="J2225" s="87"/>
      <c r="K2225" s="87"/>
      <c r="L2225" s="87">
        <v>3</v>
      </c>
      <c r="M2225" s="87"/>
      <c r="N2225" s="87"/>
      <c r="O2225" s="87"/>
      <c r="P2225" s="87"/>
      <c r="Q2225" s="87"/>
      <c r="R2225" s="87">
        <v>8</v>
      </c>
      <c r="S2225" s="87"/>
      <c r="T2225" s="87"/>
      <c r="U2225" s="87"/>
      <c r="V2225" s="87"/>
      <c r="W2225" s="87"/>
      <c r="X2225" s="87"/>
      <c r="Y2225" s="87"/>
      <c r="Z2225" s="87"/>
      <c r="AA2225" s="87"/>
      <c r="AB2225" s="87"/>
      <c r="AC2225" s="87">
        <v>2</v>
      </c>
      <c r="AD2225" s="87"/>
      <c r="AE2225" s="87"/>
      <c r="AF2225" s="87"/>
      <c r="AG2225" s="87"/>
      <c r="AH2225" s="87">
        <v>9</v>
      </c>
      <c r="AI2225" s="87"/>
      <c r="AJ2225" s="87"/>
      <c r="AK2225" s="87"/>
      <c r="AL2225" s="87"/>
      <c r="AM2225" s="87"/>
      <c r="AN2225" s="87"/>
      <c r="AO2225" s="87">
        <v>8</v>
      </c>
      <c r="AP2225" s="87">
        <v>3</v>
      </c>
      <c r="AQ2225" s="87"/>
      <c r="AR2225" s="87"/>
      <c r="AS2225" s="87"/>
      <c r="AT2225" s="87"/>
      <c r="AU2225" s="87"/>
      <c r="AV2225" s="87"/>
      <c r="AW2225" s="88" t="str">
        <f>HYPERLINK("http://www.openstreetmap.org/?mlat=32.0046&amp;mlon=44.9424&amp;zoom=12#map=12/32.0046/44.9424","Maplink1")</f>
        <v>Maplink1</v>
      </c>
      <c r="AX2225" s="88" t="str">
        <f>HYPERLINK("https://www.google.iq/maps/search/+32.0046,44.9424/@32.0046,44.9424,14z?hl=en","Maplink2")</f>
        <v>Maplink2</v>
      </c>
      <c r="AY2225" s="88" t="str">
        <f>HYPERLINK("http://www.bing.com/maps/?lvl=14&amp;sty=h&amp;cp=32.0046~44.9424&amp;sp=point.32.0046_44.9424","Maplink3")</f>
        <v>Maplink3</v>
      </c>
      <c r="AZ2225" s="76"/>
    </row>
    <row r="2226" spans="1:52" x14ac:dyDescent="0.25">
      <c r="A2226" s="86">
        <v>24149</v>
      </c>
      <c r="B2226" s="87" t="s">
        <v>25</v>
      </c>
      <c r="C2226" s="87" t="s">
        <v>4234</v>
      </c>
      <c r="D2226" s="87" t="s">
        <v>4280</v>
      </c>
      <c r="E2226" s="87" t="s">
        <v>4281</v>
      </c>
      <c r="F2226" s="87">
        <v>32.1357497849</v>
      </c>
      <c r="G2226" s="87">
        <v>44.930514798300003</v>
      </c>
      <c r="H2226" s="86">
        <v>9</v>
      </c>
      <c r="I2226" s="86">
        <v>54</v>
      </c>
      <c r="J2226" s="87"/>
      <c r="K2226" s="87"/>
      <c r="L2226" s="87"/>
      <c r="M2226" s="87"/>
      <c r="N2226" s="87"/>
      <c r="O2226" s="87"/>
      <c r="P2226" s="87"/>
      <c r="Q2226" s="87"/>
      <c r="R2226" s="87"/>
      <c r="S2226" s="87"/>
      <c r="T2226" s="87"/>
      <c r="U2226" s="87"/>
      <c r="V2226" s="87">
        <v>9</v>
      </c>
      <c r="W2226" s="87"/>
      <c r="X2226" s="87"/>
      <c r="Y2226" s="87"/>
      <c r="Z2226" s="87"/>
      <c r="AA2226" s="87"/>
      <c r="AB2226" s="87"/>
      <c r="AC2226" s="87"/>
      <c r="AD2226" s="87"/>
      <c r="AE2226" s="87"/>
      <c r="AF2226" s="87"/>
      <c r="AG2226" s="87">
        <v>4</v>
      </c>
      <c r="AH2226" s="87">
        <v>5</v>
      </c>
      <c r="AI2226" s="87"/>
      <c r="AJ2226" s="87"/>
      <c r="AK2226" s="87"/>
      <c r="AL2226" s="87"/>
      <c r="AM2226" s="87"/>
      <c r="AN2226" s="87"/>
      <c r="AO2226" s="87">
        <v>6</v>
      </c>
      <c r="AP2226" s="87">
        <v>3</v>
      </c>
      <c r="AQ2226" s="87"/>
      <c r="AR2226" s="87"/>
      <c r="AS2226" s="87"/>
      <c r="AT2226" s="87"/>
      <c r="AU2226" s="87"/>
      <c r="AV2226" s="87"/>
      <c r="AW2226" s="88" t="str">
        <f>HYPERLINK("http://www.openstreetmap.org/?mlat=32.1357&amp;mlon=44.9305&amp;zoom=12#map=12/32.1357/44.9305","Maplink1")</f>
        <v>Maplink1</v>
      </c>
      <c r="AX2226" s="88" t="str">
        <f>HYPERLINK("https://www.google.iq/maps/search/+32.1357,44.9305/@32.1357,44.9305,14z?hl=en","Maplink2")</f>
        <v>Maplink2</v>
      </c>
      <c r="AY2226" s="88" t="str">
        <f>HYPERLINK("http://www.bing.com/maps/?lvl=14&amp;sty=h&amp;cp=32.1357~44.9305&amp;sp=point.32.1357_44.9305","Maplink3")</f>
        <v>Maplink3</v>
      </c>
      <c r="AZ2226" s="76"/>
    </row>
    <row r="2227" spans="1:52" x14ac:dyDescent="0.25">
      <c r="A2227" s="86">
        <v>24382</v>
      </c>
      <c r="B2227" s="87" t="s">
        <v>25</v>
      </c>
      <c r="C2227" s="87" t="s">
        <v>4234</v>
      </c>
      <c r="D2227" s="87" t="s">
        <v>4282</v>
      </c>
      <c r="E2227" s="87" t="s">
        <v>4283</v>
      </c>
      <c r="F2227" s="87">
        <v>32.001801389299999</v>
      </c>
      <c r="G2227" s="87">
        <v>44.864047244299996</v>
      </c>
      <c r="H2227" s="86">
        <v>13</v>
      </c>
      <c r="I2227" s="86">
        <v>78</v>
      </c>
      <c r="J2227" s="87"/>
      <c r="K2227" s="87"/>
      <c r="L2227" s="87"/>
      <c r="M2227" s="87"/>
      <c r="N2227" s="87"/>
      <c r="O2227" s="87"/>
      <c r="P2227" s="87"/>
      <c r="Q2227" s="87"/>
      <c r="R2227" s="87">
        <v>3</v>
      </c>
      <c r="S2227" s="87"/>
      <c r="T2227" s="87"/>
      <c r="U2227" s="87"/>
      <c r="V2227" s="87">
        <v>10</v>
      </c>
      <c r="W2227" s="87"/>
      <c r="X2227" s="87"/>
      <c r="Y2227" s="87"/>
      <c r="Z2227" s="87"/>
      <c r="AA2227" s="87"/>
      <c r="AB2227" s="87"/>
      <c r="AC2227" s="87"/>
      <c r="AD2227" s="87"/>
      <c r="AE2227" s="87"/>
      <c r="AF2227" s="87"/>
      <c r="AG2227" s="87">
        <v>5</v>
      </c>
      <c r="AH2227" s="87">
        <v>8</v>
      </c>
      <c r="AI2227" s="87"/>
      <c r="AJ2227" s="87"/>
      <c r="AK2227" s="87"/>
      <c r="AL2227" s="87"/>
      <c r="AM2227" s="87"/>
      <c r="AN2227" s="87"/>
      <c r="AO2227" s="87">
        <v>13</v>
      </c>
      <c r="AP2227" s="87"/>
      <c r="AQ2227" s="87"/>
      <c r="AR2227" s="87"/>
      <c r="AS2227" s="87"/>
      <c r="AT2227" s="87"/>
      <c r="AU2227" s="87"/>
      <c r="AV2227" s="87"/>
      <c r="AW2227" s="88" t="str">
        <f>HYPERLINK("http://www.openstreetmap.org/?mlat=32.0018&amp;mlon=44.864&amp;zoom=12#map=12/32.0018/44.864","Maplink1")</f>
        <v>Maplink1</v>
      </c>
      <c r="AX2227" s="88" t="str">
        <f>HYPERLINK("https://www.google.iq/maps/search/+32.0018,44.864/@32.0018,44.864,14z?hl=en","Maplink2")</f>
        <v>Maplink2</v>
      </c>
      <c r="AY2227" s="88" t="str">
        <f>HYPERLINK("http://www.bing.com/maps/?lvl=14&amp;sty=h&amp;cp=32.0018~44.864&amp;sp=point.32.0018_44.864","Maplink3")</f>
        <v>Maplink3</v>
      </c>
      <c r="AZ2227" s="76"/>
    </row>
    <row r="2228" spans="1:52" x14ac:dyDescent="0.25">
      <c r="A2228" s="86">
        <v>21727</v>
      </c>
      <c r="B2228" s="87" t="s">
        <v>25</v>
      </c>
      <c r="C2228" s="87" t="s">
        <v>4234</v>
      </c>
      <c r="D2228" s="87" t="s">
        <v>4284</v>
      </c>
      <c r="E2228" s="87" t="s">
        <v>4285</v>
      </c>
      <c r="F2228" s="87">
        <v>31.9708801992</v>
      </c>
      <c r="G2228" s="87">
        <v>44.965697970299999</v>
      </c>
      <c r="H2228" s="86">
        <v>4</v>
      </c>
      <c r="I2228" s="86">
        <v>24</v>
      </c>
      <c r="J2228" s="87"/>
      <c r="K2228" s="87"/>
      <c r="L2228" s="87"/>
      <c r="M2228" s="87"/>
      <c r="N2228" s="87"/>
      <c r="O2228" s="87"/>
      <c r="P2228" s="87"/>
      <c r="Q2228" s="87"/>
      <c r="R2228" s="87">
        <v>2</v>
      </c>
      <c r="S2228" s="87"/>
      <c r="T2228" s="87"/>
      <c r="U2228" s="87"/>
      <c r="V2228" s="87">
        <v>2</v>
      </c>
      <c r="W2228" s="87"/>
      <c r="X2228" s="87"/>
      <c r="Y2228" s="87"/>
      <c r="Z2228" s="87"/>
      <c r="AA2228" s="87"/>
      <c r="AB2228" s="87"/>
      <c r="AC2228" s="87"/>
      <c r="AD2228" s="87"/>
      <c r="AE2228" s="87"/>
      <c r="AF2228" s="87"/>
      <c r="AG2228" s="87">
        <v>3</v>
      </c>
      <c r="AH2228" s="87">
        <v>1</v>
      </c>
      <c r="AI2228" s="87"/>
      <c r="AJ2228" s="87"/>
      <c r="AK2228" s="87"/>
      <c r="AL2228" s="87"/>
      <c r="AM2228" s="87"/>
      <c r="AN2228" s="87"/>
      <c r="AO2228" s="87">
        <v>2</v>
      </c>
      <c r="AP2228" s="87">
        <v>2</v>
      </c>
      <c r="AQ2228" s="87"/>
      <c r="AR2228" s="87"/>
      <c r="AS2228" s="87"/>
      <c r="AT2228" s="87"/>
      <c r="AU2228" s="87"/>
      <c r="AV2228" s="87"/>
      <c r="AW2228" s="88" t="str">
        <f>HYPERLINK("http://www.openstreetmap.org/?mlat=31.9709&amp;mlon=44.9657&amp;zoom=12#map=12/31.9709/44.9657","Maplink1")</f>
        <v>Maplink1</v>
      </c>
      <c r="AX2228" s="88" t="str">
        <f>HYPERLINK("https://www.google.iq/maps/search/+31.9709,44.9657/@31.9709,44.9657,14z?hl=en","Maplink2")</f>
        <v>Maplink2</v>
      </c>
      <c r="AY2228" s="88" t="str">
        <f>HYPERLINK("http://www.bing.com/maps/?lvl=14&amp;sty=h&amp;cp=31.9709~44.9657&amp;sp=point.31.9709_44.9657","Maplink3")</f>
        <v>Maplink3</v>
      </c>
      <c r="AZ2228" s="76"/>
    </row>
    <row r="2229" spans="1:52" x14ac:dyDescent="0.25">
      <c r="A2229" s="86">
        <v>24309</v>
      </c>
      <c r="B2229" s="87" t="s">
        <v>25</v>
      </c>
      <c r="C2229" s="87" t="s">
        <v>4234</v>
      </c>
      <c r="D2229" s="87" t="s">
        <v>4286</v>
      </c>
      <c r="E2229" s="87" t="s">
        <v>4215</v>
      </c>
      <c r="F2229" s="87">
        <v>32.057930585999998</v>
      </c>
      <c r="G2229" s="87">
        <v>44.772994807300002</v>
      </c>
      <c r="H2229" s="86">
        <v>9</v>
      </c>
      <c r="I2229" s="86">
        <v>54</v>
      </c>
      <c r="J2229" s="87"/>
      <c r="K2229" s="87"/>
      <c r="L2229" s="87"/>
      <c r="M2229" s="87"/>
      <c r="N2229" s="87"/>
      <c r="O2229" s="87"/>
      <c r="P2229" s="87"/>
      <c r="Q2229" s="87"/>
      <c r="R2229" s="87"/>
      <c r="S2229" s="87"/>
      <c r="T2229" s="87"/>
      <c r="U2229" s="87"/>
      <c r="V2229" s="87">
        <v>9</v>
      </c>
      <c r="W2229" s="87"/>
      <c r="X2229" s="87"/>
      <c r="Y2229" s="87"/>
      <c r="Z2229" s="87"/>
      <c r="AA2229" s="87"/>
      <c r="AB2229" s="87"/>
      <c r="AC2229" s="87"/>
      <c r="AD2229" s="87"/>
      <c r="AE2229" s="87"/>
      <c r="AF2229" s="87"/>
      <c r="AG2229" s="87"/>
      <c r="AH2229" s="87">
        <v>9</v>
      </c>
      <c r="AI2229" s="87"/>
      <c r="AJ2229" s="87"/>
      <c r="AK2229" s="87"/>
      <c r="AL2229" s="87"/>
      <c r="AM2229" s="87"/>
      <c r="AN2229" s="87"/>
      <c r="AO2229" s="87">
        <v>9</v>
      </c>
      <c r="AP2229" s="87"/>
      <c r="AQ2229" s="87"/>
      <c r="AR2229" s="87"/>
      <c r="AS2229" s="87"/>
      <c r="AT2229" s="87"/>
      <c r="AU2229" s="87"/>
      <c r="AV2229" s="87"/>
      <c r="AW2229" s="88" t="str">
        <f>HYPERLINK("http://www.openstreetmap.org/?mlat=32.0579&amp;mlon=44.773&amp;zoom=12#map=12/32.0579/44.773","Maplink1")</f>
        <v>Maplink1</v>
      </c>
      <c r="AX2229" s="88" t="str">
        <f>HYPERLINK("https://www.google.iq/maps/search/+32.0579,44.773/@32.0579,44.773,14z?hl=en","Maplink2")</f>
        <v>Maplink2</v>
      </c>
      <c r="AY2229" s="88" t="str">
        <f>HYPERLINK("http://www.bing.com/maps/?lvl=14&amp;sty=h&amp;cp=32.0579~44.773&amp;sp=point.32.0579_44.773","Maplink3")</f>
        <v>Maplink3</v>
      </c>
      <c r="AZ2229" s="76"/>
    </row>
    <row r="2230" spans="1:52" x14ac:dyDescent="0.25">
      <c r="A2230" s="86">
        <v>21734</v>
      </c>
      <c r="B2230" s="87" t="s">
        <v>25</v>
      </c>
      <c r="C2230" s="87" t="s">
        <v>4234</v>
      </c>
      <c r="D2230" s="87" t="s">
        <v>4287</v>
      </c>
      <c r="E2230" s="87" t="s">
        <v>4288</v>
      </c>
      <c r="F2230" s="87">
        <v>31.995855404</v>
      </c>
      <c r="G2230" s="87">
        <v>44.943379650799997</v>
      </c>
      <c r="H2230" s="86">
        <v>4</v>
      </c>
      <c r="I2230" s="86">
        <v>24</v>
      </c>
      <c r="J2230" s="87"/>
      <c r="K2230" s="87"/>
      <c r="L2230" s="87"/>
      <c r="M2230" s="87"/>
      <c r="N2230" s="87"/>
      <c r="O2230" s="87"/>
      <c r="P2230" s="87"/>
      <c r="Q2230" s="87"/>
      <c r="R2230" s="87">
        <v>4</v>
      </c>
      <c r="S2230" s="87"/>
      <c r="T2230" s="87"/>
      <c r="U2230" s="87"/>
      <c r="V2230" s="87"/>
      <c r="W2230" s="87"/>
      <c r="X2230" s="87"/>
      <c r="Y2230" s="87"/>
      <c r="Z2230" s="87"/>
      <c r="AA2230" s="87"/>
      <c r="AB2230" s="87"/>
      <c r="AC2230" s="87">
        <v>1</v>
      </c>
      <c r="AD2230" s="87"/>
      <c r="AE2230" s="87"/>
      <c r="AF2230" s="87"/>
      <c r="AG2230" s="87"/>
      <c r="AH2230" s="87">
        <v>3</v>
      </c>
      <c r="AI2230" s="87"/>
      <c r="AJ2230" s="87"/>
      <c r="AK2230" s="87"/>
      <c r="AL2230" s="87"/>
      <c r="AM2230" s="87"/>
      <c r="AN2230" s="87"/>
      <c r="AO2230" s="87">
        <v>4</v>
      </c>
      <c r="AP2230" s="87"/>
      <c r="AQ2230" s="87"/>
      <c r="AR2230" s="87"/>
      <c r="AS2230" s="87"/>
      <c r="AT2230" s="87"/>
      <c r="AU2230" s="87"/>
      <c r="AV2230" s="87"/>
      <c r="AW2230" s="88" t="str">
        <f>HYPERLINK("http://www.openstreetmap.org/?mlat=31.9959&amp;mlon=44.9434&amp;zoom=12#map=12/31.9959/44.9434","Maplink1")</f>
        <v>Maplink1</v>
      </c>
      <c r="AX2230" s="88" t="str">
        <f>HYPERLINK("https://www.google.iq/maps/search/+31.9959,44.9434/@31.9959,44.9434,14z?hl=en","Maplink2")</f>
        <v>Maplink2</v>
      </c>
      <c r="AY2230" s="88" t="str">
        <f>HYPERLINK("http://www.bing.com/maps/?lvl=14&amp;sty=h&amp;cp=31.9959~44.9434&amp;sp=point.31.9959_44.9434","Maplink3")</f>
        <v>Maplink3</v>
      </c>
      <c r="AZ2230" s="76"/>
    </row>
    <row r="2231" spans="1:52" x14ac:dyDescent="0.25">
      <c r="A2231" s="86">
        <v>21945</v>
      </c>
      <c r="B2231" s="87" t="s">
        <v>25</v>
      </c>
      <c r="C2231" s="87" t="s">
        <v>4234</v>
      </c>
      <c r="D2231" s="87" t="s">
        <v>4289</v>
      </c>
      <c r="E2231" s="87" t="s">
        <v>4290</v>
      </c>
      <c r="F2231" s="87">
        <v>31.993009728099999</v>
      </c>
      <c r="G2231" s="87">
        <v>44.946743119300002</v>
      </c>
      <c r="H2231" s="86">
        <v>6</v>
      </c>
      <c r="I2231" s="86">
        <v>36</v>
      </c>
      <c r="J2231" s="87"/>
      <c r="K2231" s="87"/>
      <c r="L2231" s="87"/>
      <c r="M2231" s="87"/>
      <c r="N2231" s="87"/>
      <c r="O2231" s="87"/>
      <c r="P2231" s="87"/>
      <c r="Q2231" s="87"/>
      <c r="R2231" s="87">
        <v>6</v>
      </c>
      <c r="S2231" s="87"/>
      <c r="T2231" s="87"/>
      <c r="U2231" s="87"/>
      <c r="V2231" s="87"/>
      <c r="W2231" s="87"/>
      <c r="X2231" s="87"/>
      <c r="Y2231" s="87"/>
      <c r="Z2231" s="87"/>
      <c r="AA2231" s="87"/>
      <c r="AB2231" s="87"/>
      <c r="AC2231" s="87">
        <v>2</v>
      </c>
      <c r="AD2231" s="87"/>
      <c r="AE2231" s="87"/>
      <c r="AF2231" s="87"/>
      <c r="AG2231" s="87"/>
      <c r="AH2231" s="87">
        <v>4</v>
      </c>
      <c r="AI2231" s="87"/>
      <c r="AJ2231" s="87"/>
      <c r="AK2231" s="87"/>
      <c r="AL2231" s="87"/>
      <c r="AM2231" s="87"/>
      <c r="AN2231" s="87"/>
      <c r="AO2231" s="87">
        <v>6</v>
      </c>
      <c r="AP2231" s="87"/>
      <c r="AQ2231" s="87"/>
      <c r="AR2231" s="87"/>
      <c r="AS2231" s="87"/>
      <c r="AT2231" s="87"/>
      <c r="AU2231" s="87"/>
      <c r="AV2231" s="87"/>
      <c r="AW2231" s="88" t="str">
        <f>HYPERLINK("http://www.openstreetmap.org/?mlat=31.993&amp;mlon=44.9467&amp;zoom=12#map=12/31.993/44.9467","Maplink1")</f>
        <v>Maplink1</v>
      </c>
      <c r="AX2231" s="88" t="str">
        <f>HYPERLINK("https://www.google.iq/maps/search/+31.993,44.9467/@31.993,44.9467,14z?hl=en","Maplink2")</f>
        <v>Maplink2</v>
      </c>
      <c r="AY2231" s="88" t="str">
        <f>HYPERLINK("http://www.bing.com/maps/?lvl=14&amp;sty=h&amp;cp=31.993~44.9467&amp;sp=point.31.993_44.9467","Maplink3")</f>
        <v>Maplink3</v>
      </c>
      <c r="AZ2231" s="76"/>
    </row>
    <row r="2232" spans="1:52" x14ac:dyDescent="0.25">
      <c r="A2232" s="86">
        <v>25567</v>
      </c>
      <c r="B2232" s="87" t="s">
        <v>25</v>
      </c>
      <c r="C2232" s="87" t="s">
        <v>4234</v>
      </c>
      <c r="D2232" s="87" t="s">
        <v>4291</v>
      </c>
      <c r="E2232" s="87" t="s">
        <v>4292</v>
      </c>
      <c r="F2232" s="87">
        <v>32.004819279499998</v>
      </c>
      <c r="G2232" s="87">
        <v>44.849921141800003</v>
      </c>
      <c r="H2232" s="86">
        <v>8</v>
      </c>
      <c r="I2232" s="86">
        <v>48</v>
      </c>
      <c r="J2232" s="87"/>
      <c r="K2232" s="87"/>
      <c r="L2232" s="87"/>
      <c r="M2232" s="87"/>
      <c r="N2232" s="87"/>
      <c r="O2232" s="87"/>
      <c r="P2232" s="87"/>
      <c r="Q2232" s="87"/>
      <c r="R2232" s="87"/>
      <c r="S2232" s="87"/>
      <c r="T2232" s="87"/>
      <c r="U2232" s="87"/>
      <c r="V2232" s="87">
        <v>8</v>
      </c>
      <c r="W2232" s="87"/>
      <c r="X2232" s="87"/>
      <c r="Y2232" s="87"/>
      <c r="Z2232" s="87"/>
      <c r="AA2232" s="87"/>
      <c r="AB2232" s="87"/>
      <c r="AC2232" s="87"/>
      <c r="AD2232" s="87"/>
      <c r="AE2232" s="87"/>
      <c r="AF2232" s="87"/>
      <c r="AG2232" s="87">
        <v>4</v>
      </c>
      <c r="AH2232" s="87">
        <v>4</v>
      </c>
      <c r="AI2232" s="87"/>
      <c r="AJ2232" s="87"/>
      <c r="AK2232" s="87"/>
      <c r="AL2232" s="87"/>
      <c r="AM2232" s="87"/>
      <c r="AN2232" s="87"/>
      <c r="AO2232" s="87">
        <v>8</v>
      </c>
      <c r="AP2232" s="87"/>
      <c r="AQ2232" s="87"/>
      <c r="AR2232" s="87"/>
      <c r="AS2232" s="87"/>
      <c r="AT2232" s="87"/>
      <c r="AU2232" s="87"/>
      <c r="AV2232" s="87"/>
      <c r="AW2232" s="88" t="str">
        <f>HYPERLINK("http://www.openstreetmap.org/?mlat=32.0048&amp;mlon=44.8499&amp;zoom=12#map=12/32.0048/44.8499","Maplink1")</f>
        <v>Maplink1</v>
      </c>
      <c r="AX2232" s="88" t="str">
        <f>HYPERLINK("https://www.google.iq/maps/search/+32.0048,44.8499/@32.0048,44.8499,14z?hl=en","Maplink2")</f>
        <v>Maplink2</v>
      </c>
      <c r="AY2232" s="88" t="str">
        <f>HYPERLINK("http://www.bing.com/maps/?lvl=14&amp;sty=h&amp;cp=32.0048~44.8499&amp;sp=point.32.0048_44.8499","Maplink3")</f>
        <v>Maplink3</v>
      </c>
      <c r="AZ2232" s="76"/>
    </row>
    <row r="2233" spans="1:52" x14ac:dyDescent="0.25">
      <c r="A2233" s="86">
        <v>25568</v>
      </c>
      <c r="B2233" s="87" t="s">
        <v>25</v>
      </c>
      <c r="C2233" s="87" t="s">
        <v>4234</v>
      </c>
      <c r="D2233" s="87" t="s">
        <v>4293</v>
      </c>
      <c r="E2233" s="87" t="s">
        <v>4294</v>
      </c>
      <c r="F2233" s="87">
        <v>32.006298769300003</v>
      </c>
      <c r="G2233" s="87">
        <v>44.844773216599997</v>
      </c>
      <c r="H2233" s="86">
        <v>8</v>
      </c>
      <c r="I2233" s="86">
        <v>48</v>
      </c>
      <c r="J2233" s="87"/>
      <c r="K2233" s="87"/>
      <c r="L2233" s="87"/>
      <c r="M2233" s="87"/>
      <c r="N2233" s="87"/>
      <c r="O2233" s="87"/>
      <c r="P2233" s="87"/>
      <c r="Q2233" s="87"/>
      <c r="R2233" s="87"/>
      <c r="S2233" s="87"/>
      <c r="T2233" s="87"/>
      <c r="U2233" s="87"/>
      <c r="V2233" s="87">
        <v>8</v>
      </c>
      <c r="W2233" s="87"/>
      <c r="X2233" s="87"/>
      <c r="Y2233" s="87"/>
      <c r="Z2233" s="87"/>
      <c r="AA2233" s="87"/>
      <c r="AB2233" s="87"/>
      <c r="AC2233" s="87"/>
      <c r="AD2233" s="87"/>
      <c r="AE2233" s="87"/>
      <c r="AF2233" s="87"/>
      <c r="AG2233" s="87">
        <v>3</v>
      </c>
      <c r="AH2233" s="87">
        <v>5</v>
      </c>
      <c r="AI2233" s="87"/>
      <c r="AJ2233" s="87"/>
      <c r="AK2233" s="87"/>
      <c r="AL2233" s="87"/>
      <c r="AM2233" s="87"/>
      <c r="AN2233" s="87"/>
      <c r="AO2233" s="87"/>
      <c r="AP2233" s="87">
        <v>8</v>
      </c>
      <c r="AQ2233" s="87"/>
      <c r="AR2233" s="87"/>
      <c r="AS2233" s="87"/>
      <c r="AT2233" s="87"/>
      <c r="AU2233" s="87"/>
      <c r="AV2233" s="87"/>
      <c r="AW2233" s="88" t="str">
        <f>HYPERLINK("http://www.openstreetmap.org/?mlat=32.0063&amp;mlon=44.8448&amp;zoom=12#map=12/32.0063/44.8448","Maplink1")</f>
        <v>Maplink1</v>
      </c>
      <c r="AX2233" s="88" t="str">
        <f>HYPERLINK("https://www.google.iq/maps/search/+32.0063,44.8448/@32.0063,44.8448,14z?hl=en","Maplink2")</f>
        <v>Maplink2</v>
      </c>
      <c r="AY2233" s="88" t="str">
        <f>HYPERLINK("http://www.bing.com/maps/?lvl=14&amp;sty=h&amp;cp=32.0063~44.8448&amp;sp=point.32.0063_44.8448","Maplink3")</f>
        <v>Maplink3</v>
      </c>
      <c r="AZ2233" s="76"/>
    </row>
    <row r="2234" spans="1:52" x14ac:dyDescent="0.25">
      <c r="A2234" s="86">
        <v>3308</v>
      </c>
      <c r="B2234" s="87" t="s">
        <v>25</v>
      </c>
      <c r="C2234" s="87" t="s">
        <v>4234</v>
      </c>
      <c r="D2234" s="87" t="s">
        <v>4295</v>
      </c>
      <c r="E2234" s="87" t="s">
        <v>55</v>
      </c>
      <c r="F2234" s="87">
        <v>32.133596706799999</v>
      </c>
      <c r="G2234" s="87">
        <v>44.9329186366</v>
      </c>
      <c r="H2234" s="86">
        <v>11</v>
      </c>
      <c r="I2234" s="86">
        <v>66</v>
      </c>
      <c r="J2234" s="87"/>
      <c r="K2234" s="87"/>
      <c r="L2234" s="87"/>
      <c r="M2234" s="87"/>
      <c r="N2234" s="87"/>
      <c r="O2234" s="87"/>
      <c r="P2234" s="87"/>
      <c r="Q2234" s="87"/>
      <c r="R2234" s="87">
        <v>2</v>
      </c>
      <c r="S2234" s="87"/>
      <c r="T2234" s="87"/>
      <c r="U2234" s="87"/>
      <c r="V2234" s="87">
        <v>9</v>
      </c>
      <c r="W2234" s="87"/>
      <c r="X2234" s="87"/>
      <c r="Y2234" s="87"/>
      <c r="Z2234" s="87"/>
      <c r="AA2234" s="87"/>
      <c r="AB2234" s="87"/>
      <c r="AC2234" s="87">
        <v>3</v>
      </c>
      <c r="AD2234" s="87"/>
      <c r="AE2234" s="87"/>
      <c r="AF2234" s="87"/>
      <c r="AG2234" s="87"/>
      <c r="AH2234" s="87">
        <v>8</v>
      </c>
      <c r="AI2234" s="87"/>
      <c r="AJ2234" s="87"/>
      <c r="AK2234" s="87"/>
      <c r="AL2234" s="87"/>
      <c r="AM2234" s="87"/>
      <c r="AN2234" s="87"/>
      <c r="AO2234" s="87">
        <v>6</v>
      </c>
      <c r="AP2234" s="87">
        <v>5</v>
      </c>
      <c r="AQ2234" s="87"/>
      <c r="AR2234" s="87"/>
      <c r="AS2234" s="87"/>
      <c r="AT2234" s="87"/>
      <c r="AU2234" s="87"/>
      <c r="AV2234" s="87"/>
      <c r="AW2234" s="88" t="str">
        <f>HYPERLINK("http://www.openstreetmap.org/?mlat=32.1336&amp;mlon=44.9329&amp;zoom=12#map=12/32.1336/44.9329","Maplink1")</f>
        <v>Maplink1</v>
      </c>
      <c r="AX2234" s="88" t="str">
        <f>HYPERLINK("https://www.google.iq/maps/search/+32.1336,44.9329/@32.1336,44.9329,14z?hl=en","Maplink2")</f>
        <v>Maplink2</v>
      </c>
      <c r="AY2234" s="88" t="str">
        <f>HYPERLINK("http://www.bing.com/maps/?lvl=14&amp;sty=h&amp;cp=32.1336~44.9329&amp;sp=point.32.1336_44.9329","Maplink3")</f>
        <v>Maplink3</v>
      </c>
      <c r="AZ2234" s="76"/>
    </row>
    <row r="2235" spans="1:52" x14ac:dyDescent="0.25">
      <c r="A2235" s="86">
        <v>24487</v>
      </c>
      <c r="B2235" s="87" t="s">
        <v>25</v>
      </c>
      <c r="C2235" s="87" t="s">
        <v>4234</v>
      </c>
      <c r="D2235" s="87" t="s">
        <v>1347</v>
      </c>
      <c r="E2235" s="87" t="s">
        <v>55</v>
      </c>
      <c r="F2235" s="87">
        <v>32.064008999899997</v>
      </c>
      <c r="G2235" s="87">
        <v>44.770014250099997</v>
      </c>
      <c r="H2235" s="86">
        <v>5</v>
      </c>
      <c r="I2235" s="86">
        <v>30</v>
      </c>
      <c r="J2235" s="87"/>
      <c r="K2235" s="87"/>
      <c r="L2235" s="87"/>
      <c r="M2235" s="87"/>
      <c r="N2235" s="87"/>
      <c r="O2235" s="87"/>
      <c r="P2235" s="87"/>
      <c r="Q2235" s="87"/>
      <c r="R2235" s="87">
        <v>5</v>
      </c>
      <c r="S2235" s="87"/>
      <c r="T2235" s="87"/>
      <c r="U2235" s="87"/>
      <c r="V2235" s="87"/>
      <c r="W2235" s="87"/>
      <c r="X2235" s="87"/>
      <c r="Y2235" s="87"/>
      <c r="Z2235" s="87"/>
      <c r="AA2235" s="87"/>
      <c r="AB2235" s="87"/>
      <c r="AC2235" s="87"/>
      <c r="AD2235" s="87"/>
      <c r="AE2235" s="87"/>
      <c r="AF2235" s="87"/>
      <c r="AG2235" s="87">
        <v>2</v>
      </c>
      <c r="AH2235" s="87">
        <v>3</v>
      </c>
      <c r="AI2235" s="87"/>
      <c r="AJ2235" s="87"/>
      <c r="AK2235" s="87"/>
      <c r="AL2235" s="87"/>
      <c r="AM2235" s="87"/>
      <c r="AN2235" s="87"/>
      <c r="AO2235" s="87">
        <v>5</v>
      </c>
      <c r="AP2235" s="87"/>
      <c r="AQ2235" s="87"/>
      <c r="AR2235" s="87"/>
      <c r="AS2235" s="87"/>
      <c r="AT2235" s="87"/>
      <c r="AU2235" s="87"/>
      <c r="AV2235" s="87"/>
      <c r="AW2235" s="88" t="str">
        <f>HYPERLINK("http://www.openstreetmap.org/?mlat=32.064&amp;mlon=44.77&amp;zoom=12#map=12/32.064/44.77","Maplink1")</f>
        <v>Maplink1</v>
      </c>
      <c r="AX2235" s="88" t="str">
        <f>HYPERLINK("https://www.google.iq/maps/search/+32.064,44.77/@32.064,44.77,14z?hl=en","Maplink2")</f>
        <v>Maplink2</v>
      </c>
      <c r="AY2235" s="88" t="str">
        <f>HYPERLINK("http://www.bing.com/maps/?lvl=14&amp;sty=h&amp;cp=32.064~44.77&amp;sp=point.32.064_44.77","Maplink3")</f>
        <v>Maplink3</v>
      </c>
      <c r="AZ2235" s="76"/>
    </row>
    <row r="2236" spans="1:52" x14ac:dyDescent="0.25">
      <c r="A2236" s="86">
        <v>23749</v>
      </c>
      <c r="B2236" s="87" t="s">
        <v>25</v>
      </c>
      <c r="C2236" s="87" t="s">
        <v>4234</v>
      </c>
      <c r="D2236" s="87" t="s">
        <v>4296</v>
      </c>
      <c r="E2236" s="87" t="s">
        <v>4297</v>
      </c>
      <c r="F2236" s="87">
        <v>31.9853588892</v>
      </c>
      <c r="G2236" s="87">
        <v>44.933945314100001</v>
      </c>
      <c r="H2236" s="86">
        <v>8</v>
      </c>
      <c r="I2236" s="86">
        <v>48</v>
      </c>
      <c r="J2236" s="87"/>
      <c r="K2236" s="87"/>
      <c r="L2236" s="87"/>
      <c r="M2236" s="87"/>
      <c r="N2236" s="87"/>
      <c r="O2236" s="87"/>
      <c r="P2236" s="87"/>
      <c r="Q2236" s="87"/>
      <c r="R2236" s="87"/>
      <c r="S2236" s="87"/>
      <c r="T2236" s="87"/>
      <c r="U2236" s="87"/>
      <c r="V2236" s="87">
        <v>8</v>
      </c>
      <c r="W2236" s="87"/>
      <c r="X2236" s="87"/>
      <c r="Y2236" s="87"/>
      <c r="Z2236" s="87"/>
      <c r="AA2236" s="87"/>
      <c r="AB2236" s="87"/>
      <c r="AC2236" s="87">
        <v>2</v>
      </c>
      <c r="AD2236" s="87"/>
      <c r="AE2236" s="87"/>
      <c r="AF2236" s="87"/>
      <c r="AG2236" s="87"/>
      <c r="AH2236" s="87">
        <v>6</v>
      </c>
      <c r="AI2236" s="87"/>
      <c r="AJ2236" s="87"/>
      <c r="AK2236" s="87"/>
      <c r="AL2236" s="87"/>
      <c r="AM2236" s="87"/>
      <c r="AN2236" s="87"/>
      <c r="AO2236" s="87">
        <v>8</v>
      </c>
      <c r="AP2236" s="87"/>
      <c r="AQ2236" s="87"/>
      <c r="AR2236" s="87"/>
      <c r="AS2236" s="87"/>
      <c r="AT2236" s="87"/>
      <c r="AU2236" s="87"/>
      <c r="AV2236" s="87"/>
      <c r="AW2236" s="88" t="str">
        <f>HYPERLINK("http://www.openstreetmap.org/?mlat=31.9854&amp;mlon=44.9339&amp;zoom=12#map=12/31.9854/44.9339","Maplink1")</f>
        <v>Maplink1</v>
      </c>
      <c r="AX2236" s="88" t="str">
        <f>HYPERLINK("https://www.google.iq/maps/search/+31.9854,44.9339/@31.9854,44.9339,14z?hl=en","Maplink2")</f>
        <v>Maplink2</v>
      </c>
      <c r="AY2236" s="88" t="str">
        <f>HYPERLINK("http://www.bing.com/maps/?lvl=14&amp;sty=h&amp;cp=31.9854~44.9339&amp;sp=point.31.9854_44.9339","Maplink3")</f>
        <v>Maplink3</v>
      </c>
      <c r="AZ2236" s="76"/>
    </row>
    <row r="2237" spans="1:52" x14ac:dyDescent="0.25">
      <c r="A2237" s="86">
        <v>3367</v>
      </c>
      <c r="B2237" s="87" t="s">
        <v>25</v>
      </c>
      <c r="C2237" s="87" t="s">
        <v>4234</v>
      </c>
      <c r="D2237" s="87" t="s">
        <v>4298</v>
      </c>
      <c r="E2237" s="87" t="s">
        <v>4299</v>
      </c>
      <c r="F2237" s="87">
        <v>32.007661261899997</v>
      </c>
      <c r="G2237" s="87">
        <v>44.922551677900003</v>
      </c>
      <c r="H2237" s="86">
        <v>9</v>
      </c>
      <c r="I2237" s="86">
        <v>54</v>
      </c>
      <c r="J2237" s="87"/>
      <c r="K2237" s="87"/>
      <c r="L2237" s="87"/>
      <c r="M2237" s="87"/>
      <c r="N2237" s="87"/>
      <c r="O2237" s="87"/>
      <c r="P2237" s="87"/>
      <c r="Q2237" s="87"/>
      <c r="R2237" s="87">
        <v>3</v>
      </c>
      <c r="S2237" s="87"/>
      <c r="T2237" s="87"/>
      <c r="U2237" s="87"/>
      <c r="V2237" s="87">
        <v>6</v>
      </c>
      <c r="W2237" s="87"/>
      <c r="X2237" s="87"/>
      <c r="Y2237" s="87"/>
      <c r="Z2237" s="87"/>
      <c r="AA2237" s="87"/>
      <c r="AB2237" s="87"/>
      <c r="AC2237" s="87">
        <v>4</v>
      </c>
      <c r="AD2237" s="87"/>
      <c r="AE2237" s="87"/>
      <c r="AF2237" s="87"/>
      <c r="AG2237" s="87"/>
      <c r="AH2237" s="87">
        <v>5</v>
      </c>
      <c r="AI2237" s="87"/>
      <c r="AJ2237" s="87"/>
      <c r="AK2237" s="87"/>
      <c r="AL2237" s="87"/>
      <c r="AM2237" s="87"/>
      <c r="AN2237" s="87"/>
      <c r="AO2237" s="87">
        <v>8</v>
      </c>
      <c r="AP2237" s="87">
        <v>1</v>
      </c>
      <c r="AQ2237" s="87"/>
      <c r="AR2237" s="87"/>
      <c r="AS2237" s="87"/>
      <c r="AT2237" s="87"/>
      <c r="AU2237" s="87"/>
      <c r="AV2237" s="87"/>
      <c r="AW2237" s="88" t="str">
        <f>HYPERLINK("http://www.openstreetmap.org/?mlat=32.0077&amp;mlon=44.9226&amp;zoom=12#map=12/32.0077/44.9226","Maplink1")</f>
        <v>Maplink1</v>
      </c>
      <c r="AX2237" s="88" t="str">
        <f>HYPERLINK("https://www.google.iq/maps/search/+32.0077,44.9226/@32.0077,44.9226,14z?hl=en","Maplink2")</f>
        <v>Maplink2</v>
      </c>
      <c r="AY2237" s="88" t="str">
        <f>HYPERLINK("http://www.bing.com/maps/?lvl=14&amp;sty=h&amp;cp=32.0077~44.9226&amp;sp=point.32.0077_44.9226","Maplink3")</f>
        <v>Maplink3</v>
      </c>
      <c r="AZ2237" s="76"/>
    </row>
    <row r="2238" spans="1:52" x14ac:dyDescent="0.25">
      <c r="A2238" s="86">
        <v>23715</v>
      </c>
      <c r="B2238" s="87" t="s">
        <v>25</v>
      </c>
      <c r="C2238" s="87" t="s">
        <v>4234</v>
      </c>
      <c r="D2238" s="87" t="s">
        <v>4300</v>
      </c>
      <c r="E2238" s="87" t="s">
        <v>4301</v>
      </c>
      <c r="F2238" s="87">
        <v>32.015676934699997</v>
      </c>
      <c r="G2238" s="87">
        <v>44.9173569003</v>
      </c>
      <c r="H2238" s="86">
        <v>13</v>
      </c>
      <c r="I2238" s="86">
        <v>78</v>
      </c>
      <c r="J2238" s="87"/>
      <c r="K2238" s="87"/>
      <c r="L2238" s="87"/>
      <c r="M2238" s="87"/>
      <c r="N2238" s="87"/>
      <c r="O2238" s="87"/>
      <c r="P2238" s="87"/>
      <c r="Q2238" s="87"/>
      <c r="R2238" s="87"/>
      <c r="S2238" s="87"/>
      <c r="T2238" s="87"/>
      <c r="U2238" s="87"/>
      <c r="V2238" s="87">
        <v>13</v>
      </c>
      <c r="W2238" s="87"/>
      <c r="X2238" s="87"/>
      <c r="Y2238" s="87"/>
      <c r="Z2238" s="87"/>
      <c r="AA2238" s="87"/>
      <c r="AB2238" s="87"/>
      <c r="AC2238" s="87">
        <v>4</v>
      </c>
      <c r="AD2238" s="87"/>
      <c r="AE2238" s="87"/>
      <c r="AF2238" s="87"/>
      <c r="AG2238" s="87"/>
      <c r="AH2238" s="87">
        <v>9</v>
      </c>
      <c r="AI2238" s="87"/>
      <c r="AJ2238" s="87"/>
      <c r="AK2238" s="87"/>
      <c r="AL2238" s="87"/>
      <c r="AM2238" s="87"/>
      <c r="AN2238" s="87"/>
      <c r="AO2238" s="87">
        <v>13</v>
      </c>
      <c r="AP2238" s="87"/>
      <c r="AQ2238" s="87"/>
      <c r="AR2238" s="87"/>
      <c r="AS2238" s="87"/>
      <c r="AT2238" s="87"/>
      <c r="AU2238" s="87"/>
      <c r="AV2238" s="87"/>
      <c r="AW2238" s="88" t="str">
        <f>HYPERLINK("http://www.openstreetmap.org/?mlat=32.0157&amp;mlon=44.9174&amp;zoom=12#map=12/32.0157/44.9174","Maplink1")</f>
        <v>Maplink1</v>
      </c>
      <c r="AX2238" s="88" t="str">
        <f>HYPERLINK("https://www.google.iq/maps/search/+32.0157,44.9174/@32.0157,44.9174,14z?hl=en","Maplink2")</f>
        <v>Maplink2</v>
      </c>
      <c r="AY2238" s="88" t="str">
        <f>HYPERLINK("http://www.bing.com/maps/?lvl=14&amp;sty=h&amp;cp=32.0157~44.9174&amp;sp=point.32.0157_44.9174","Maplink3")</f>
        <v>Maplink3</v>
      </c>
      <c r="AZ2238" s="76"/>
    </row>
    <row r="2239" spans="1:52" x14ac:dyDescent="0.25">
      <c r="A2239" s="86">
        <v>25070</v>
      </c>
      <c r="B2239" s="87" t="s">
        <v>25</v>
      </c>
      <c r="C2239" s="87" t="s">
        <v>4234</v>
      </c>
      <c r="D2239" s="87" t="s">
        <v>3314</v>
      </c>
      <c r="E2239" s="87" t="s">
        <v>307</v>
      </c>
      <c r="F2239" s="87">
        <v>32.070146295699999</v>
      </c>
      <c r="G2239" s="87">
        <v>44.767656880700002</v>
      </c>
      <c r="H2239" s="86">
        <v>9</v>
      </c>
      <c r="I2239" s="86">
        <v>54</v>
      </c>
      <c r="J2239" s="87"/>
      <c r="K2239" s="87"/>
      <c r="L2239" s="87"/>
      <c r="M2239" s="87"/>
      <c r="N2239" s="87"/>
      <c r="O2239" s="87"/>
      <c r="P2239" s="87"/>
      <c r="Q2239" s="87"/>
      <c r="R2239" s="87"/>
      <c r="S2239" s="87"/>
      <c r="T2239" s="87"/>
      <c r="U2239" s="87"/>
      <c r="V2239" s="87">
        <v>9</v>
      </c>
      <c r="W2239" s="87"/>
      <c r="X2239" s="87"/>
      <c r="Y2239" s="87"/>
      <c r="Z2239" s="87"/>
      <c r="AA2239" s="87"/>
      <c r="AB2239" s="87"/>
      <c r="AC2239" s="87"/>
      <c r="AD2239" s="87"/>
      <c r="AE2239" s="87"/>
      <c r="AF2239" s="87"/>
      <c r="AG2239" s="87">
        <v>6</v>
      </c>
      <c r="AH2239" s="87">
        <v>3</v>
      </c>
      <c r="AI2239" s="87"/>
      <c r="AJ2239" s="87"/>
      <c r="AK2239" s="87"/>
      <c r="AL2239" s="87"/>
      <c r="AM2239" s="87"/>
      <c r="AN2239" s="87"/>
      <c r="AO2239" s="87"/>
      <c r="AP2239" s="87">
        <v>9</v>
      </c>
      <c r="AQ2239" s="87"/>
      <c r="AR2239" s="87"/>
      <c r="AS2239" s="87"/>
      <c r="AT2239" s="87"/>
      <c r="AU2239" s="87"/>
      <c r="AV2239" s="87"/>
      <c r="AW2239" s="88" t="str">
        <f>HYPERLINK("http://www.openstreetmap.org/?mlat=32.0701&amp;mlon=44.7677&amp;zoom=12#map=12/32.0701/44.7677","Maplink1")</f>
        <v>Maplink1</v>
      </c>
      <c r="AX2239" s="88" t="str">
        <f>HYPERLINK("https://www.google.iq/maps/search/+32.0701,44.7677/@32.0701,44.7677,14z?hl=en","Maplink2")</f>
        <v>Maplink2</v>
      </c>
      <c r="AY2239" s="88" t="str">
        <f>HYPERLINK("http://www.bing.com/maps/?lvl=14&amp;sty=h&amp;cp=32.0701~44.7677&amp;sp=point.32.0701_44.7677","Maplink3")</f>
        <v>Maplink3</v>
      </c>
      <c r="AZ2239" s="76"/>
    </row>
    <row r="2240" spans="1:52" x14ac:dyDescent="0.25">
      <c r="A2240" s="86">
        <v>3209</v>
      </c>
      <c r="B2240" s="87" t="s">
        <v>25</v>
      </c>
      <c r="C2240" s="87" t="s">
        <v>4234</v>
      </c>
      <c r="D2240" s="87" t="s">
        <v>4303</v>
      </c>
      <c r="E2240" s="87" t="s">
        <v>2367</v>
      </c>
      <c r="F2240" s="87">
        <v>31.991401403200001</v>
      </c>
      <c r="G2240" s="87">
        <v>44.895607716599997</v>
      </c>
      <c r="H2240" s="86">
        <v>9</v>
      </c>
      <c r="I2240" s="86">
        <v>54</v>
      </c>
      <c r="J2240" s="87"/>
      <c r="K2240" s="87"/>
      <c r="L2240" s="87"/>
      <c r="M2240" s="87"/>
      <c r="N2240" s="87"/>
      <c r="O2240" s="87"/>
      <c r="P2240" s="87"/>
      <c r="Q2240" s="87"/>
      <c r="R2240" s="87"/>
      <c r="S2240" s="87"/>
      <c r="T2240" s="87"/>
      <c r="U2240" s="87"/>
      <c r="V2240" s="87">
        <v>9</v>
      </c>
      <c r="W2240" s="87"/>
      <c r="X2240" s="87"/>
      <c r="Y2240" s="87"/>
      <c r="Z2240" s="87"/>
      <c r="AA2240" s="87"/>
      <c r="AB2240" s="87"/>
      <c r="AC2240" s="87">
        <v>2</v>
      </c>
      <c r="AD2240" s="87"/>
      <c r="AE2240" s="87"/>
      <c r="AF2240" s="87"/>
      <c r="AG2240" s="87">
        <v>4</v>
      </c>
      <c r="AH2240" s="87">
        <v>3</v>
      </c>
      <c r="AI2240" s="87"/>
      <c r="AJ2240" s="87"/>
      <c r="AK2240" s="87"/>
      <c r="AL2240" s="87"/>
      <c r="AM2240" s="87"/>
      <c r="AN2240" s="87"/>
      <c r="AO2240" s="87">
        <v>9</v>
      </c>
      <c r="AP2240" s="87"/>
      <c r="AQ2240" s="87"/>
      <c r="AR2240" s="87"/>
      <c r="AS2240" s="87"/>
      <c r="AT2240" s="87"/>
      <c r="AU2240" s="87"/>
      <c r="AV2240" s="87"/>
      <c r="AW2240" s="88" t="str">
        <f>HYPERLINK("http://www.openstreetmap.org/?mlat=31.9914&amp;mlon=44.8956&amp;zoom=12#map=12/31.9914/44.8956","Maplink1")</f>
        <v>Maplink1</v>
      </c>
      <c r="AX2240" s="88" t="str">
        <f>HYPERLINK("https://www.google.iq/maps/search/+31.9914,44.8956/@31.9914,44.8956,14z?hl=en","Maplink2")</f>
        <v>Maplink2</v>
      </c>
      <c r="AY2240" s="88" t="str">
        <f>HYPERLINK("http://www.bing.com/maps/?lvl=14&amp;sty=h&amp;cp=31.9914~44.8956&amp;sp=point.31.9914_44.8956","Maplink3")</f>
        <v>Maplink3</v>
      </c>
      <c r="AZ2240" s="76"/>
    </row>
    <row r="2241" spans="1:52" x14ac:dyDescent="0.25">
      <c r="A2241" s="86">
        <v>25287</v>
      </c>
      <c r="B2241" s="87" t="s">
        <v>25</v>
      </c>
      <c r="C2241" s="87" t="s">
        <v>4234</v>
      </c>
      <c r="D2241" s="87" t="s">
        <v>4304</v>
      </c>
      <c r="E2241" s="87" t="s">
        <v>4305</v>
      </c>
      <c r="F2241" s="87">
        <v>31.9873995817</v>
      </c>
      <c r="G2241" s="87">
        <v>44.946104549099999</v>
      </c>
      <c r="H2241" s="86">
        <v>5</v>
      </c>
      <c r="I2241" s="86">
        <v>30</v>
      </c>
      <c r="J2241" s="87"/>
      <c r="K2241" s="87"/>
      <c r="L2241" s="87"/>
      <c r="M2241" s="87"/>
      <c r="N2241" s="87"/>
      <c r="O2241" s="87"/>
      <c r="P2241" s="87"/>
      <c r="Q2241" s="87"/>
      <c r="R2241" s="87"/>
      <c r="S2241" s="87"/>
      <c r="T2241" s="87"/>
      <c r="U2241" s="87"/>
      <c r="V2241" s="87">
        <v>5</v>
      </c>
      <c r="W2241" s="87"/>
      <c r="X2241" s="87"/>
      <c r="Y2241" s="87"/>
      <c r="Z2241" s="87"/>
      <c r="AA2241" s="87"/>
      <c r="AB2241" s="87"/>
      <c r="AC2241" s="87">
        <v>1</v>
      </c>
      <c r="AD2241" s="87"/>
      <c r="AE2241" s="87"/>
      <c r="AF2241" s="87"/>
      <c r="AG2241" s="87"/>
      <c r="AH2241" s="87">
        <v>4</v>
      </c>
      <c r="AI2241" s="87"/>
      <c r="AJ2241" s="87"/>
      <c r="AK2241" s="87"/>
      <c r="AL2241" s="87"/>
      <c r="AM2241" s="87"/>
      <c r="AN2241" s="87"/>
      <c r="AO2241" s="87">
        <v>4</v>
      </c>
      <c r="AP2241" s="87">
        <v>1</v>
      </c>
      <c r="AQ2241" s="87"/>
      <c r="AR2241" s="87"/>
      <c r="AS2241" s="87"/>
      <c r="AT2241" s="87"/>
      <c r="AU2241" s="87"/>
      <c r="AV2241" s="87"/>
      <c r="AW2241" s="88" t="str">
        <f>HYPERLINK("http://www.openstreetmap.org/?mlat=31.9874&amp;mlon=44.9461&amp;zoom=12#map=12/31.9874/44.9461","Maplink1")</f>
        <v>Maplink1</v>
      </c>
      <c r="AX2241" s="88" t="str">
        <f>HYPERLINK("https://www.google.iq/maps/search/+31.9874,44.9461/@31.9874,44.9461,14z?hl=en","Maplink2")</f>
        <v>Maplink2</v>
      </c>
      <c r="AY2241" s="88" t="str">
        <f>HYPERLINK("http://www.bing.com/maps/?lvl=14&amp;sty=h&amp;cp=31.9874~44.9461&amp;sp=point.31.9874_44.9461","Maplink3")</f>
        <v>Maplink3</v>
      </c>
      <c r="AZ2241" s="76"/>
    </row>
    <row r="2242" spans="1:52" x14ac:dyDescent="0.25">
      <c r="A2242" s="86">
        <v>25372</v>
      </c>
      <c r="B2242" s="87" t="s">
        <v>25</v>
      </c>
      <c r="C2242" s="87" t="s">
        <v>4234</v>
      </c>
      <c r="D2242" s="87" t="s">
        <v>4306</v>
      </c>
      <c r="E2242" s="87" t="s">
        <v>4307</v>
      </c>
      <c r="F2242" s="87">
        <v>31.967074940900002</v>
      </c>
      <c r="G2242" s="87">
        <v>44.965272656000003</v>
      </c>
      <c r="H2242" s="86">
        <v>10</v>
      </c>
      <c r="I2242" s="86">
        <v>60</v>
      </c>
      <c r="J2242" s="87"/>
      <c r="K2242" s="87"/>
      <c r="L2242" s="87"/>
      <c r="M2242" s="87"/>
      <c r="N2242" s="87"/>
      <c r="O2242" s="87"/>
      <c r="P2242" s="87"/>
      <c r="Q2242" s="87"/>
      <c r="R2242" s="87">
        <v>5</v>
      </c>
      <c r="S2242" s="87"/>
      <c r="T2242" s="87"/>
      <c r="U2242" s="87"/>
      <c r="V2242" s="87">
        <v>5</v>
      </c>
      <c r="W2242" s="87"/>
      <c r="X2242" s="87"/>
      <c r="Y2242" s="87"/>
      <c r="Z2242" s="87"/>
      <c r="AA2242" s="87"/>
      <c r="AB2242" s="87"/>
      <c r="AC2242" s="87">
        <v>2</v>
      </c>
      <c r="AD2242" s="87"/>
      <c r="AE2242" s="87"/>
      <c r="AF2242" s="87"/>
      <c r="AG2242" s="87"/>
      <c r="AH2242" s="87">
        <v>8</v>
      </c>
      <c r="AI2242" s="87"/>
      <c r="AJ2242" s="87"/>
      <c r="AK2242" s="87"/>
      <c r="AL2242" s="87"/>
      <c r="AM2242" s="87"/>
      <c r="AN2242" s="87"/>
      <c r="AO2242" s="87">
        <v>4</v>
      </c>
      <c r="AP2242" s="87">
        <v>6</v>
      </c>
      <c r="AQ2242" s="87"/>
      <c r="AR2242" s="87"/>
      <c r="AS2242" s="87"/>
      <c r="AT2242" s="87"/>
      <c r="AU2242" s="87"/>
      <c r="AV2242" s="87"/>
      <c r="AW2242" s="88" t="str">
        <f>HYPERLINK("http://www.openstreetmap.org/?mlat=31.9671&amp;mlon=44.9653&amp;zoom=12#map=12/31.9671/44.9653","Maplink1")</f>
        <v>Maplink1</v>
      </c>
      <c r="AX2242" s="88" t="str">
        <f>HYPERLINK("https://www.google.iq/maps/search/+31.9671,44.9653/@31.9671,44.9653,14z?hl=en","Maplink2")</f>
        <v>Maplink2</v>
      </c>
      <c r="AY2242" s="88" t="str">
        <f>HYPERLINK("http://www.bing.com/maps/?lvl=14&amp;sty=h&amp;cp=31.9671~44.9653&amp;sp=point.31.9671_44.9653","Maplink3")</f>
        <v>Maplink3</v>
      </c>
      <c r="AZ2242" s="76"/>
    </row>
    <row r="2243" spans="1:52" x14ac:dyDescent="0.25">
      <c r="A2243" s="86">
        <v>21783</v>
      </c>
      <c r="B2243" s="87" t="s">
        <v>25</v>
      </c>
      <c r="C2243" s="87" t="s">
        <v>4234</v>
      </c>
      <c r="D2243" s="87" t="s">
        <v>4308</v>
      </c>
      <c r="E2243" s="87" t="s">
        <v>4309</v>
      </c>
      <c r="F2243" s="87">
        <v>31.9950297195</v>
      </c>
      <c r="G2243" s="87">
        <v>44.956224859300001</v>
      </c>
      <c r="H2243" s="86">
        <v>5</v>
      </c>
      <c r="I2243" s="86">
        <v>30</v>
      </c>
      <c r="J2243" s="87"/>
      <c r="K2243" s="87"/>
      <c r="L2243" s="87"/>
      <c r="M2243" s="87"/>
      <c r="N2243" s="87"/>
      <c r="O2243" s="87"/>
      <c r="P2243" s="87"/>
      <c r="Q2243" s="87"/>
      <c r="R2243" s="87">
        <v>5</v>
      </c>
      <c r="S2243" s="87"/>
      <c r="T2243" s="87"/>
      <c r="U2243" s="87"/>
      <c r="V2243" s="87"/>
      <c r="W2243" s="87"/>
      <c r="X2243" s="87"/>
      <c r="Y2243" s="87"/>
      <c r="Z2243" s="87"/>
      <c r="AA2243" s="87"/>
      <c r="AB2243" s="87"/>
      <c r="AC2243" s="87"/>
      <c r="AD2243" s="87"/>
      <c r="AE2243" s="87"/>
      <c r="AF2243" s="87"/>
      <c r="AG2243" s="87"/>
      <c r="AH2243" s="87">
        <v>5</v>
      </c>
      <c r="AI2243" s="87"/>
      <c r="AJ2243" s="87"/>
      <c r="AK2243" s="87"/>
      <c r="AL2243" s="87"/>
      <c r="AM2243" s="87"/>
      <c r="AN2243" s="87"/>
      <c r="AO2243" s="87">
        <v>5</v>
      </c>
      <c r="AP2243" s="87"/>
      <c r="AQ2243" s="87"/>
      <c r="AR2243" s="87"/>
      <c r="AS2243" s="87"/>
      <c r="AT2243" s="87"/>
      <c r="AU2243" s="87"/>
      <c r="AV2243" s="87"/>
      <c r="AW2243" s="88" t="str">
        <f>HYPERLINK("http://www.openstreetmap.org/?mlat=31.995&amp;mlon=44.9562&amp;zoom=12#map=12/31.995/44.9562","Maplink1")</f>
        <v>Maplink1</v>
      </c>
      <c r="AX2243" s="88" t="str">
        <f>HYPERLINK("https://www.google.iq/maps/search/+31.995,44.9562/@31.995,44.9562,14z?hl=en","Maplink2")</f>
        <v>Maplink2</v>
      </c>
      <c r="AY2243" s="88" t="str">
        <f>HYPERLINK("http://www.bing.com/maps/?lvl=14&amp;sty=h&amp;cp=31.995~44.9562&amp;sp=point.31.995_44.9562","Maplink3")</f>
        <v>Maplink3</v>
      </c>
      <c r="AZ2243" s="76"/>
    </row>
    <row r="2244" spans="1:52" x14ac:dyDescent="0.25">
      <c r="A2244" s="86">
        <v>25512</v>
      </c>
      <c r="B2244" s="87" t="s">
        <v>25</v>
      </c>
      <c r="C2244" s="87" t="s">
        <v>4234</v>
      </c>
      <c r="D2244" s="87" t="s">
        <v>4310</v>
      </c>
      <c r="E2244" s="87" t="s">
        <v>4311</v>
      </c>
      <c r="F2244" s="87">
        <v>31.985894293800001</v>
      </c>
      <c r="G2244" s="87">
        <v>44.929391244900003</v>
      </c>
      <c r="H2244" s="86">
        <v>10</v>
      </c>
      <c r="I2244" s="86">
        <v>60</v>
      </c>
      <c r="J2244" s="87"/>
      <c r="K2244" s="87"/>
      <c r="L2244" s="87"/>
      <c r="M2244" s="87"/>
      <c r="N2244" s="87"/>
      <c r="O2244" s="87"/>
      <c r="P2244" s="87"/>
      <c r="Q2244" s="87"/>
      <c r="R2244" s="87">
        <v>5</v>
      </c>
      <c r="S2244" s="87"/>
      <c r="T2244" s="87"/>
      <c r="U2244" s="87"/>
      <c r="V2244" s="87">
        <v>5</v>
      </c>
      <c r="W2244" s="87"/>
      <c r="X2244" s="87"/>
      <c r="Y2244" s="87"/>
      <c r="Z2244" s="87"/>
      <c r="AA2244" s="87"/>
      <c r="AB2244" s="87"/>
      <c r="AC2244" s="87">
        <v>2</v>
      </c>
      <c r="AD2244" s="87"/>
      <c r="AE2244" s="87"/>
      <c r="AF2244" s="87"/>
      <c r="AG2244" s="87"/>
      <c r="AH2244" s="87">
        <v>8</v>
      </c>
      <c r="AI2244" s="87"/>
      <c r="AJ2244" s="87"/>
      <c r="AK2244" s="87"/>
      <c r="AL2244" s="87"/>
      <c r="AM2244" s="87"/>
      <c r="AN2244" s="87"/>
      <c r="AO2244" s="87">
        <v>5</v>
      </c>
      <c r="AP2244" s="87">
        <v>5</v>
      </c>
      <c r="AQ2244" s="87"/>
      <c r="AR2244" s="87"/>
      <c r="AS2244" s="87"/>
      <c r="AT2244" s="87"/>
      <c r="AU2244" s="87"/>
      <c r="AV2244" s="87"/>
      <c r="AW2244" s="88" t="str">
        <f>HYPERLINK("http://www.openstreetmap.org/?mlat=31.9859&amp;mlon=44.9294&amp;zoom=12#map=12/31.9859/44.9294","Maplink1")</f>
        <v>Maplink1</v>
      </c>
      <c r="AX2244" s="88" t="str">
        <f>HYPERLINK("https://www.google.iq/maps/search/+31.9859,44.9294/@31.9859,44.9294,14z?hl=en","Maplink2")</f>
        <v>Maplink2</v>
      </c>
      <c r="AY2244" s="88" t="str">
        <f>HYPERLINK("http://www.bing.com/maps/?lvl=14&amp;sty=h&amp;cp=31.9859~44.9294&amp;sp=point.31.9859_44.9294","Maplink3")</f>
        <v>Maplink3</v>
      </c>
      <c r="AZ2244" s="76"/>
    </row>
    <row r="2245" spans="1:52" x14ac:dyDescent="0.25">
      <c r="A2245" s="86">
        <v>24307</v>
      </c>
      <c r="B2245" s="87" t="s">
        <v>25</v>
      </c>
      <c r="C2245" s="87" t="s">
        <v>4234</v>
      </c>
      <c r="D2245" s="87" t="s">
        <v>4312</v>
      </c>
      <c r="E2245" s="87" t="s">
        <v>4313</v>
      </c>
      <c r="F2245" s="87">
        <v>31.9799313135</v>
      </c>
      <c r="G2245" s="87">
        <v>44.900527446799998</v>
      </c>
      <c r="H2245" s="86">
        <v>4</v>
      </c>
      <c r="I2245" s="86">
        <v>24</v>
      </c>
      <c r="J2245" s="87"/>
      <c r="K2245" s="87"/>
      <c r="L2245" s="87"/>
      <c r="M2245" s="87"/>
      <c r="N2245" s="87"/>
      <c r="O2245" s="87"/>
      <c r="P2245" s="87"/>
      <c r="Q2245" s="87"/>
      <c r="R2245" s="87"/>
      <c r="S2245" s="87"/>
      <c r="T2245" s="87"/>
      <c r="U2245" s="87"/>
      <c r="V2245" s="87">
        <v>4</v>
      </c>
      <c r="W2245" s="87"/>
      <c r="X2245" s="87"/>
      <c r="Y2245" s="87"/>
      <c r="Z2245" s="87"/>
      <c r="AA2245" s="87"/>
      <c r="AB2245" s="87"/>
      <c r="AC2245" s="87"/>
      <c r="AD2245" s="87"/>
      <c r="AE2245" s="87"/>
      <c r="AF2245" s="87"/>
      <c r="AG2245" s="87">
        <v>1</v>
      </c>
      <c r="AH2245" s="87">
        <v>3</v>
      </c>
      <c r="AI2245" s="87"/>
      <c r="AJ2245" s="87"/>
      <c r="AK2245" s="87"/>
      <c r="AL2245" s="87"/>
      <c r="AM2245" s="87"/>
      <c r="AN2245" s="87"/>
      <c r="AO2245" s="87">
        <v>4</v>
      </c>
      <c r="AP2245" s="87"/>
      <c r="AQ2245" s="87"/>
      <c r="AR2245" s="87"/>
      <c r="AS2245" s="87"/>
      <c r="AT2245" s="87"/>
      <c r="AU2245" s="87"/>
      <c r="AV2245" s="87"/>
      <c r="AW2245" s="88" t="str">
        <f>HYPERLINK("http://www.openstreetmap.org/?mlat=31.9799&amp;mlon=44.9005&amp;zoom=12#map=12/31.9799/44.9005","Maplink1")</f>
        <v>Maplink1</v>
      </c>
      <c r="AX2245" s="88" t="str">
        <f>HYPERLINK("https://www.google.iq/maps/search/+31.9799,44.9005/@31.9799,44.9005,14z?hl=en","Maplink2")</f>
        <v>Maplink2</v>
      </c>
      <c r="AY2245" s="88" t="str">
        <f>HYPERLINK("http://www.bing.com/maps/?lvl=14&amp;sty=h&amp;cp=31.9799~44.9005&amp;sp=point.31.9799_44.9005","Maplink3")</f>
        <v>Maplink3</v>
      </c>
      <c r="AZ2245" s="76"/>
    </row>
    <row r="2246" spans="1:52" x14ac:dyDescent="0.25">
      <c r="A2246" s="86">
        <v>24523</v>
      </c>
      <c r="B2246" s="87" t="s">
        <v>25</v>
      </c>
      <c r="C2246" s="87" t="s">
        <v>4234</v>
      </c>
      <c r="D2246" s="87" t="s">
        <v>4314</v>
      </c>
      <c r="E2246" s="87" t="s">
        <v>4315</v>
      </c>
      <c r="F2246" s="87">
        <v>32.110365236699998</v>
      </c>
      <c r="G2246" s="87">
        <v>44.759236573400003</v>
      </c>
      <c r="H2246" s="86">
        <v>7</v>
      </c>
      <c r="I2246" s="86">
        <v>42</v>
      </c>
      <c r="J2246" s="87"/>
      <c r="K2246" s="87"/>
      <c r="L2246" s="87"/>
      <c r="M2246" s="87"/>
      <c r="N2246" s="87"/>
      <c r="O2246" s="87"/>
      <c r="P2246" s="87"/>
      <c r="Q2246" s="87"/>
      <c r="R2246" s="87"/>
      <c r="S2246" s="87"/>
      <c r="T2246" s="87"/>
      <c r="U2246" s="87"/>
      <c r="V2246" s="87">
        <v>7</v>
      </c>
      <c r="W2246" s="87"/>
      <c r="X2246" s="87"/>
      <c r="Y2246" s="87"/>
      <c r="Z2246" s="87"/>
      <c r="AA2246" s="87"/>
      <c r="AB2246" s="87"/>
      <c r="AC2246" s="87"/>
      <c r="AD2246" s="87"/>
      <c r="AE2246" s="87"/>
      <c r="AF2246" s="87"/>
      <c r="AG2246" s="87">
        <v>4</v>
      </c>
      <c r="AH2246" s="87">
        <v>3</v>
      </c>
      <c r="AI2246" s="87"/>
      <c r="AJ2246" s="87"/>
      <c r="AK2246" s="87"/>
      <c r="AL2246" s="87"/>
      <c r="AM2246" s="87"/>
      <c r="AN2246" s="87"/>
      <c r="AO2246" s="87"/>
      <c r="AP2246" s="87">
        <v>7</v>
      </c>
      <c r="AQ2246" s="87"/>
      <c r="AR2246" s="87"/>
      <c r="AS2246" s="87"/>
      <c r="AT2246" s="87"/>
      <c r="AU2246" s="87"/>
      <c r="AV2246" s="87"/>
      <c r="AW2246" s="88" t="str">
        <f>HYPERLINK("http://www.openstreetmap.org/?mlat=32.1104&amp;mlon=44.7592&amp;zoom=12#map=12/32.1104/44.7592","Maplink1")</f>
        <v>Maplink1</v>
      </c>
      <c r="AX2246" s="88" t="str">
        <f>HYPERLINK("https://www.google.iq/maps/search/+32.1104,44.7592/@32.1104,44.7592,14z?hl=en","Maplink2")</f>
        <v>Maplink2</v>
      </c>
      <c r="AY2246" s="88" t="str">
        <f>HYPERLINK("http://www.bing.com/maps/?lvl=14&amp;sty=h&amp;cp=32.1104~44.7592&amp;sp=point.32.1104_44.7592","Maplink3")</f>
        <v>Maplink3</v>
      </c>
      <c r="AZ2246" s="76"/>
    </row>
    <row r="2247" spans="1:52" x14ac:dyDescent="0.25">
      <c r="A2247" s="86">
        <v>22452</v>
      </c>
      <c r="B2247" s="87" t="s">
        <v>25</v>
      </c>
      <c r="C2247" s="87" t="s">
        <v>4234</v>
      </c>
      <c r="D2247" s="87" t="s">
        <v>4316</v>
      </c>
      <c r="E2247" s="87" t="s">
        <v>4317</v>
      </c>
      <c r="F2247" s="87">
        <v>31.999164970500001</v>
      </c>
      <c r="G2247" s="87">
        <v>45.015406776699997</v>
      </c>
      <c r="H2247" s="86">
        <v>18</v>
      </c>
      <c r="I2247" s="86">
        <v>108</v>
      </c>
      <c r="J2247" s="87"/>
      <c r="K2247" s="87"/>
      <c r="L2247" s="87">
        <v>8</v>
      </c>
      <c r="M2247" s="87"/>
      <c r="N2247" s="87"/>
      <c r="O2247" s="87"/>
      <c r="P2247" s="87"/>
      <c r="Q2247" s="87"/>
      <c r="R2247" s="87"/>
      <c r="S2247" s="87"/>
      <c r="T2247" s="87"/>
      <c r="U2247" s="87"/>
      <c r="V2247" s="87">
        <v>5</v>
      </c>
      <c r="W2247" s="87"/>
      <c r="X2247" s="87">
        <v>5</v>
      </c>
      <c r="Y2247" s="87"/>
      <c r="Z2247" s="87"/>
      <c r="AA2247" s="87"/>
      <c r="AB2247" s="87"/>
      <c r="AC2247" s="87">
        <v>6</v>
      </c>
      <c r="AD2247" s="87"/>
      <c r="AE2247" s="87"/>
      <c r="AF2247" s="87"/>
      <c r="AG2247" s="87">
        <v>4</v>
      </c>
      <c r="AH2247" s="87">
        <v>8</v>
      </c>
      <c r="AI2247" s="87"/>
      <c r="AJ2247" s="87"/>
      <c r="AK2247" s="87"/>
      <c r="AL2247" s="87"/>
      <c r="AM2247" s="87"/>
      <c r="AN2247" s="87"/>
      <c r="AO2247" s="87"/>
      <c r="AP2247" s="87">
        <v>13</v>
      </c>
      <c r="AQ2247" s="87">
        <v>5</v>
      </c>
      <c r="AR2247" s="87"/>
      <c r="AS2247" s="87"/>
      <c r="AT2247" s="87"/>
      <c r="AU2247" s="87"/>
      <c r="AV2247" s="87"/>
      <c r="AW2247" s="88" t="str">
        <f>HYPERLINK("http://www.openstreetmap.org/?mlat=31.9992&amp;mlon=45.0154&amp;zoom=12#map=12/31.9992/45.0154","Maplink1")</f>
        <v>Maplink1</v>
      </c>
      <c r="AX2247" s="88" t="str">
        <f>HYPERLINK("https://www.google.iq/maps/search/+31.9992,45.0154/@31.9992,45.0154,14z?hl=en","Maplink2")</f>
        <v>Maplink2</v>
      </c>
      <c r="AY2247" s="88" t="str">
        <f>HYPERLINK("http://www.bing.com/maps/?lvl=14&amp;sty=h&amp;cp=31.9992~45.0154&amp;sp=point.31.9992_45.0154","Maplink3")</f>
        <v>Maplink3</v>
      </c>
      <c r="AZ2247" s="76"/>
    </row>
    <row r="2248" spans="1:52" x14ac:dyDescent="0.25">
      <c r="A2248" s="86">
        <v>25860</v>
      </c>
      <c r="B2248" s="87" t="s">
        <v>25</v>
      </c>
      <c r="C2248" s="87" t="s">
        <v>4234</v>
      </c>
      <c r="D2248" s="87" t="s">
        <v>4318</v>
      </c>
      <c r="E2248" s="87" t="s">
        <v>4319</v>
      </c>
      <c r="F2248" s="87">
        <v>31.997626223600001</v>
      </c>
      <c r="G2248" s="87">
        <v>44.981220313400001</v>
      </c>
      <c r="H2248" s="86">
        <v>10</v>
      </c>
      <c r="I2248" s="86">
        <v>60</v>
      </c>
      <c r="J2248" s="87"/>
      <c r="K2248" s="87"/>
      <c r="L2248" s="87"/>
      <c r="M2248" s="87"/>
      <c r="N2248" s="87"/>
      <c r="O2248" s="87"/>
      <c r="P2248" s="87"/>
      <c r="Q2248" s="87"/>
      <c r="R2248" s="87">
        <v>6</v>
      </c>
      <c r="S2248" s="87"/>
      <c r="T2248" s="87"/>
      <c r="U2248" s="87"/>
      <c r="V2248" s="87">
        <v>1</v>
      </c>
      <c r="W2248" s="87"/>
      <c r="X2248" s="87">
        <v>3</v>
      </c>
      <c r="Y2248" s="87"/>
      <c r="Z2248" s="87"/>
      <c r="AA2248" s="87"/>
      <c r="AB2248" s="87"/>
      <c r="AC2248" s="87"/>
      <c r="AD2248" s="87"/>
      <c r="AE2248" s="87"/>
      <c r="AF2248" s="87"/>
      <c r="AG2248" s="87">
        <v>5</v>
      </c>
      <c r="AH2248" s="87">
        <v>5</v>
      </c>
      <c r="AI2248" s="87"/>
      <c r="AJ2248" s="87"/>
      <c r="AK2248" s="87"/>
      <c r="AL2248" s="87"/>
      <c r="AM2248" s="87"/>
      <c r="AN2248" s="87"/>
      <c r="AO2248" s="87">
        <v>7</v>
      </c>
      <c r="AP2248" s="87">
        <v>3</v>
      </c>
      <c r="AQ2248" s="87"/>
      <c r="AR2248" s="87"/>
      <c r="AS2248" s="87"/>
      <c r="AT2248" s="87"/>
      <c r="AU2248" s="87"/>
      <c r="AV2248" s="87"/>
      <c r="AW2248" s="88" t="str">
        <f>HYPERLINK("http://www.openstreetmap.org/?mlat=31.9976&amp;mlon=44.9812&amp;zoom=12#map=12/31.9976/44.9812","Maplink1")</f>
        <v>Maplink1</v>
      </c>
      <c r="AX2248" s="88" t="str">
        <f>HYPERLINK("https://www.google.iq/maps/search/+31.9976,44.9812/@31.9976,44.9812,14z?hl=en","Maplink2")</f>
        <v>Maplink2</v>
      </c>
      <c r="AY2248" s="88" t="str">
        <f>HYPERLINK("http://www.bing.com/maps/?lvl=14&amp;sty=h&amp;cp=31.9976~44.9812&amp;sp=point.31.9976_44.9812","Maplink3")</f>
        <v>Maplink3</v>
      </c>
      <c r="AZ2248" s="76"/>
    </row>
    <row r="2249" spans="1:52" x14ac:dyDescent="0.25">
      <c r="A2249" s="86">
        <v>25861</v>
      </c>
      <c r="B2249" s="87" t="s">
        <v>25</v>
      </c>
      <c r="C2249" s="87" t="s">
        <v>4234</v>
      </c>
      <c r="D2249" s="87" t="s">
        <v>4320</v>
      </c>
      <c r="E2249" s="87" t="s">
        <v>4321</v>
      </c>
      <c r="F2249" s="87">
        <v>31.9583001779</v>
      </c>
      <c r="G2249" s="87">
        <v>44.7502365852</v>
      </c>
      <c r="H2249" s="86">
        <v>5</v>
      </c>
      <c r="I2249" s="86">
        <v>30</v>
      </c>
      <c r="J2249" s="87"/>
      <c r="K2249" s="87"/>
      <c r="L2249" s="87"/>
      <c r="M2249" s="87"/>
      <c r="N2249" s="87"/>
      <c r="O2249" s="87"/>
      <c r="P2249" s="87"/>
      <c r="Q2249" s="87"/>
      <c r="R2249" s="87">
        <v>5</v>
      </c>
      <c r="S2249" s="87"/>
      <c r="T2249" s="87"/>
      <c r="U2249" s="87"/>
      <c r="V2249" s="87"/>
      <c r="W2249" s="87"/>
      <c r="X2249" s="87"/>
      <c r="Y2249" s="87"/>
      <c r="Z2249" s="87"/>
      <c r="AA2249" s="87"/>
      <c r="AB2249" s="87"/>
      <c r="AC2249" s="87">
        <v>1</v>
      </c>
      <c r="AD2249" s="87"/>
      <c r="AE2249" s="87"/>
      <c r="AF2249" s="87"/>
      <c r="AG2249" s="87"/>
      <c r="AH2249" s="87">
        <v>4</v>
      </c>
      <c r="AI2249" s="87"/>
      <c r="AJ2249" s="87"/>
      <c r="AK2249" s="87"/>
      <c r="AL2249" s="87"/>
      <c r="AM2249" s="87"/>
      <c r="AN2249" s="87"/>
      <c r="AO2249" s="87">
        <v>5</v>
      </c>
      <c r="AP2249" s="87"/>
      <c r="AQ2249" s="87"/>
      <c r="AR2249" s="87"/>
      <c r="AS2249" s="87"/>
      <c r="AT2249" s="87"/>
      <c r="AU2249" s="87"/>
      <c r="AV2249" s="87"/>
      <c r="AW2249" s="88" t="str">
        <f>HYPERLINK("http://www.openstreetmap.org/?mlat=31.9583&amp;mlon=44.7502&amp;zoom=12#map=12/31.9583/44.7502","Maplink1")</f>
        <v>Maplink1</v>
      </c>
      <c r="AX2249" s="88" t="str">
        <f>HYPERLINK("https://www.google.iq/maps/search/+31.9583,44.7502/@31.9583,44.7502,14z?hl=en","Maplink2")</f>
        <v>Maplink2</v>
      </c>
      <c r="AY2249" s="88" t="str">
        <f>HYPERLINK("http://www.bing.com/maps/?lvl=14&amp;sty=h&amp;cp=31.9583~44.7502&amp;sp=point.31.9583_44.7502","Maplink3")</f>
        <v>Maplink3</v>
      </c>
      <c r="AZ2249" s="76"/>
    </row>
    <row r="2250" spans="1:52" x14ac:dyDescent="0.25">
      <c r="A2250" s="86">
        <v>24904</v>
      </c>
      <c r="B2250" s="87" t="s">
        <v>25</v>
      </c>
      <c r="C2250" s="87" t="s">
        <v>4234</v>
      </c>
      <c r="D2250" s="87" t="s">
        <v>4322</v>
      </c>
      <c r="E2250" s="87" t="s">
        <v>4323</v>
      </c>
      <c r="F2250" s="87">
        <v>32.0072806254</v>
      </c>
      <c r="G2250" s="87">
        <v>44.853895211000001</v>
      </c>
      <c r="H2250" s="86">
        <v>8</v>
      </c>
      <c r="I2250" s="86">
        <v>48</v>
      </c>
      <c r="J2250" s="87"/>
      <c r="K2250" s="87"/>
      <c r="L2250" s="87"/>
      <c r="M2250" s="87"/>
      <c r="N2250" s="87"/>
      <c r="O2250" s="87"/>
      <c r="P2250" s="87"/>
      <c r="Q2250" s="87"/>
      <c r="R2250" s="87"/>
      <c r="S2250" s="87"/>
      <c r="T2250" s="87"/>
      <c r="U2250" s="87"/>
      <c r="V2250" s="87">
        <v>8</v>
      </c>
      <c r="W2250" s="87"/>
      <c r="X2250" s="87"/>
      <c r="Y2250" s="87"/>
      <c r="Z2250" s="87"/>
      <c r="AA2250" s="87"/>
      <c r="AB2250" s="87"/>
      <c r="AC2250" s="87">
        <v>1</v>
      </c>
      <c r="AD2250" s="87"/>
      <c r="AE2250" s="87"/>
      <c r="AF2250" s="87"/>
      <c r="AG2250" s="87">
        <v>3</v>
      </c>
      <c r="AH2250" s="87">
        <v>4</v>
      </c>
      <c r="AI2250" s="87"/>
      <c r="AJ2250" s="87"/>
      <c r="AK2250" s="87"/>
      <c r="AL2250" s="87"/>
      <c r="AM2250" s="87"/>
      <c r="AN2250" s="87"/>
      <c r="AO2250" s="87">
        <v>8</v>
      </c>
      <c r="AP2250" s="87"/>
      <c r="AQ2250" s="87"/>
      <c r="AR2250" s="87"/>
      <c r="AS2250" s="87"/>
      <c r="AT2250" s="87"/>
      <c r="AU2250" s="87"/>
      <c r="AV2250" s="87"/>
      <c r="AW2250" s="88" t="str">
        <f>HYPERLINK("http://www.openstreetmap.org/?mlat=32.0073&amp;mlon=44.8539&amp;zoom=12#map=12/32.0073/44.8539","Maplink1")</f>
        <v>Maplink1</v>
      </c>
      <c r="AX2250" s="88" t="str">
        <f>HYPERLINK("https://www.google.iq/maps/search/+32.0073,44.8539/@32.0073,44.8539,14z?hl=en","Maplink2")</f>
        <v>Maplink2</v>
      </c>
      <c r="AY2250" s="88" t="str">
        <f>HYPERLINK("http://www.bing.com/maps/?lvl=14&amp;sty=h&amp;cp=32.0073~44.8539&amp;sp=point.32.0073_44.8539","Maplink3")</f>
        <v>Maplink3</v>
      </c>
      <c r="AZ2250" s="76"/>
    </row>
    <row r="2251" spans="1:52" x14ac:dyDescent="0.25">
      <c r="A2251" s="86">
        <v>24583</v>
      </c>
      <c r="B2251" s="87" t="s">
        <v>25</v>
      </c>
      <c r="C2251" s="87" t="s">
        <v>1930</v>
      </c>
      <c r="D2251" s="87" t="s">
        <v>4324</v>
      </c>
      <c r="E2251" s="87" t="s">
        <v>4325</v>
      </c>
      <c r="F2251" s="87">
        <v>31.860279352399999</v>
      </c>
      <c r="G2251" s="87">
        <v>44.931567842699998</v>
      </c>
      <c r="H2251" s="86">
        <v>4</v>
      </c>
      <c r="I2251" s="86">
        <v>24</v>
      </c>
      <c r="J2251" s="87"/>
      <c r="K2251" s="87"/>
      <c r="L2251" s="87"/>
      <c r="M2251" s="87"/>
      <c r="N2251" s="87"/>
      <c r="O2251" s="87"/>
      <c r="P2251" s="87"/>
      <c r="Q2251" s="87"/>
      <c r="R2251" s="87">
        <v>1</v>
      </c>
      <c r="S2251" s="87"/>
      <c r="T2251" s="87"/>
      <c r="U2251" s="87"/>
      <c r="V2251" s="87">
        <v>3</v>
      </c>
      <c r="W2251" s="87"/>
      <c r="X2251" s="87"/>
      <c r="Y2251" s="87"/>
      <c r="Z2251" s="87"/>
      <c r="AA2251" s="87"/>
      <c r="AB2251" s="87"/>
      <c r="AC2251" s="87">
        <v>1</v>
      </c>
      <c r="AD2251" s="87"/>
      <c r="AE2251" s="87"/>
      <c r="AF2251" s="87"/>
      <c r="AG2251" s="87">
        <v>3</v>
      </c>
      <c r="AH2251" s="87"/>
      <c r="AI2251" s="87"/>
      <c r="AJ2251" s="87"/>
      <c r="AK2251" s="87"/>
      <c r="AL2251" s="87"/>
      <c r="AM2251" s="87"/>
      <c r="AN2251" s="87"/>
      <c r="AO2251" s="87">
        <v>1</v>
      </c>
      <c r="AP2251" s="87">
        <v>3</v>
      </c>
      <c r="AQ2251" s="87"/>
      <c r="AR2251" s="87"/>
      <c r="AS2251" s="87"/>
      <c r="AT2251" s="87"/>
      <c r="AU2251" s="87"/>
      <c r="AV2251" s="87"/>
      <c r="AW2251" s="88" t="str">
        <f>HYPERLINK("http://www.openstreetmap.org/?mlat=31.8603&amp;mlon=44.9316&amp;zoom=12#map=12/31.8603/44.9316","Maplink1")</f>
        <v>Maplink1</v>
      </c>
      <c r="AX2251" s="88" t="str">
        <f>HYPERLINK("https://www.google.iq/maps/search/+31.8603,44.9316/@31.8603,44.9316,14z?hl=en","Maplink2")</f>
        <v>Maplink2</v>
      </c>
      <c r="AY2251" s="88" t="str">
        <f>HYPERLINK("http://www.bing.com/maps/?lvl=14&amp;sty=h&amp;cp=31.8603~44.9316&amp;sp=point.31.8603_44.9316","Maplink3")</f>
        <v>Maplink3</v>
      </c>
      <c r="AZ2251" s="76"/>
    </row>
    <row r="2252" spans="1:52" x14ac:dyDescent="0.25">
      <c r="A2252" s="86">
        <v>2518</v>
      </c>
      <c r="B2252" s="87" t="s">
        <v>25</v>
      </c>
      <c r="C2252" s="87" t="s">
        <v>1930</v>
      </c>
      <c r="D2252" s="87" t="s">
        <v>4326</v>
      </c>
      <c r="E2252" s="87" t="s">
        <v>4327</v>
      </c>
      <c r="F2252" s="87">
        <v>31.820907164400001</v>
      </c>
      <c r="G2252" s="87">
        <v>44.939313922499998</v>
      </c>
      <c r="H2252" s="86">
        <v>4</v>
      </c>
      <c r="I2252" s="86">
        <v>24</v>
      </c>
      <c r="J2252" s="87"/>
      <c r="K2252" s="87"/>
      <c r="L2252" s="87"/>
      <c r="M2252" s="87"/>
      <c r="N2252" s="87"/>
      <c r="O2252" s="87"/>
      <c r="P2252" s="87"/>
      <c r="Q2252" s="87"/>
      <c r="R2252" s="87"/>
      <c r="S2252" s="87"/>
      <c r="T2252" s="87"/>
      <c r="U2252" s="87"/>
      <c r="V2252" s="87">
        <v>4</v>
      </c>
      <c r="W2252" s="87"/>
      <c r="X2252" s="87"/>
      <c r="Y2252" s="87"/>
      <c r="Z2252" s="87"/>
      <c r="AA2252" s="87"/>
      <c r="AB2252" s="87"/>
      <c r="AC2252" s="87">
        <v>2</v>
      </c>
      <c r="AD2252" s="87"/>
      <c r="AE2252" s="87"/>
      <c r="AF2252" s="87"/>
      <c r="AG2252" s="87">
        <v>2</v>
      </c>
      <c r="AH2252" s="87"/>
      <c r="AI2252" s="87"/>
      <c r="AJ2252" s="87"/>
      <c r="AK2252" s="87"/>
      <c r="AL2252" s="87"/>
      <c r="AM2252" s="87"/>
      <c r="AN2252" s="87"/>
      <c r="AO2252" s="87">
        <v>4</v>
      </c>
      <c r="AP2252" s="87"/>
      <c r="AQ2252" s="87"/>
      <c r="AR2252" s="87"/>
      <c r="AS2252" s="87"/>
      <c r="AT2252" s="87"/>
      <c r="AU2252" s="87"/>
      <c r="AV2252" s="87"/>
      <c r="AW2252" s="88" t="str">
        <f>HYPERLINK("http://www.openstreetmap.org/?mlat=31.8209&amp;mlon=44.9393&amp;zoom=12#map=12/31.8209/44.9393","Maplink1")</f>
        <v>Maplink1</v>
      </c>
      <c r="AX2252" s="88" t="str">
        <f>HYPERLINK("https://www.google.iq/maps/search/+31.8209,44.9393/@31.8209,44.9393,14z?hl=en","Maplink2")</f>
        <v>Maplink2</v>
      </c>
      <c r="AY2252" s="88" t="str">
        <f>HYPERLINK("http://www.bing.com/maps/?lvl=14&amp;sty=h&amp;cp=31.8209~44.9393&amp;sp=point.31.8209_44.9393","Maplink3")</f>
        <v>Maplink3</v>
      </c>
      <c r="AZ2252" s="76"/>
    </row>
    <row r="2253" spans="1:52" x14ac:dyDescent="0.25">
      <c r="A2253" s="86">
        <v>25285</v>
      </c>
      <c r="B2253" s="87" t="s">
        <v>25</v>
      </c>
      <c r="C2253" s="87" t="s">
        <v>1930</v>
      </c>
      <c r="D2253" s="87" t="s">
        <v>1347</v>
      </c>
      <c r="E2253" s="87" t="s">
        <v>55</v>
      </c>
      <c r="F2253" s="87">
        <v>31.825473750899999</v>
      </c>
      <c r="G2253" s="87">
        <v>44.942785929300001</v>
      </c>
      <c r="H2253" s="86">
        <v>4</v>
      </c>
      <c r="I2253" s="86">
        <v>24</v>
      </c>
      <c r="J2253" s="87"/>
      <c r="K2253" s="87"/>
      <c r="L2253" s="87"/>
      <c r="M2253" s="87"/>
      <c r="N2253" s="87"/>
      <c r="O2253" s="87"/>
      <c r="P2253" s="87"/>
      <c r="Q2253" s="87"/>
      <c r="R2253" s="87"/>
      <c r="S2253" s="87"/>
      <c r="T2253" s="87"/>
      <c r="U2253" s="87"/>
      <c r="V2253" s="87">
        <v>4</v>
      </c>
      <c r="W2253" s="87"/>
      <c r="X2253" s="87"/>
      <c r="Y2253" s="87"/>
      <c r="Z2253" s="87"/>
      <c r="AA2253" s="87"/>
      <c r="AB2253" s="87"/>
      <c r="AC2253" s="87"/>
      <c r="AD2253" s="87"/>
      <c r="AE2253" s="87"/>
      <c r="AF2253" s="87"/>
      <c r="AG2253" s="87">
        <v>2</v>
      </c>
      <c r="AH2253" s="87">
        <v>2</v>
      </c>
      <c r="AI2253" s="87"/>
      <c r="AJ2253" s="87"/>
      <c r="AK2253" s="87"/>
      <c r="AL2253" s="87"/>
      <c r="AM2253" s="87"/>
      <c r="AN2253" s="87"/>
      <c r="AO2253" s="87">
        <v>4</v>
      </c>
      <c r="AP2253" s="87"/>
      <c r="AQ2253" s="87"/>
      <c r="AR2253" s="87"/>
      <c r="AS2253" s="87"/>
      <c r="AT2253" s="87"/>
      <c r="AU2253" s="87"/>
      <c r="AV2253" s="87"/>
      <c r="AW2253" s="88" t="str">
        <f>HYPERLINK("http://www.openstreetmap.org/?mlat=31.8255&amp;mlon=44.9428&amp;zoom=12#map=12/31.8255/44.9428","Maplink1")</f>
        <v>Maplink1</v>
      </c>
      <c r="AX2253" s="88" t="str">
        <f>HYPERLINK("https://www.google.iq/maps/search/+31.8255,44.9428/@31.8255,44.9428,14z?hl=en","Maplink2")</f>
        <v>Maplink2</v>
      </c>
      <c r="AY2253" s="88" t="str">
        <f>HYPERLINK("http://www.bing.com/maps/?lvl=14&amp;sty=h&amp;cp=31.8255~44.9428&amp;sp=point.31.8255_44.9428","Maplink3")</f>
        <v>Maplink3</v>
      </c>
      <c r="AZ2253" s="76"/>
    </row>
    <row r="2254" spans="1:52" x14ac:dyDescent="0.25">
      <c r="A2254" s="86">
        <v>25564</v>
      </c>
      <c r="B2254" s="87" t="s">
        <v>25</v>
      </c>
      <c r="C2254" s="87" t="s">
        <v>1930</v>
      </c>
      <c r="D2254" s="87" t="s">
        <v>4328</v>
      </c>
      <c r="E2254" s="87" t="s">
        <v>4329</v>
      </c>
      <c r="F2254" s="87">
        <v>31.822133939699999</v>
      </c>
      <c r="G2254" s="87">
        <v>44.944287024600001</v>
      </c>
      <c r="H2254" s="86">
        <v>3</v>
      </c>
      <c r="I2254" s="86">
        <v>18</v>
      </c>
      <c r="J2254" s="87"/>
      <c r="K2254" s="87"/>
      <c r="L2254" s="87"/>
      <c r="M2254" s="87"/>
      <c r="N2254" s="87"/>
      <c r="O2254" s="87"/>
      <c r="P2254" s="87"/>
      <c r="Q2254" s="87"/>
      <c r="R2254" s="87">
        <v>3</v>
      </c>
      <c r="S2254" s="87"/>
      <c r="T2254" s="87"/>
      <c r="U2254" s="87"/>
      <c r="V2254" s="87"/>
      <c r="W2254" s="87"/>
      <c r="X2254" s="87"/>
      <c r="Y2254" s="87"/>
      <c r="Z2254" s="87"/>
      <c r="AA2254" s="87"/>
      <c r="AB2254" s="87"/>
      <c r="AC2254" s="87"/>
      <c r="AD2254" s="87"/>
      <c r="AE2254" s="87"/>
      <c r="AF2254" s="87"/>
      <c r="AG2254" s="87">
        <v>2</v>
      </c>
      <c r="AH2254" s="87">
        <v>1</v>
      </c>
      <c r="AI2254" s="87"/>
      <c r="AJ2254" s="87"/>
      <c r="AK2254" s="87"/>
      <c r="AL2254" s="87"/>
      <c r="AM2254" s="87"/>
      <c r="AN2254" s="87"/>
      <c r="AO2254" s="87">
        <v>3</v>
      </c>
      <c r="AP2254" s="87"/>
      <c r="AQ2254" s="87"/>
      <c r="AR2254" s="87"/>
      <c r="AS2254" s="87"/>
      <c r="AT2254" s="87"/>
      <c r="AU2254" s="87"/>
      <c r="AV2254" s="87"/>
      <c r="AW2254" s="88" t="str">
        <f>HYPERLINK("http://www.openstreetmap.org/?mlat=31.8221&amp;mlon=44.9443&amp;zoom=12#map=12/31.8221/44.9443","Maplink1")</f>
        <v>Maplink1</v>
      </c>
      <c r="AX2254" s="88" t="str">
        <f>HYPERLINK("https://www.google.iq/maps/search/+31.8221,44.9443/@31.8221,44.9443,14z?hl=en","Maplink2")</f>
        <v>Maplink2</v>
      </c>
      <c r="AY2254" s="88" t="str">
        <f>HYPERLINK("http://www.bing.com/maps/?lvl=14&amp;sty=h&amp;cp=31.8221~44.9443&amp;sp=point.31.8221_44.9443","Maplink3")</f>
        <v>Maplink3</v>
      </c>
      <c r="AZ2254" s="76"/>
    </row>
    <row r="2255" spans="1:52" x14ac:dyDescent="0.25">
      <c r="A2255" s="86">
        <v>22000</v>
      </c>
      <c r="B2255" s="87" t="s">
        <v>25</v>
      </c>
      <c r="C2255" s="87" t="s">
        <v>1930</v>
      </c>
      <c r="D2255" s="87" t="s">
        <v>4330</v>
      </c>
      <c r="E2255" s="87" t="s">
        <v>307</v>
      </c>
      <c r="F2255" s="87">
        <v>31.7160727182</v>
      </c>
      <c r="G2255" s="87">
        <v>44.970706466499998</v>
      </c>
      <c r="H2255" s="86">
        <v>4</v>
      </c>
      <c r="I2255" s="86">
        <v>24</v>
      </c>
      <c r="J2255" s="87"/>
      <c r="K2255" s="87"/>
      <c r="L2255" s="87"/>
      <c r="M2255" s="87"/>
      <c r="N2255" s="87"/>
      <c r="O2255" s="87"/>
      <c r="P2255" s="87"/>
      <c r="Q2255" s="87"/>
      <c r="R2255" s="87"/>
      <c r="S2255" s="87"/>
      <c r="T2255" s="87"/>
      <c r="U2255" s="87"/>
      <c r="V2255" s="87">
        <v>4</v>
      </c>
      <c r="W2255" s="87"/>
      <c r="X2255" s="87"/>
      <c r="Y2255" s="87"/>
      <c r="Z2255" s="87"/>
      <c r="AA2255" s="87"/>
      <c r="AB2255" s="87"/>
      <c r="AC2255" s="87"/>
      <c r="AD2255" s="87"/>
      <c r="AE2255" s="87"/>
      <c r="AF2255" s="87"/>
      <c r="AG2255" s="87"/>
      <c r="AH2255" s="87">
        <v>4</v>
      </c>
      <c r="AI2255" s="87"/>
      <c r="AJ2255" s="87"/>
      <c r="AK2255" s="87"/>
      <c r="AL2255" s="87"/>
      <c r="AM2255" s="87"/>
      <c r="AN2255" s="87"/>
      <c r="AO2255" s="87"/>
      <c r="AP2255" s="87">
        <v>4</v>
      </c>
      <c r="AQ2255" s="87"/>
      <c r="AR2255" s="87"/>
      <c r="AS2255" s="87"/>
      <c r="AT2255" s="87"/>
      <c r="AU2255" s="87"/>
      <c r="AV2255" s="87"/>
      <c r="AW2255" s="88" t="str">
        <f>HYPERLINK("http://www.openstreetmap.org/?mlat=31.7161&amp;mlon=44.9707&amp;zoom=12#map=12/31.7161/44.9707","Maplink1")</f>
        <v>Maplink1</v>
      </c>
      <c r="AX2255" s="88" t="str">
        <f>HYPERLINK("https://www.google.iq/maps/search/+31.7161,44.9707/@31.7161,44.9707,14z?hl=en","Maplink2")</f>
        <v>Maplink2</v>
      </c>
      <c r="AY2255" s="88" t="str">
        <f>HYPERLINK("http://www.bing.com/maps/?lvl=14&amp;sty=h&amp;cp=31.7161~44.9707&amp;sp=point.31.7161_44.9707","Maplink3")</f>
        <v>Maplink3</v>
      </c>
      <c r="AZ2255" s="76"/>
    </row>
    <row r="2256" spans="1:52" x14ac:dyDescent="0.25">
      <c r="A2256" s="86">
        <v>24582</v>
      </c>
      <c r="B2256" s="87" t="s">
        <v>25</v>
      </c>
      <c r="C2256" s="87" t="s">
        <v>1930</v>
      </c>
      <c r="D2256" s="87" t="s">
        <v>4331</v>
      </c>
      <c r="E2256" s="87" t="s">
        <v>4332</v>
      </c>
      <c r="F2256" s="87">
        <v>31.7277437031</v>
      </c>
      <c r="G2256" s="87">
        <v>44.972462835400002</v>
      </c>
      <c r="H2256" s="86">
        <v>4</v>
      </c>
      <c r="I2256" s="86">
        <v>24</v>
      </c>
      <c r="J2256" s="87"/>
      <c r="K2256" s="87"/>
      <c r="L2256" s="87"/>
      <c r="M2256" s="87"/>
      <c r="N2256" s="87"/>
      <c r="O2256" s="87"/>
      <c r="P2256" s="87"/>
      <c r="Q2256" s="87"/>
      <c r="R2256" s="87"/>
      <c r="S2256" s="87"/>
      <c r="T2256" s="87"/>
      <c r="U2256" s="87"/>
      <c r="V2256" s="87">
        <v>4</v>
      </c>
      <c r="W2256" s="87"/>
      <c r="X2256" s="87"/>
      <c r="Y2256" s="87"/>
      <c r="Z2256" s="87"/>
      <c r="AA2256" s="87"/>
      <c r="AB2256" s="87"/>
      <c r="AC2256" s="87">
        <v>2</v>
      </c>
      <c r="AD2256" s="87"/>
      <c r="AE2256" s="87"/>
      <c r="AF2256" s="87"/>
      <c r="AG2256" s="87"/>
      <c r="AH2256" s="87">
        <v>2</v>
      </c>
      <c r="AI2256" s="87"/>
      <c r="AJ2256" s="87"/>
      <c r="AK2256" s="87"/>
      <c r="AL2256" s="87"/>
      <c r="AM2256" s="87"/>
      <c r="AN2256" s="87"/>
      <c r="AO2256" s="87">
        <v>4</v>
      </c>
      <c r="AP2256" s="87"/>
      <c r="AQ2256" s="87"/>
      <c r="AR2256" s="87"/>
      <c r="AS2256" s="87"/>
      <c r="AT2256" s="87"/>
      <c r="AU2256" s="87"/>
      <c r="AV2256" s="87"/>
      <c r="AW2256" s="88" t="str">
        <f>HYPERLINK("http://www.openstreetmap.org/?mlat=31.7277&amp;mlon=44.9725&amp;zoom=12#map=12/31.7277/44.9725","Maplink1")</f>
        <v>Maplink1</v>
      </c>
      <c r="AX2256" s="88" t="str">
        <f>HYPERLINK("https://www.google.iq/maps/search/+31.7277,44.9725/@31.7277,44.9725,14z?hl=en","Maplink2")</f>
        <v>Maplink2</v>
      </c>
      <c r="AY2256" s="88" t="str">
        <f>HYPERLINK("http://www.bing.com/maps/?lvl=14&amp;sty=h&amp;cp=31.7277~44.9725&amp;sp=point.31.7277_44.9725","Maplink3")</f>
        <v>Maplink3</v>
      </c>
      <c r="AZ2256" s="76"/>
    </row>
    <row r="2257" spans="1:52" x14ac:dyDescent="0.25">
      <c r="A2257" s="86">
        <v>25284</v>
      </c>
      <c r="B2257" s="87" t="s">
        <v>25</v>
      </c>
      <c r="C2257" s="87" t="s">
        <v>1930</v>
      </c>
      <c r="D2257" s="87" t="s">
        <v>4333</v>
      </c>
      <c r="E2257" s="87" t="s">
        <v>4334</v>
      </c>
      <c r="F2257" s="87">
        <v>31.736117868899999</v>
      </c>
      <c r="G2257" s="87">
        <v>44.976184200799999</v>
      </c>
      <c r="H2257" s="86">
        <v>6</v>
      </c>
      <c r="I2257" s="86">
        <v>36</v>
      </c>
      <c r="J2257" s="87"/>
      <c r="K2257" s="87"/>
      <c r="L2257" s="87"/>
      <c r="M2257" s="87"/>
      <c r="N2257" s="87"/>
      <c r="O2257" s="87"/>
      <c r="P2257" s="87"/>
      <c r="Q2257" s="87"/>
      <c r="R2257" s="87"/>
      <c r="S2257" s="87"/>
      <c r="T2257" s="87"/>
      <c r="U2257" s="87"/>
      <c r="V2257" s="87">
        <v>6</v>
      </c>
      <c r="W2257" s="87"/>
      <c r="X2257" s="87"/>
      <c r="Y2257" s="87"/>
      <c r="Z2257" s="87"/>
      <c r="AA2257" s="87"/>
      <c r="AB2257" s="87"/>
      <c r="AC2257" s="87">
        <v>2</v>
      </c>
      <c r="AD2257" s="87"/>
      <c r="AE2257" s="87"/>
      <c r="AF2257" s="87"/>
      <c r="AG2257" s="87"/>
      <c r="AH2257" s="87">
        <v>4</v>
      </c>
      <c r="AI2257" s="87"/>
      <c r="AJ2257" s="87"/>
      <c r="AK2257" s="87"/>
      <c r="AL2257" s="87"/>
      <c r="AM2257" s="87"/>
      <c r="AN2257" s="87"/>
      <c r="AO2257" s="87">
        <v>6</v>
      </c>
      <c r="AP2257" s="87"/>
      <c r="AQ2257" s="87"/>
      <c r="AR2257" s="87"/>
      <c r="AS2257" s="87"/>
      <c r="AT2257" s="87"/>
      <c r="AU2257" s="87"/>
      <c r="AV2257" s="87"/>
      <c r="AW2257" s="88" t="str">
        <f>HYPERLINK("http://www.openstreetmap.org/?mlat=31.7361&amp;mlon=44.9762&amp;zoom=12#map=12/31.7361/44.9762","Maplink1")</f>
        <v>Maplink1</v>
      </c>
      <c r="AX2257" s="88" t="str">
        <f>HYPERLINK("https://www.google.iq/maps/search/+31.7361,44.9762/@31.7361,44.9762,14z?hl=en","Maplink2")</f>
        <v>Maplink2</v>
      </c>
      <c r="AY2257" s="88" t="str">
        <f>HYPERLINK("http://www.bing.com/maps/?lvl=14&amp;sty=h&amp;cp=31.7361~44.9762&amp;sp=point.31.7361_44.9762","Maplink3")</f>
        <v>Maplink3</v>
      </c>
      <c r="AZ2257" s="76"/>
    </row>
    <row r="2258" spans="1:52" x14ac:dyDescent="0.25">
      <c r="A2258" s="86">
        <v>26116</v>
      </c>
      <c r="B2258" s="87" t="s">
        <v>26</v>
      </c>
      <c r="C2258" s="87" t="s">
        <v>4335</v>
      </c>
      <c r="D2258" s="87" t="s">
        <v>4336</v>
      </c>
      <c r="E2258" s="87" t="s">
        <v>4240</v>
      </c>
      <c r="F2258" s="87">
        <v>34.409397200000001</v>
      </c>
      <c r="G2258" s="87">
        <v>43.789427445999998</v>
      </c>
      <c r="H2258" s="86">
        <v>51</v>
      </c>
      <c r="I2258" s="86">
        <v>306</v>
      </c>
      <c r="J2258" s="87"/>
      <c r="K2258" s="87"/>
      <c r="L2258" s="87"/>
      <c r="M2258" s="87"/>
      <c r="N2258" s="87"/>
      <c r="O2258" s="87"/>
      <c r="P2258" s="87"/>
      <c r="Q2258" s="87"/>
      <c r="R2258" s="87">
        <v>3</v>
      </c>
      <c r="S2258" s="87"/>
      <c r="T2258" s="87"/>
      <c r="U2258" s="87"/>
      <c r="V2258" s="87">
        <v>37</v>
      </c>
      <c r="W2258" s="87"/>
      <c r="X2258" s="87">
        <v>11</v>
      </c>
      <c r="Y2258" s="87"/>
      <c r="Z2258" s="87"/>
      <c r="AA2258" s="87"/>
      <c r="AB2258" s="87"/>
      <c r="AC2258" s="87"/>
      <c r="AD2258" s="87"/>
      <c r="AE2258" s="87"/>
      <c r="AF2258" s="87"/>
      <c r="AG2258" s="87"/>
      <c r="AH2258" s="87">
        <v>51</v>
      </c>
      <c r="AI2258" s="87"/>
      <c r="AJ2258" s="87"/>
      <c r="AK2258" s="87"/>
      <c r="AL2258" s="87"/>
      <c r="AM2258" s="87"/>
      <c r="AN2258" s="87"/>
      <c r="AO2258" s="87"/>
      <c r="AP2258" s="87"/>
      <c r="AQ2258" s="87"/>
      <c r="AR2258" s="87"/>
      <c r="AS2258" s="87"/>
      <c r="AT2258" s="87">
        <v>19</v>
      </c>
      <c r="AU2258" s="87">
        <v>32</v>
      </c>
      <c r="AV2258" s="87"/>
      <c r="AW2258" s="88" t="str">
        <f>HYPERLINK("http://www.openstreetmap.org/?mlat=34.4094&amp;mlon=43.7894&amp;zoom=12#map=12/34.4094/43.7894","Maplink1")</f>
        <v>Maplink1</v>
      </c>
      <c r="AX2258" s="88" t="str">
        <f>HYPERLINK("https://www.google.iq/maps/search/+34.4094,43.7894/@34.4094,43.7894,14z?hl=en","Maplink2")</f>
        <v>Maplink2</v>
      </c>
      <c r="AY2258" s="88" t="str">
        <f>HYPERLINK("http://www.bing.com/maps/?lvl=14&amp;sty=h&amp;cp=34.4094~43.7894&amp;sp=point.34.4094_43.7894","Maplink3")</f>
        <v>Maplink3</v>
      </c>
      <c r="AZ2258" s="76"/>
    </row>
    <row r="2259" spans="1:52" x14ac:dyDescent="0.25">
      <c r="A2259" s="86">
        <v>25916</v>
      </c>
      <c r="B2259" s="87" t="s">
        <v>26</v>
      </c>
      <c r="C2259" s="87" t="s">
        <v>4337</v>
      </c>
      <c r="D2259" s="87" t="s">
        <v>4338</v>
      </c>
      <c r="E2259" s="87" t="s">
        <v>4339</v>
      </c>
      <c r="F2259" s="87">
        <v>33.909314729999998</v>
      </c>
      <c r="G2259" s="87">
        <v>44.198015400000003</v>
      </c>
      <c r="H2259" s="86">
        <v>90</v>
      </c>
      <c r="I2259" s="86">
        <v>540</v>
      </c>
      <c r="J2259" s="87"/>
      <c r="K2259" s="87"/>
      <c r="L2259" s="87"/>
      <c r="M2259" s="87"/>
      <c r="N2259" s="87"/>
      <c r="O2259" s="87"/>
      <c r="P2259" s="87"/>
      <c r="Q2259" s="87"/>
      <c r="R2259" s="87"/>
      <c r="S2259" s="87"/>
      <c r="T2259" s="87"/>
      <c r="U2259" s="87"/>
      <c r="V2259" s="87"/>
      <c r="W2259" s="87"/>
      <c r="X2259" s="87">
        <v>90</v>
      </c>
      <c r="Y2259" s="87"/>
      <c r="Z2259" s="87"/>
      <c r="AA2259" s="87"/>
      <c r="AB2259" s="87"/>
      <c r="AC2259" s="87"/>
      <c r="AD2259" s="87"/>
      <c r="AE2259" s="87"/>
      <c r="AF2259" s="87"/>
      <c r="AG2259" s="87"/>
      <c r="AH2259" s="87">
        <v>90</v>
      </c>
      <c r="AI2259" s="87"/>
      <c r="AJ2259" s="87"/>
      <c r="AK2259" s="87"/>
      <c r="AL2259" s="87"/>
      <c r="AM2259" s="87"/>
      <c r="AN2259" s="87"/>
      <c r="AO2259" s="87"/>
      <c r="AP2259" s="87">
        <v>15</v>
      </c>
      <c r="AQ2259" s="87">
        <v>75</v>
      </c>
      <c r="AR2259" s="87"/>
      <c r="AS2259" s="87"/>
      <c r="AT2259" s="87"/>
      <c r="AU2259" s="87"/>
      <c r="AV2259" s="87"/>
      <c r="AW2259" s="88" t="str">
        <f>HYPERLINK("http://www.openstreetmap.org/?mlat=33.9093&amp;mlon=44.198&amp;zoom=12#map=12/33.9093/44.198","Maplink1")</f>
        <v>Maplink1</v>
      </c>
      <c r="AX2259" s="88" t="str">
        <f>HYPERLINK("https://www.google.iq/maps/search/+33.9093,44.198/@33.9093,44.198,14z?hl=en","Maplink2")</f>
        <v>Maplink2</v>
      </c>
      <c r="AY2259" s="88" t="str">
        <f>HYPERLINK("http://www.bing.com/maps/?lvl=14&amp;sty=h&amp;cp=33.9093~44.198&amp;sp=point.33.9093_44.198","Maplink3")</f>
        <v>Maplink3</v>
      </c>
      <c r="AZ2259" s="76"/>
    </row>
    <row r="2260" spans="1:52" x14ac:dyDescent="0.25">
      <c r="A2260" s="86">
        <v>25917</v>
      </c>
      <c r="B2260" s="87" t="s">
        <v>26</v>
      </c>
      <c r="C2260" s="87" t="s">
        <v>4337</v>
      </c>
      <c r="D2260" s="87" t="s">
        <v>4340</v>
      </c>
      <c r="E2260" s="87" t="s">
        <v>4341</v>
      </c>
      <c r="F2260" s="87">
        <v>33.770337079299999</v>
      </c>
      <c r="G2260" s="87">
        <v>44.291956884699999</v>
      </c>
      <c r="H2260" s="86">
        <v>105</v>
      </c>
      <c r="I2260" s="86">
        <v>630</v>
      </c>
      <c r="J2260" s="87"/>
      <c r="K2260" s="87"/>
      <c r="L2260" s="87"/>
      <c r="M2260" s="87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  <c r="X2260" s="87">
        <v>105</v>
      </c>
      <c r="Y2260" s="87"/>
      <c r="Z2260" s="87"/>
      <c r="AA2260" s="87"/>
      <c r="AB2260" s="87"/>
      <c r="AC2260" s="87"/>
      <c r="AD2260" s="87"/>
      <c r="AE2260" s="87"/>
      <c r="AF2260" s="87"/>
      <c r="AG2260" s="87"/>
      <c r="AH2260" s="87">
        <v>105</v>
      </c>
      <c r="AI2260" s="87"/>
      <c r="AJ2260" s="87"/>
      <c r="AK2260" s="87"/>
      <c r="AL2260" s="87"/>
      <c r="AM2260" s="87"/>
      <c r="AN2260" s="87"/>
      <c r="AO2260" s="87">
        <v>55</v>
      </c>
      <c r="AP2260" s="87">
        <v>25</v>
      </c>
      <c r="AQ2260" s="87">
        <v>25</v>
      </c>
      <c r="AR2260" s="87"/>
      <c r="AS2260" s="87"/>
      <c r="AT2260" s="87"/>
      <c r="AU2260" s="87"/>
      <c r="AV2260" s="87"/>
      <c r="AW2260" s="88" t="str">
        <f>HYPERLINK("http://www.openstreetmap.org/?mlat=33.7703&amp;mlon=44.292&amp;zoom=12#map=12/33.7703/44.292","Maplink1")</f>
        <v>Maplink1</v>
      </c>
      <c r="AX2260" s="88" t="str">
        <f>HYPERLINK("https://www.google.iq/maps/search/+33.7703,44.292/@33.7703,44.292,14z?hl=en","Maplink2")</f>
        <v>Maplink2</v>
      </c>
      <c r="AY2260" s="88" t="str">
        <f>HYPERLINK("http://www.bing.com/maps/?lvl=14&amp;sty=h&amp;cp=33.7703~44.292&amp;sp=point.33.7703_44.292","Maplink3")</f>
        <v>Maplink3</v>
      </c>
      <c r="AZ2260" s="76"/>
    </row>
    <row r="2261" spans="1:52" x14ac:dyDescent="0.25">
      <c r="A2261" s="86">
        <v>23920</v>
      </c>
      <c r="B2261" s="87" t="s">
        <v>26</v>
      </c>
      <c r="C2261" s="87" t="s">
        <v>4337</v>
      </c>
      <c r="D2261" s="87" t="s">
        <v>4342</v>
      </c>
      <c r="E2261" s="87" t="s">
        <v>307</v>
      </c>
      <c r="F2261" s="87">
        <v>33.842963724199997</v>
      </c>
      <c r="G2261" s="87">
        <v>44.241682613199998</v>
      </c>
      <c r="H2261" s="86">
        <v>152</v>
      </c>
      <c r="I2261" s="86">
        <v>912</v>
      </c>
      <c r="J2261" s="87"/>
      <c r="K2261" s="87"/>
      <c r="L2261" s="87"/>
      <c r="M2261" s="87"/>
      <c r="N2261" s="87"/>
      <c r="O2261" s="87"/>
      <c r="P2261" s="87"/>
      <c r="Q2261" s="87"/>
      <c r="R2261" s="87"/>
      <c r="S2261" s="87"/>
      <c r="T2261" s="87"/>
      <c r="U2261" s="87"/>
      <c r="V2261" s="87"/>
      <c r="W2261" s="87"/>
      <c r="X2261" s="87">
        <v>152</v>
      </c>
      <c r="Y2261" s="87"/>
      <c r="Z2261" s="87"/>
      <c r="AA2261" s="87"/>
      <c r="AB2261" s="87"/>
      <c r="AC2261" s="87"/>
      <c r="AD2261" s="87"/>
      <c r="AE2261" s="87"/>
      <c r="AF2261" s="87"/>
      <c r="AG2261" s="87"/>
      <c r="AH2261" s="87">
        <v>152</v>
      </c>
      <c r="AI2261" s="87"/>
      <c r="AJ2261" s="87"/>
      <c r="AK2261" s="87"/>
      <c r="AL2261" s="87"/>
      <c r="AM2261" s="87"/>
      <c r="AN2261" s="87"/>
      <c r="AO2261" s="87"/>
      <c r="AP2261" s="87">
        <v>72</v>
      </c>
      <c r="AQ2261" s="87">
        <v>80</v>
      </c>
      <c r="AR2261" s="87"/>
      <c r="AS2261" s="87"/>
      <c r="AT2261" s="87"/>
      <c r="AU2261" s="87"/>
      <c r="AV2261" s="87"/>
      <c r="AW2261" s="88" t="str">
        <f>HYPERLINK("http://www.openstreetmap.org/?mlat=33.843&amp;mlon=44.2417&amp;zoom=12#map=12/33.843/44.2417","Maplink1")</f>
        <v>Maplink1</v>
      </c>
      <c r="AX2261" s="88" t="str">
        <f>HYPERLINK("https://www.google.iq/maps/search/+33.843,44.2417/@33.843,44.2417,14z?hl=en","Maplink2")</f>
        <v>Maplink2</v>
      </c>
      <c r="AY2261" s="88" t="str">
        <f>HYPERLINK("http://www.bing.com/maps/?lvl=14&amp;sty=h&amp;cp=33.843~44.2417&amp;sp=point.33.843_44.2417","Maplink3")</f>
        <v>Maplink3</v>
      </c>
      <c r="AZ2261" s="76"/>
    </row>
    <row r="2262" spans="1:52" x14ac:dyDescent="0.25">
      <c r="A2262" s="86">
        <v>25743</v>
      </c>
      <c r="B2262" s="87" t="s">
        <v>26</v>
      </c>
      <c r="C2262" s="87" t="s">
        <v>4337</v>
      </c>
      <c r="D2262" s="87" t="s">
        <v>4343</v>
      </c>
      <c r="E2262" s="87" t="s">
        <v>4344</v>
      </c>
      <c r="F2262" s="87">
        <v>33.851914128799997</v>
      </c>
      <c r="G2262" s="87">
        <v>44.226103346400002</v>
      </c>
      <c r="H2262" s="86">
        <v>103</v>
      </c>
      <c r="I2262" s="86">
        <v>618</v>
      </c>
      <c r="J2262" s="87"/>
      <c r="K2262" s="87"/>
      <c r="L2262" s="87"/>
      <c r="M2262" s="87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  <c r="X2262" s="87">
        <v>103</v>
      </c>
      <c r="Y2262" s="87"/>
      <c r="Z2262" s="87"/>
      <c r="AA2262" s="87"/>
      <c r="AB2262" s="87"/>
      <c r="AC2262" s="87"/>
      <c r="AD2262" s="87"/>
      <c r="AE2262" s="87"/>
      <c r="AF2262" s="87"/>
      <c r="AG2262" s="87"/>
      <c r="AH2262" s="87">
        <v>103</v>
      </c>
      <c r="AI2262" s="87"/>
      <c r="AJ2262" s="87"/>
      <c r="AK2262" s="87"/>
      <c r="AL2262" s="87"/>
      <c r="AM2262" s="87"/>
      <c r="AN2262" s="87"/>
      <c r="AO2262" s="87">
        <v>103</v>
      </c>
      <c r="AP2262" s="87"/>
      <c r="AQ2262" s="87"/>
      <c r="AR2262" s="87"/>
      <c r="AS2262" s="87"/>
      <c r="AT2262" s="87"/>
      <c r="AU2262" s="87"/>
      <c r="AV2262" s="87"/>
      <c r="AW2262" s="88" t="str">
        <f>HYPERLINK("http://www.openstreetmap.org/?mlat=33.8519&amp;mlon=44.2261&amp;zoom=12#map=12/33.8519/44.2261","Maplink1")</f>
        <v>Maplink1</v>
      </c>
      <c r="AX2262" s="88" t="str">
        <f>HYPERLINK("https://www.google.iq/maps/search/+33.8519,44.2261/@33.8519,44.2261,14z?hl=en","Maplink2")</f>
        <v>Maplink2</v>
      </c>
      <c r="AY2262" s="88" t="str">
        <f>HYPERLINK("http://www.bing.com/maps/?lvl=14&amp;sty=h&amp;cp=33.8519~44.2261&amp;sp=point.33.8519_44.2261","Maplink3")</f>
        <v>Maplink3</v>
      </c>
      <c r="AZ2262" s="76"/>
    </row>
    <row r="2263" spans="1:52" x14ac:dyDescent="0.25">
      <c r="A2263" s="86">
        <v>23913</v>
      </c>
      <c r="B2263" s="87" t="s">
        <v>26</v>
      </c>
      <c r="C2263" s="87" t="s">
        <v>4337</v>
      </c>
      <c r="D2263" s="87" t="s">
        <v>4345</v>
      </c>
      <c r="E2263" s="87" t="s">
        <v>4346</v>
      </c>
      <c r="F2263" s="87">
        <v>33.838514913399997</v>
      </c>
      <c r="G2263" s="87">
        <v>44.247682323299998</v>
      </c>
      <c r="H2263" s="86">
        <v>100</v>
      </c>
      <c r="I2263" s="86">
        <v>600</v>
      </c>
      <c r="J2263" s="87"/>
      <c r="K2263" s="87"/>
      <c r="L2263" s="87"/>
      <c r="M2263" s="87"/>
      <c r="N2263" s="87"/>
      <c r="O2263" s="87"/>
      <c r="P2263" s="87"/>
      <c r="Q2263" s="87"/>
      <c r="R2263" s="87"/>
      <c r="S2263" s="87"/>
      <c r="T2263" s="87"/>
      <c r="U2263" s="87"/>
      <c r="V2263" s="87"/>
      <c r="W2263" s="87"/>
      <c r="X2263" s="87">
        <v>100</v>
      </c>
      <c r="Y2263" s="87"/>
      <c r="Z2263" s="87"/>
      <c r="AA2263" s="87"/>
      <c r="AB2263" s="87"/>
      <c r="AC2263" s="87"/>
      <c r="AD2263" s="87"/>
      <c r="AE2263" s="87"/>
      <c r="AF2263" s="87"/>
      <c r="AG2263" s="87"/>
      <c r="AH2263" s="87">
        <v>100</v>
      </c>
      <c r="AI2263" s="87"/>
      <c r="AJ2263" s="87"/>
      <c r="AK2263" s="87"/>
      <c r="AL2263" s="87"/>
      <c r="AM2263" s="87"/>
      <c r="AN2263" s="87"/>
      <c r="AO2263" s="87">
        <v>100</v>
      </c>
      <c r="AP2263" s="87"/>
      <c r="AQ2263" s="87"/>
      <c r="AR2263" s="87"/>
      <c r="AS2263" s="87"/>
      <c r="AT2263" s="87"/>
      <c r="AU2263" s="87"/>
      <c r="AV2263" s="87"/>
      <c r="AW2263" s="88" t="str">
        <f>HYPERLINK("http://www.openstreetmap.org/?mlat=33.8385&amp;mlon=44.2477&amp;zoom=12#map=12/33.8385/44.2477","Maplink1")</f>
        <v>Maplink1</v>
      </c>
      <c r="AX2263" s="88" t="str">
        <f>HYPERLINK("https://www.google.iq/maps/search/+33.8385,44.2477/@33.8385,44.2477,14z?hl=en","Maplink2")</f>
        <v>Maplink2</v>
      </c>
      <c r="AY2263" s="88" t="str">
        <f>HYPERLINK("http://www.bing.com/maps/?lvl=14&amp;sty=h&amp;cp=33.8385~44.2477&amp;sp=point.33.8385_44.2477","Maplink3")</f>
        <v>Maplink3</v>
      </c>
      <c r="AZ2263" s="76"/>
    </row>
    <row r="2264" spans="1:52" x14ac:dyDescent="0.25">
      <c r="A2264" s="86">
        <v>25747</v>
      </c>
      <c r="B2264" s="87" t="s">
        <v>26</v>
      </c>
      <c r="C2264" s="87" t="s">
        <v>4337</v>
      </c>
      <c r="D2264" s="87" t="s">
        <v>4347</v>
      </c>
      <c r="E2264" s="87" t="s">
        <v>4348</v>
      </c>
      <c r="F2264" s="87">
        <v>33.773105807599997</v>
      </c>
      <c r="G2264" s="87">
        <v>44.305449229300002</v>
      </c>
      <c r="H2264" s="86">
        <v>180</v>
      </c>
      <c r="I2264" s="86">
        <v>1080</v>
      </c>
      <c r="J2264" s="87"/>
      <c r="K2264" s="87"/>
      <c r="L2264" s="87"/>
      <c r="M2264" s="87"/>
      <c r="N2264" s="87"/>
      <c r="O2264" s="87"/>
      <c r="P2264" s="87"/>
      <c r="Q2264" s="87"/>
      <c r="R2264" s="87"/>
      <c r="S2264" s="87"/>
      <c r="T2264" s="87"/>
      <c r="U2264" s="87"/>
      <c r="V2264" s="87"/>
      <c r="W2264" s="87"/>
      <c r="X2264" s="87">
        <v>180</v>
      </c>
      <c r="Y2264" s="87"/>
      <c r="Z2264" s="87"/>
      <c r="AA2264" s="87"/>
      <c r="AB2264" s="87"/>
      <c r="AC2264" s="87"/>
      <c r="AD2264" s="87"/>
      <c r="AE2264" s="87"/>
      <c r="AF2264" s="87"/>
      <c r="AG2264" s="87"/>
      <c r="AH2264" s="87">
        <v>180</v>
      </c>
      <c r="AI2264" s="87"/>
      <c r="AJ2264" s="87"/>
      <c r="AK2264" s="87"/>
      <c r="AL2264" s="87"/>
      <c r="AM2264" s="87"/>
      <c r="AN2264" s="87"/>
      <c r="AO2264" s="87"/>
      <c r="AP2264" s="87">
        <v>80</v>
      </c>
      <c r="AQ2264" s="87">
        <v>100</v>
      </c>
      <c r="AR2264" s="87"/>
      <c r="AS2264" s="87"/>
      <c r="AT2264" s="87"/>
      <c r="AU2264" s="87"/>
      <c r="AV2264" s="87"/>
      <c r="AW2264" s="88" t="str">
        <f>HYPERLINK("http://www.openstreetmap.org/?mlat=33.7731&amp;mlon=44.3054&amp;zoom=12#map=12/33.7731/44.3054","Maplink1")</f>
        <v>Maplink1</v>
      </c>
      <c r="AX2264" s="88" t="str">
        <f>HYPERLINK("https://www.google.iq/maps/search/+33.7731,44.3054/@33.7731,44.3054,14z?hl=en","Maplink2")</f>
        <v>Maplink2</v>
      </c>
      <c r="AY2264" s="88" t="str">
        <f>HYPERLINK("http://www.bing.com/maps/?lvl=14&amp;sty=h&amp;cp=33.7731~44.3054&amp;sp=point.33.7731_44.3054","Maplink3")</f>
        <v>Maplink3</v>
      </c>
      <c r="AZ2264" s="76"/>
    </row>
    <row r="2265" spans="1:52" x14ac:dyDescent="0.25">
      <c r="A2265" s="86">
        <v>25746</v>
      </c>
      <c r="B2265" s="87" t="s">
        <v>26</v>
      </c>
      <c r="C2265" s="87" t="s">
        <v>4337</v>
      </c>
      <c r="D2265" s="87" t="s">
        <v>4349</v>
      </c>
      <c r="E2265" s="87" t="s">
        <v>4350</v>
      </c>
      <c r="F2265" s="87">
        <v>33.848870706600003</v>
      </c>
      <c r="G2265" s="87">
        <v>44.232468127799997</v>
      </c>
      <c r="H2265" s="86">
        <v>70</v>
      </c>
      <c r="I2265" s="86">
        <v>420</v>
      </c>
      <c r="J2265" s="87"/>
      <c r="K2265" s="87"/>
      <c r="L2265" s="87"/>
      <c r="M2265" s="87"/>
      <c r="N2265" s="87"/>
      <c r="O2265" s="87"/>
      <c r="P2265" s="87"/>
      <c r="Q2265" s="87"/>
      <c r="R2265" s="87"/>
      <c r="S2265" s="87"/>
      <c r="T2265" s="87"/>
      <c r="U2265" s="87"/>
      <c r="V2265" s="87"/>
      <c r="W2265" s="87"/>
      <c r="X2265" s="87">
        <v>70</v>
      </c>
      <c r="Y2265" s="87"/>
      <c r="Z2265" s="87"/>
      <c r="AA2265" s="87"/>
      <c r="AB2265" s="87"/>
      <c r="AC2265" s="87"/>
      <c r="AD2265" s="87"/>
      <c r="AE2265" s="87"/>
      <c r="AF2265" s="87"/>
      <c r="AG2265" s="87"/>
      <c r="AH2265" s="87">
        <v>70</v>
      </c>
      <c r="AI2265" s="87"/>
      <c r="AJ2265" s="87"/>
      <c r="AK2265" s="87"/>
      <c r="AL2265" s="87"/>
      <c r="AM2265" s="87"/>
      <c r="AN2265" s="87"/>
      <c r="AO2265" s="87"/>
      <c r="AP2265" s="87">
        <v>70</v>
      </c>
      <c r="AQ2265" s="87"/>
      <c r="AR2265" s="87"/>
      <c r="AS2265" s="87"/>
      <c r="AT2265" s="87"/>
      <c r="AU2265" s="87"/>
      <c r="AV2265" s="87"/>
      <c r="AW2265" s="88" t="str">
        <f>HYPERLINK("http://www.openstreetmap.org/?mlat=33.8489&amp;mlon=44.2325&amp;zoom=12#map=12/33.8489/44.2325","Maplink1")</f>
        <v>Maplink1</v>
      </c>
      <c r="AX2265" s="88" t="str">
        <f>HYPERLINK("https://www.google.iq/maps/search/+33.8489,44.2325/@33.8489,44.2325,14z?hl=en","Maplink2")</f>
        <v>Maplink2</v>
      </c>
      <c r="AY2265" s="88" t="str">
        <f>HYPERLINK("http://www.bing.com/maps/?lvl=14&amp;sty=h&amp;cp=33.8489~44.2325&amp;sp=point.33.8489_44.2325","Maplink3")</f>
        <v>Maplink3</v>
      </c>
      <c r="AZ2265" s="76"/>
    </row>
    <row r="2266" spans="1:52" x14ac:dyDescent="0.25">
      <c r="A2266" s="86">
        <v>25745</v>
      </c>
      <c r="B2266" s="87" t="s">
        <v>26</v>
      </c>
      <c r="C2266" s="87" t="s">
        <v>4337</v>
      </c>
      <c r="D2266" s="87" t="s">
        <v>4351</v>
      </c>
      <c r="E2266" s="87" t="s">
        <v>4352</v>
      </c>
      <c r="F2266" s="87">
        <v>33.850661717000001</v>
      </c>
      <c r="G2266" s="87">
        <v>44.231288880999998</v>
      </c>
      <c r="H2266" s="86">
        <v>63</v>
      </c>
      <c r="I2266" s="86">
        <v>378</v>
      </c>
      <c r="J2266" s="87"/>
      <c r="K2266" s="87"/>
      <c r="L2266" s="87"/>
      <c r="M2266" s="87"/>
      <c r="N2266" s="87"/>
      <c r="O2266" s="87"/>
      <c r="P2266" s="87"/>
      <c r="Q2266" s="87"/>
      <c r="R2266" s="87"/>
      <c r="S2266" s="87"/>
      <c r="T2266" s="87"/>
      <c r="U2266" s="87"/>
      <c r="V2266" s="87"/>
      <c r="W2266" s="87"/>
      <c r="X2266" s="87">
        <v>63</v>
      </c>
      <c r="Y2266" s="87"/>
      <c r="Z2266" s="87"/>
      <c r="AA2266" s="87"/>
      <c r="AB2266" s="87"/>
      <c r="AC2266" s="87"/>
      <c r="AD2266" s="87"/>
      <c r="AE2266" s="87"/>
      <c r="AF2266" s="87"/>
      <c r="AG2266" s="87"/>
      <c r="AH2266" s="87">
        <v>63</v>
      </c>
      <c r="AI2266" s="87"/>
      <c r="AJ2266" s="87"/>
      <c r="AK2266" s="87"/>
      <c r="AL2266" s="87"/>
      <c r="AM2266" s="87"/>
      <c r="AN2266" s="87"/>
      <c r="AO2266" s="87">
        <v>63</v>
      </c>
      <c r="AP2266" s="87"/>
      <c r="AQ2266" s="87"/>
      <c r="AR2266" s="87"/>
      <c r="AS2266" s="87"/>
      <c r="AT2266" s="87"/>
      <c r="AU2266" s="87"/>
      <c r="AV2266" s="87"/>
      <c r="AW2266" s="88" t="str">
        <f>HYPERLINK("http://www.openstreetmap.org/?mlat=33.8507&amp;mlon=44.2313&amp;zoom=12#map=12/33.8507/44.2313","Maplink1")</f>
        <v>Maplink1</v>
      </c>
      <c r="AX2266" s="88" t="str">
        <f>HYPERLINK("https://www.google.iq/maps/search/+33.8507,44.2313/@33.8507,44.2313,14z?hl=en","Maplink2")</f>
        <v>Maplink2</v>
      </c>
      <c r="AY2266" s="88" t="str">
        <f>HYPERLINK("http://www.bing.com/maps/?lvl=14&amp;sty=h&amp;cp=33.8507~44.2313&amp;sp=point.33.8507_44.2313","Maplink3")</f>
        <v>Maplink3</v>
      </c>
      <c r="AZ2266" s="76"/>
    </row>
    <row r="2267" spans="1:52" x14ac:dyDescent="0.25">
      <c r="A2267" s="86">
        <v>23300</v>
      </c>
      <c r="B2267" s="87" t="s">
        <v>26</v>
      </c>
      <c r="C2267" s="87" t="s">
        <v>4353</v>
      </c>
      <c r="D2267" s="87" t="s">
        <v>4354</v>
      </c>
      <c r="E2267" s="87" t="s">
        <v>4355</v>
      </c>
      <c r="F2267" s="87">
        <v>35.439460342700002</v>
      </c>
      <c r="G2267" s="87">
        <v>43.219761788699998</v>
      </c>
      <c r="H2267" s="86">
        <v>6</v>
      </c>
      <c r="I2267" s="86">
        <v>36</v>
      </c>
      <c r="J2267" s="87"/>
      <c r="K2267" s="87"/>
      <c r="L2267" s="87"/>
      <c r="M2267" s="87"/>
      <c r="N2267" s="87"/>
      <c r="O2267" s="87"/>
      <c r="P2267" s="87"/>
      <c r="Q2267" s="87"/>
      <c r="R2267" s="87">
        <v>1</v>
      </c>
      <c r="S2267" s="87"/>
      <c r="T2267" s="87"/>
      <c r="U2267" s="87"/>
      <c r="V2267" s="87"/>
      <c r="W2267" s="87"/>
      <c r="X2267" s="87">
        <v>5</v>
      </c>
      <c r="Y2267" s="87"/>
      <c r="Z2267" s="87"/>
      <c r="AA2267" s="87"/>
      <c r="AB2267" s="87"/>
      <c r="AC2267" s="87"/>
      <c r="AD2267" s="87"/>
      <c r="AE2267" s="87"/>
      <c r="AF2267" s="87"/>
      <c r="AG2267" s="87"/>
      <c r="AH2267" s="87">
        <v>6</v>
      </c>
      <c r="AI2267" s="87"/>
      <c r="AJ2267" s="87"/>
      <c r="AK2267" s="87"/>
      <c r="AL2267" s="87"/>
      <c r="AM2267" s="87"/>
      <c r="AN2267" s="87"/>
      <c r="AO2267" s="87"/>
      <c r="AP2267" s="87"/>
      <c r="AQ2267" s="87"/>
      <c r="AR2267" s="87"/>
      <c r="AS2267" s="87"/>
      <c r="AT2267" s="87">
        <v>6</v>
      </c>
      <c r="AU2267" s="87"/>
      <c r="AV2267" s="87"/>
      <c r="AW2267" s="88" t="str">
        <f>HYPERLINK("http://www.openstreetmap.org/?mlat=35.4395&amp;mlon=43.2198&amp;zoom=12#map=12/35.4395/43.2198","Maplink1")</f>
        <v>Maplink1</v>
      </c>
      <c r="AX2267" s="88" t="str">
        <f>HYPERLINK("https://www.google.iq/maps/search/+35.4395,43.2198/@35.4395,43.2198,14z?hl=en","Maplink2")</f>
        <v>Maplink2</v>
      </c>
      <c r="AY2267" s="88" t="str">
        <f>HYPERLINK("http://www.bing.com/maps/?lvl=14&amp;sty=h&amp;cp=35.4395~43.2198&amp;sp=point.35.4395_43.2198","Maplink3")</f>
        <v>Maplink3</v>
      </c>
      <c r="AZ2267" s="76"/>
    </row>
    <row r="2268" spans="1:52" x14ac:dyDescent="0.25">
      <c r="A2268" s="86">
        <v>20392</v>
      </c>
      <c r="B2268" s="87" t="s">
        <v>26</v>
      </c>
      <c r="C2268" s="87" t="s">
        <v>4353</v>
      </c>
      <c r="D2268" s="87" t="s">
        <v>4356</v>
      </c>
      <c r="E2268" s="87" t="s">
        <v>4357</v>
      </c>
      <c r="F2268" s="87">
        <v>35.608120956500002</v>
      </c>
      <c r="G2268" s="87">
        <v>43.241912765400002</v>
      </c>
      <c r="H2268" s="86">
        <v>3</v>
      </c>
      <c r="I2268" s="86">
        <v>18</v>
      </c>
      <c r="J2268" s="87"/>
      <c r="K2268" s="87"/>
      <c r="L2268" s="87"/>
      <c r="M2268" s="87"/>
      <c r="N2268" s="87"/>
      <c r="O2268" s="87"/>
      <c r="P2268" s="87"/>
      <c r="Q2268" s="87"/>
      <c r="R2268" s="87"/>
      <c r="S2268" s="87"/>
      <c r="T2268" s="87"/>
      <c r="U2268" s="87"/>
      <c r="V2268" s="87"/>
      <c r="W2268" s="87"/>
      <c r="X2268" s="87">
        <v>3</v>
      </c>
      <c r="Y2268" s="87"/>
      <c r="Z2268" s="87"/>
      <c r="AA2268" s="87"/>
      <c r="AB2268" s="87"/>
      <c r="AC2268" s="87"/>
      <c r="AD2268" s="87"/>
      <c r="AE2268" s="87"/>
      <c r="AF2268" s="87"/>
      <c r="AG2268" s="87"/>
      <c r="AH2268" s="87">
        <v>3</v>
      </c>
      <c r="AI2268" s="87"/>
      <c r="AJ2268" s="87"/>
      <c r="AK2268" s="87"/>
      <c r="AL2268" s="87"/>
      <c r="AM2268" s="87"/>
      <c r="AN2268" s="87"/>
      <c r="AO2268" s="87"/>
      <c r="AP2268" s="87"/>
      <c r="AQ2268" s="87"/>
      <c r="AR2268" s="87"/>
      <c r="AS2268" s="87"/>
      <c r="AT2268" s="87">
        <v>3</v>
      </c>
      <c r="AU2268" s="87"/>
      <c r="AV2268" s="87"/>
      <c r="AW2268" s="88" t="str">
        <f>HYPERLINK("http://www.openstreetmap.org/?mlat=35.6081&amp;mlon=43.2419&amp;zoom=12#map=12/35.6081/43.2419","Maplink1")</f>
        <v>Maplink1</v>
      </c>
      <c r="AX2268" s="88" t="str">
        <f>HYPERLINK("https://www.google.iq/maps/search/+35.6081,43.2419/@35.6081,43.2419,14z?hl=en","Maplink2")</f>
        <v>Maplink2</v>
      </c>
      <c r="AY2268" s="88" t="str">
        <f>HYPERLINK("http://www.bing.com/maps/?lvl=14&amp;sty=h&amp;cp=35.6081~43.2419&amp;sp=point.35.6081_43.2419","Maplink3")</f>
        <v>Maplink3</v>
      </c>
      <c r="AZ2268" s="76"/>
    </row>
    <row r="2269" spans="1:52" x14ac:dyDescent="0.25">
      <c r="A2269" s="86">
        <v>21002</v>
      </c>
      <c r="B2269" s="87" t="s">
        <v>26</v>
      </c>
      <c r="C2269" s="87" t="s">
        <v>4353</v>
      </c>
      <c r="D2269" s="87" t="s">
        <v>4358</v>
      </c>
      <c r="E2269" s="87" t="s">
        <v>4359</v>
      </c>
      <c r="F2269" s="87">
        <v>35.394071457000003</v>
      </c>
      <c r="G2269" s="87">
        <v>43.256221204399999</v>
      </c>
      <c r="H2269" s="86">
        <v>3</v>
      </c>
      <c r="I2269" s="86">
        <v>18</v>
      </c>
      <c r="J2269" s="87"/>
      <c r="K2269" s="87"/>
      <c r="L2269" s="87"/>
      <c r="M2269" s="87"/>
      <c r="N2269" s="87"/>
      <c r="O2269" s="87"/>
      <c r="P2269" s="87"/>
      <c r="Q2269" s="87"/>
      <c r="R2269" s="87"/>
      <c r="S2269" s="87"/>
      <c r="T2269" s="87"/>
      <c r="U2269" s="87"/>
      <c r="V2269" s="87"/>
      <c r="W2269" s="87"/>
      <c r="X2269" s="87">
        <v>3</v>
      </c>
      <c r="Y2269" s="87"/>
      <c r="Z2269" s="87"/>
      <c r="AA2269" s="87"/>
      <c r="AB2269" s="87"/>
      <c r="AC2269" s="87"/>
      <c r="AD2269" s="87"/>
      <c r="AE2269" s="87"/>
      <c r="AF2269" s="87"/>
      <c r="AG2269" s="87"/>
      <c r="AH2269" s="87">
        <v>3</v>
      </c>
      <c r="AI2269" s="87"/>
      <c r="AJ2269" s="87"/>
      <c r="AK2269" s="87"/>
      <c r="AL2269" s="87"/>
      <c r="AM2269" s="87"/>
      <c r="AN2269" s="87"/>
      <c r="AO2269" s="87"/>
      <c r="AP2269" s="87"/>
      <c r="AQ2269" s="87"/>
      <c r="AR2269" s="87"/>
      <c r="AS2269" s="87"/>
      <c r="AT2269" s="87">
        <v>3</v>
      </c>
      <c r="AU2269" s="87"/>
      <c r="AV2269" s="87"/>
      <c r="AW2269" s="88" t="str">
        <f>HYPERLINK("http://www.openstreetmap.org/?mlat=35.3941&amp;mlon=43.2562&amp;zoom=12#map=12/35.3941/43.2562","Maplink1")</f>
        <v>Maplink1</v>
      </c>
      <c r="AX2269" s="88" t="str">
        <f>HYPERLINK("https://www.google.iq/maps/search/+35.3941,43.2562/@35.3941,43.2562,14z?hl=en","Maplink2")</f>
        <v>Maplink2</v>
      </c>
      <c r="AY2269" s="88" t="str">
        <f>HYPERLINK("http://www.bing.com/maps/?lvl=14&amp;sty=h&amp;cp=35.3941~43.2562&amp;sp=point.35.3941_43.2562","Maplink3")</f>
        <v>Maplink3</v>
      </c>
      <c r="AZ2269" s="76"/>
    </row>
    <row r="2270" spans="1:52" x14ac:dyDescent="0.25">
      <c r="A2270" s="86">
        <v>24667</v>
      </c>
      <c r="B2270" s="87" t="s">
        <v>26</v>
      </c>
      <c r="C2270" s="87" t="s">
        <v>4353</v>
      </c>
      <c r="D2270" s="87" t="s">
        <v>4360</v>
      </c>
      <c r="E2270" s="87" t="s">
        <v>4361</v>
      </c>
      <c r="F2270" s="87">
        <v>35.4728990654</v>
      </c>
      <c r="G2270" s="87">
        <v>43.239934848899999</v>
      </c>
      <c r="H2270" s="86">
        <v>3</v>
      </c>
      <c r="I2270" s="86">
        <v>18</v>
      </c>
      <c r="J2270" s="87"/>
      <c r="K2270" s="87"/>
      <c r="L2270" s="87"/>
      <c r="M2270" s="87"/>
      <c r="N2270" s="87"/>
      <c r="O2270" s="87"/>
      <c r="P2270" s="87"/>
      <c r="Q2270" s="87"/>
      <c r="R2270" s="87"/>
      <c r="S2270" s="87"/>
      <c r="T2270" s="87"/>
      <c r="U2270" s="87"/>
      <c r="V2270" s="87"/>
      <c r="W2270" s="87"/>
      <c r="X2270" s="87">
        <v>3</v>
      </c>
      <c r="Y2270" s="87"/>
      <c r="Z2270" s="87"/>
      <c r="AA2270" s="87"/>
      <c r="AB2270" s="87"/>
      <c r="AC2270" s="87"/>
      <c r="AD2270" s="87"/>
      <c r="AE2270" s="87"/>
      <c r="AF2270" s="87"/>
      <c r="AG2270" s="87"/>
      <c r="AH2270" s="87">
        <v>3</v>
      </c>
      <c r="AI2270" s="87"/>
      <c r="AJ2270" s="87"/>
      <c r="AK2270" s="87"/>
      <c r="AL2270" s="87"/>
      <c r="AM2270" s="87"/>
      <c r="AN2270" s="87"/>
      <c r="AO2270" s="87"/>
      <c r="AP2270" s="87"/>
      <c r="AQ2270" s="87"/>
      <c r="AR2270" s="87"/>
      <c r="AS2270" s="87"/>
      <c r="AT2270" s="87">
        <v>3</v>
      </c>
      <c r="AU2270" s="87"/>
      <c r="AV2270" s="87"/>
      <c r="AW2270" s="88" t="str">
        <f>HYPERLINK("http://www.openstreetmap.org/?mlat=35.4729&amp;mlon=43.2399&amp;zoom=12#map=12/35.4729/43.2399","Maplink1")</f>
        <v>Maplink1</v>
      </c>
      <c r="AX2270" s="88" t="str">
        <f>HYPERLINK("https://www.google.iq/maps/search/+35.4729,43.2399/@35.4729,43.2399,14z?hl=en","Maplink2")</f>
        <v>Maplink2</v>
      </c>
      <c r="AY2270" s="88" t="str">
        <f>HYPERLINK("http://www.bing.com/maps/?lvl=14&amp;sty=h&amp;cp=35.4729~43.2399&amp;sp=point.35.4729_43.2399","Maplink3")</f>
        <v>Maplink3</v>
      </c>
      <c r="AZ2270" s="76"/>
    </row>
    <row r="2271" spans="1:52" x14ac:dyDescent="0.25">
      <c r="A2271" s="86">
        <v>20389</v>
      </c>
      <c r="B2271" s="87" t="s">
        <v>26</v>
      </c>
      <c r="C2271" s="87" t="s">
        <v>4353</v>
      </c>
      <c r="D2271" s="87" t="s">
        <v>4362</v>
      </c>
      <c r="E2271" s="87" t="s">
        <v>4363</v>
      </c>
      <c r="F2271" s="87">
        <v>35.626296526799997</v>
      </c>
      <c r="G2271" s="87">
        <v>43.234515837300002</v>
      </c>
      <c r="H2271" s="86">
        <v>3</v>
      </c>
      <c r="I2271" s="86">
        <v>18</v>
      </c>
      <c r="J2271" s="87"/>
      <c r="K2271" s="87"/>
      <c r="L2271" s="87"/>
      <c r="M2271" s="87"/>
      <c r="N2271" s="87"/>
      <c r="O2271" s="87"/>
      <c r="P2271" s="87"/>
      <c r="Q2271" s="87"/>
      <c r="R2271" s="87"/>
      <c r="S2271" s="87"/>
      <c r="T2271" s="87"/>
      <c r="U2271" s="87"/>
      <c r="V2271" s="87"/>
      <c r="W2271" s="87"/>
      <c r="X2271" s="87">
        <v>3</v>
      </c>
      <c r="Y2271" s="87"/>
      <c r="Z2271" s="87"/>
      <c r="AA2271" s="87"/>
      <c r="AB2271" s="87"/>
      <c r="AC2271" s="87"/>
      <c r="AD2271" s="87"/>
      <c r="AE2271" s="87"/>
      <c r="AF2271" s="87"/>
      <c r="AG2271" s="87"/>
      <c r="AH2271" s="87">
        <v>3</v>
      </c>
      <c r="AI2271" s="87"/>
      <c r="AJ2271" s="87"/>
      <c r="AK2271" s="87"/>
      <c r="AL2271" s="87"/>
      <c r="AM2271" s="87"/>
      <c r="AN2271" s="87"/>
      <c r="AO2271" s="87"/>
      <c r="AP2271" s="87"/>
      <c r="AQ2271" s="87"/>
      <c r="AR2271" s="87"/>
      <c r="AS2271" s="87"/>
      <c r="AT2271" s="87">
        <v>3</v>
      </c>
      <c r="AU2271" s="87"/>
      <c r="AV2271" s="87"/>
      <c r="AW2271" s="88" t="str">
        <f>HYPERLINK("http://www.openstreetmap.org/?mlat=35.6263&amp;mlon=43.2345&amp;zoom=12#map=12/35.6263/43.2345","Maplink1")</f>
        <v>Maplink1</v>
      </c>
      <c r="AX2271" s="88" t="str">
        <f>HYPERLINK("https://www.google.iq/maps/search/+35.6263,43.2345/@35.6263,43.2345,14z?hl=en","Maplink2")</f>
        <v>Maplink2</v>
      </c>
      <c r="AY2271" s="88" t="str">
        <f>HYPERLINK("http://www.bing.com/maps/?lvl=14&amp;sty=h&amp;cp=35.6263~43.2345&amp;sp=point.35.6263_43.2345","Maplink3")</f>
        <v>Maplink3</v>
      </c>
      <c r="AZ2271" s="76"/>
    </row>
    <row r="2272" spans="1:52" x14ac:dyDescent="0.25">
      <c r="A2272" s="86">
        <v>29650</v>
      </c>
      <c r="B2272" s="87" t="s">
        <v>26</v>
      </c>
      <c r="C2272" s="87" t="s">
        <v>4353</v>
      </c>
      <c r="D2272" s="87" t="s">
        <v>4364</v>
      </c>
      <c r="E2272" s="87" t="s">
        <v>4365</v>
      </c>
      <c r="F2272" s="87">
        <v>35.594491143699997</v>
      </c>
      <c r="G2272" s="87">
        <v>43.240809157400001</v>
      </c>
      <c r="H2272" s="86">
        <v>2</v>
      </c>
      <c r="I2272" s="86">
        <v>12</v>
      </c>
      <c r="J2272" s="87"/>
      <c r="K2272" s="87"/>
      <c r="L2272" s="87"/>
      <c r="M2272" s="87"/>
      <c r="N2272" s="87"/>
      <c r="O2272" s="87"/>
      <c r="P2272" s="87"/>
      <c r="Q2272" s="87"/>
      <c r="R2272" s="87"/>
      <c r="S2272" s="87"/>
      <c r="T2272" s="87"/>
      <c r="U2272" s="87"/>
      <c r="V2272" s="87"/>
      <c r="W2272" s="87"/>
      <c r="X2272" s="87">
        <v>2</v>
      </c>
      <c r="Y2272" s="87"/>
      <c r="Z2272" s="87"/>
      <c r="AA2272" s="87"/>
      <c r="AB2272" s="87"/>
      <c r="AC2272" s="87"/>
      <c r="AD2272" s="87"/>
      <c r="AE2272" s="87"/>
      <c r="AF2272" s="87"/>
      <c r="AG2272" s="87"/>
      <c r="AH2272" s="87">
        <v>2</v>
      </c>
      <c r="AI2272" s="87"/>
      <c r="AJ2272" s="87"/>
      <c r="AK2272" s="87"/>
      <c r="AL2272" s="87"/>
      <c r="AM2272" s="87"/>
      <c r="AN2272" s="87"/>
      <c r="AO2272" s="87"/>
      <c r="AP2272" s="87"/>
      <c r="AQ2272" s="87"/>
      <c r="AR2272" s="87"/>
      <c r="AS2272" s="87"/>
      <c r="AT2272" s="87">
        <v>2</v>
      </c>
      <c r="AU2272" s="87"/>
      <c r="AV2272" s="87"/>
      <c r="AW2272" s="88" t="str">
        <f>HYPERLINK("http://www.openstreetmap.org/?mlat=35.5945&amp;mlon=43.2408&amp;zoom=12#map=12/35.5945/43.2408","Maplink1")</f>
        <v>Maplink1</v>
      </c>
      <c r="AX2272" s="88" t="str">
        <f>HYPERLINK("https://www.google.iq/maps/search/+35.5945,43.2408/@35.5945,43.2408,14z?hl=en","Maplink2")</f>
        <v>Maplink2</v>
      </c>
      <c r="AY2272" s="88" t="str">
        <f>HYPERLINK("http://www.bing.com/maps/?lvl=14&amp;sty=h&amp;cp=35.5945~43.2408&amp;sp=point.35.5945_43.2408","Maplink3")</f>
        <v>Maplink3</v>
      </c>
      <c r="AZ2272" s="76"/>
    </row>
    <row r="2273" spans="1:52" x14ac:dyDescent="0.25">
      <c r="A2273" s="86">
        <v>29651</v>
      </c>
      <c r="B2273" s="87" t="s">
        <v>26</v>
      </c>
      <c r="C2273" s="87" t="s">
        <v>4353</v>
      </c>
      <c r="D2273" s="87" t="s">
        <v>4366</v>
      </c>
      <c r="E2273" s="87" t="s">
        <v>2464</v>
      </c>
      <c r="F2273" s="87">
        <v>35.459866588899999</v>
      </c>
      <c r="G2273" s="87">
        <v>43.251171364100003</v>
      </c>
      <c r="H2273" s="86">
        <v>2</v>
      </c>
      <c r="I2273" s="86">
        <v>12</v>
      </c>
      <c r="J2273" s="87"/>
      <c r="K2273" s="87"/>
      <c r="L2273" s="87"/>
      <c r="M2273" s="87"/>
      <c r="N2273" s="87"/>
      <c r="O2273" s="87"/>
      <c r="P2273" s="87"/>
      <c r="Q2273" s="87"/>
      <c r="R2273" s="87"/>
      <c r="S2273" s="87"/>
      <c r="T2273" s="87"/>
      <c r="U2273" s="87"/>
      <c r="V2273" s="87"/>
      <c r="W2273" s="87"/>
      <c r="X2273" s="87">
        <v>2</v>
      </c>
      <c r="Y2273" s="87"/>
      <c r="Z2273" s="87"/>
      <c r="AA2273" s="87"/>
      <c r="AB2273" s="87"/>
      <c r="AC2273" s="87"/>
      <c r="AD2273" s="87"/>
      <c r="AE2273" s="87"/>
      <c r="AF2273" s="87"/>
      <c r="AG2273" s="87"/>
      <c r="AH2273" s="87">
        <v>2</v>
      </c>
      <c r="AI2273" s="87"/>
      <c r="AJ2273" s="87"/>
      <c r="AK2273" s="87"/>
      <c r="AL2273" s="87"/>
      <c r="AM2273" s="87"/>
      <c r="AN2273" s="87"/>
      <c r="AO2273" s="87"/>
      <c r="AP2273" s="87"/>
      <c r="AQ2273" s="87"/>
      <c r="AR2273" s="87"/>
      <c r="AS2273" s="87"/>
      <c r="AT2273" s="87">
        <v>2</v>
      </c>
      <c r="AU2273" s="87"/>
      <c r="AV2273" s="87"/>
      <c r="AW2273" s="88" t="str">
        <f>HYPERLINK("http://www.openstreetmap.org/?mlat=35.4599&amp;mlon=43.2512&amp;zoom=12#map=12/35.4599/43.2512","Maplink1")</f>
        <v>Maplink1</v>
      </c>
      <c r="AX2273" s="88" t="str">
        <f>HYPERLINK("https://www.google.iq/maps/search/+35.4599,43.2512/@35.4599,43.2512,14z?hl=en","Maplink2")</f>
        <v>Maplink2</v>
      </c>
      <c r="AY2273" s="88" t="str">
        <f>HYPERLINK("http://www.bing.com/maps/?lvl=14&amp;sty=h&amp;cp=35.4599~43.2512&amp;sp=point.35.4599_43.2512","Maplink3")</f>
        <v>Maplink3</v>
      </c>
      <c r="AZ2273" s="76"/>
    </row>
    <row r="2274" spans="1:52" x14ac:dyDescent="0.25">
      <c r="A2274" s="86">
        <v>29653</v>
      </c>
      <c r="B2274" s="87" t="s">
        <v>26</v>
      </c>
      <c r="C2274" s="87" t="s">
        <v>4353</v>
      </c>
      <c r="D2274" s="87" t="s">
        <v>4367</v>
      </c>
      <c r="E2274" s="87" t="s">
        <v>3877</v>
      </c>
      <c r="F2274" s="87">
        <v>35.536968573000003</v>
      </c>
      <c r="G2274" s="87">
        <v>43.226339751899999</v>
      </c>
      <c r="H2274" s="86">
        <v>5</v>
      </c>
      <c r="I2274" s="86">
        <v>30</v>
      </c>
      <c r="J2274" s="87"/>
      <c r="K2274" s="87"/>
      <c r="L2274" s="87"/>
      <c r="M2274" s="87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  <c r="X2274" s="87">
        <v>5</v>
      </c>
      <c r="Y2274" s="87"/>
      <c r="Z2274" s="87"/>
      <c r="AA2274" s="87"/>
      <c r="AB2274" s="87"/>
      <c r="AC2274" s="87"/>
      <c r="AD2274" s="87"/>
      <c r="AE2274" s="87"/>
      <c r="AF2274" s="87"/>
      <c r="AG2274" s="87"/>
      <c r="AH2274" s="87">
        <v>5</v>
      </c>
      <c r="AI2274" s="87"/>
      <c r="AJ2274" s="87"/>
      <c r="AK2274" s="87"/>
      <c r="AL2274" s="87"/>
      <c r="AM2274" s="87"/>
      <c r="AN2274" s="87"/>
      <c r="AO2274" s="87"/>
      <c r="AP2274" s="87"/>
      <c r="AQ2274" s="87"/>
      <c r="AR2274" s="87"/>
      <c r="AS2274" s="87"/>
      <c r="AT2274" s="87">
        <v>5</v>
      </c>
      <c r="AU2274" s="87"/>
      <c r="AV2274" s="87"/>
      <c r="AW2274" s="88" t="str">
        <f>HYPERLINK("http://www.openstreetmap.org/?mlat=35.537&amp;mlon=43.2263&amp;zoom=12#map=12/35.537/43.2263","Maplink1")</f>
        <v>Maplink1</v>
      </c>
      <c r="AX2274" s="88" t="str">
        <f>HYPERLINK("https://www.google.iq/maps/search/+35.537,43.2263/@35.537,43.2263,14z?hl=en","Maplink2")</f>
        <v>Maplink2</v>
      </c>
      <c r="AY2274" s="88" t="str">
        <f>HYPERLINK("http://www.bing.com/maps/?lvl=14&amp;sty=h&amp;cp=35.537~43.2263&amp;sp=point.35.537_43.2263","Maplink3")</f>
        <v>Maplink3</v>
      </c>
      <c r="AZ2274" s="76"/>
    </row>
    <row r="2275" spans="1:52" x14ac:dyDescent="0.25">
      <c r="A2275" s="86">
        <v>21349</v>
      </c>
      <c r="B2275" s="87" t="s">
        <v>26</v>
      </c>
      <c r="C2275" s="87" t="s">
        <v>4353</v>
      </c>
      <c r="D2275" s="87" t="s">
        <v>4368</v>
      </c>
      <c r="E2275" s="87" t="s">
        <v>4369</v>
      </c>
      <c r="F2275" s="87">
        <v>35.622535315299999</v>
      </c>
      <c r="G2275" s="87">
        <v>43.240831186599998</v>
      </c>
      <c r="H2275" s="86">
        <v>3</v>
      </c>
      <c r="I2275" s="86">
        <v>18</v>
      </c>
      <c r="J2275" s="87"/>
      <c r="K2275" s="87"/>
      <c r="L2275" s="87"/>
      <c r="M2275" s="87"/>
      <c r="N2275" s="87"/>
      <c r="O2275" s="87"/>
      <c r="P2275" s="87"/>
      <c r="Q2275" s="87"/>
      <c r="R2275" s="87"/>
      <c r="S2275" s="87"/>
      <c r="T2275" s="87"/>
      <c r="U2275" s="87"/>
      <c r="V2275" s="87"/>
      <c r="W2275" s="87"/>
      <c r="X2275" s="87">
        <v>3</v>
      </c>
      <c r="Y2275" s="87"/>
      <c r="Z2275" s="87"/>
      <c r="AA2275" s="87"/>
      <c r="AB2275" s="87"/>
      <c r="AC2275" s="87"/>
      <c r="AD2275" s="87"/>
      <c r="AE2275" s="87"/>
      <c r="AF2275" s="87"/>
      <c r="AG2275" s="87"/>
      <c r="AH2275" s="87">
        <v>3</v>
      </c>
      <c r="AI2275" s="87"/>
      <c r="AJ2275" s="87"/>
      <c r="AK2275" s="87"/>
      <c r="AL2275" s="87"/>
      <c r="AM2275" s="87"/>
      <c r="AN2275" s="87"/>
      <c r="AO2275" s="87"/>
      <c r="AP2275" s="87"/>
      <c r="AQ2275" s="87"/>
      <c r="AR2275" s="87"/>
      <c r="AS2275" s="87"/>
      <c r="AT2275" s="87">
        <v>3</v>
      </c>
      <c r="AU2275" s="87"/>
      <c r="AV2275" s="87"/>
      <c r="AW2275" s="88" t="str">
        <f>HYPERLINK("http://www.openstreetmap.org/?mlat=35.6225&amp;mlon=43.2408&amp;zoom=12#map=12/35.6225/43.2408","Maplink1")</f>
        <v>Maplink1</v>
      </c>
      <c r="AX2275" s="88" t="str">
        <f>HYPERLINK("https://www.google.iq/maps/search/+35.6225,43.2408/@35.6225,43.2408,14z?hl=en","Maplink2")</f>
        <v>Maplink2</v>
      </c>
      <c r="AY2275" s="88" t="str">
        <f>HYPERLINK("http://www.bing.com/maps/?lvl=14&amp;sty=h&amp;cp=35.6225~43.2408&amp;sp=point.35.6225_43.2408","Maplink3")</f>
        <v>Maplink3</v>
      </c>
      <c r="AZ2275" s="76"/>
    </row>
    <row r="2276" spans="1:52" x14ac:dyDescent="0.25">
      <c r="A2276" s="86">
        <v>20395</v>
      </c>
      <c r="B2276" s="87" t="s">
        <v>26</v>
      </c>
      <c r="C2276" s="87" t="s">
        <v>4353</v>
      </c>
      <c r="D2276" s="87" t="s">
        <v>4370</v>
      </c>
      <c r="E2276" s="87" t="s">
        <v>4371</v>
      </c>
      <c r="F2276" s="87">
        <v>35.5443241121</v>
      </c>
      <c r="G2276" s="87">
        <v>43.2248358708</v>
      </c>
      <c r="H2276" s="86">
        <v>12</v>
      </c>
      <c r="I2276" s="86">
        <v>72</v>
      </c>
      <c r="J2276" s="87"/>
      <c r="K2276" s="87"/>
      <c r="L2276" s="87"/>
      <c r="M2276" s="87"/>
      <c r="N2276" s="87"/>
      <c r="O2276" s="87"/>
      <c r="P2276" s="87"/>
      <c r="Q2276" s="87"/>
      <c r="R2276" s="87">
        <v>1</v>
      </c>
      <c r="S2276" s="87"/>
      <c r="T2276" s="87"/>
      <c r="U2276" s="87"/>
      <c r="V2276" s="87"/>
      <c r="W2276" s="87"/>
      <c r="X2276" s="87">
        <v>11</v>
      </c>
      <c r="Y2276" s="87"/>
      <c r="Z2276" s="87"/>
      <c r="AA2276" s="87"/>
      <c r="AB2276" s="87"/>
      <c r="AC2276" s="87">
        <v>1</v>
      </c>
      <c r="AD2276" s="87"/>
      <c r="AE2276" s="87"/>
      <c r="AF2276" s="87"/>
      <c r="AG2276" s="87"/>
      <c r="AH2276" s="87">
        <v>10</v>
      </c>
      <c r="AI2276" s="87">
        <v>1</v>
      </c>
      <c r="AJ2276" s="87"/>
      <c r="AK2276" s="87"/>
      <c r="AL2276" s="87"/>
      <c r="AM2276" s="87"/>
      <c r="AN2276" s="87"/>
      <c r="AO2276" s="87"/>
      <c r="AP2276" s="87"/>
      <c r="AQ2276" s="87"/>
      <c r="AR2276" s="87"/>
      <c r="AS2276" s="87"/>
      <c r="AT2276" s="87">
        <v>12</v>
      </c>
      <c r="AU2276" s="87"/>
      <c r="AV2276" s="87"/>
      <c r="AW2276" s="88" t="str">
        <f>HYPERLINK("http://www.openstreetmap.org/?mlat=35.5443&amp;mlon=43.2248&amp;zoom=12#map=12/35.5443/43.2248","Maplink1")</f>
        <v>Maplink1</v>
      </c>
      <c r="AX2276" s="88" t="str">
        <f>HYPERLINK("https://www.google.iq/maps/search/+35.5443,43.2248/@35.5443,43.2248,14z?hl=en","Maplink2")</f>
        <v>Maplink2</v>
      </c>
      <c r="AY2276" s="88" t="str">
        <f>HYPERLINK("http://www.bing.com/maps/?lvl=14&amp;sty=h&amp;cp=35.5443~43.2248&amp;sp=point.35.5443_43.2248","Maplink3")</f>
        <v>Maplink3</v>
      </c>
      <c r="AZ2276" s="76"/>
    </row>
    <row r="2277" spans="1:52" x14ac:dyDescent="0.25">
      <c r="A2277" s="86">
        <v>21004</v>
      </c>
      <c r="B2277" s="87" t="s">
        <v>26</v>
      </c>
      <c r="C2277" s="87" t="s">
        <v>4353</v>
      </c>
      <c r="D2277" s="87" t="s">
        <v>4091</v>
      </c>
      <c r="E2277" s="87" t="s">
        <v>2240</v>
      </c>
      <c r="F2277" s="87">
        <v>35.515882680200001</v>
      </c>
      <c r="G2277" s="87">
        <v>43.240143268799997</v>
      </c>
      <c r="H2277" s="86">
        <v>34</v>
      </c>
      <c r="I2277" s="86">
        <v>204</v>
      </c>
      <c r="J2277" s="87"/>
      <c r="K2277" s="87"/>
      <c r="L2277" s="87"/>
      <c r="M2277" s="87"/>
      <c r="N2277" s="87"/>
      <c r="O2277" s="87"/>
      <c r="P2277" s="87"/>
      <c r="Q2277" s="87"/>
      <c r="R2277" s="87">
        <v>4</v>
      </c>
      <c r="S2277" s="87"/>
      <c r="T2277" s="87"/>
      <c r="U2277" s="87"/>
      <c r="V2277" s="87">
        <v>2</v>
      </c>
      <c r="W2277" s="87"/>
      <c r="X2277" s="87">
        <v>28</v>
      </c>
      <c r="Y2277" s="87"/>
      <c r="Z2277" s="87"/>
      <c r="AA2277" s="87"/>
      <c r="AB2277" s="87"/>
      <c r="AC2277" s="87"/>
      <c r="AD2277" s="87"/>
      <c r="AE2277" s="87"/>
      <c r="AF2277" s="87"/>
      <c r="AG2277" s="87"/>
      <c r="AH2277" s="87">
        <v>26</v>
      </c>
      <c r="AI2277" s="87">
        <v>6</v>
      </c>
      <c r="AJ2277" s="87"/>
      <c r="AK2277" s="87">
        <v>2</v>
      </c>
      <c r="AL2277" s="87"/>
      <c r="AM2277" s="87"/>
      <c r="AN2277" s="87"/>
      <c r="AO2277" s="87"/>
      <c r="AP2277" s="87"/>
      <c r="AQ2277" s="87"/>
      <c r="AR2277" s="87"/>
      <c r="AS2277" s="87"/>
      <c r="AT2277" s="87">
        <v>34</v>
      </c>
      <c r="AU2277" s="87"/>
      <c r="AV2277" s="87"/>
      <c r="AW2277" s="88" t="str">
        <f>HYPERLINK("http://www.openstreetmap.org/?mlat=35.5159&amp;mlon=43.2401&amp;zoom=12#map=12/35.5159/43.2401","Maplink1")</f>
        <v>Maplink1</v>
      </c>
      <c r="AX2277" s="88" t="str">
        <f>HYPERLINK("https://www.google.iq/maps/search/+35.5159,43.2401/@35.5159,43.2401,14z?hl=en","Maplink2")</f>
        <v>Maplink2</v>
      </c>
      <c r="AY2277" s="88" t="str">
        <f>HYPERLINK("http://www.bing.com/maps/?lvl=14&amp;sty=h&amp;cp=35.5159~43.2401&amp;sp=point.35.5159_43.2401","Maplink3")</f>
        <v>Maplink3</v>
      </c>
      <c r="AZ2277" s="76"/>
    </row>
    <row r="2278" spans="1:52" x14ac:dyDescent="0.25">
      <c r="A2278" s="86">
        <v>21005</v>
      </c>
      <c r="B2278" s="87" t="s">
        <v>26</v>
      </c>
      <c r="C2278" s="87" t="s">
        <v>4353</v>
      </c>
      <c r="D2278" s="87" t="s">
        <v>4372</v>
      </c>
      <c r="E2278" s="87" t="s">
        <v>4373</v>
      </c>
      <c r="F2278" s="87">
        <v>35.492468420400002</v>
      </c>
      <c r="G2278" s="87">
        <v>43.239948080399998</v>
      </c>
      <c r="H2278" s="86">
        <v>45</v>
      </c>
      <c r="I2278" s="86">
        <v>270</v>
      </c>
      <c r="J2278" s="87"/>
      <c r="K2278" s="87"/>
      <c r="L2278" s="87"/>
      <c r="M2278" s="87"/>
      <c r="N2278" s="87"/>
      <c r="O2278" s="87"/>
      <c r="P2278" s="87"/>
      <c r="Q2278" s="87"/>
      <c r="R2278" s="87">
        <v>2</v>
      </c>
      <c r="S2278" s="87"/>
      <c r="T2278" s="87"/>
      <c r="U2278" s="87"/>
      <c r="V2278" s="87"/>
      <c r="W2278" s="87"/>
      <c r="X2278" s="87">
        <v>43</v>
      </c>
      <c r="Y2278" s="87"/>
      <c r="Z2278" s="87"/>
      <c r="AA2278" s="87"/>
      <c r="AB2278" s="87"/>
      <c r="AC2278" s="87"/>
      <c r="AD2278" s="87"/>
      <c r="AE2278" s="87"/>
      <c r="AF2278" s="87"/>
      <c r="AG2278" s="87"/>
      <c r="AH2278" s="87">
        <v>38</v>
      </c>
      <c r="AI2278" s="87">
        <v>7</v>
      </c>
      <c r="AJ2278" s="87"/>
      <c r="AK2278" s="87"/>
      <c r="AL2278" s="87"/>
      <c r="AM2278" s="87"/>
      <c r="AN2278" s="87"/>
      <c r="AO2278" s="87"/>
      <c r="AP2278" s="87"/>
      <c r="AQ2278" s="87"/>
      <c r="AR2278" s="87"/>
      <c r="AS2278" s="87"/>
      <c r="AT2278" s="87">
        <v>45</v>
      </c>
      <c r="AU2278" s="87"/>
      <c r="AV2278" s="87"/>
      <c r="AW2278" s="88" t="str">
        <f>HYPERLINK("http://www.openstreetmap.org/?mlat=35.4925&amp;mlon=43.2399&amp;zoom=12#map=12/35.4925/43.2399","Maplink1")</f>
        <v>Maplink1</v>
      </c>
      <c r="AX2278" s="88" t="str">
        <f>HYPERLINK("https://www.google.iq/maps/search/+35.4925,43.2399/@35.4925,43.2399,14z?hl=en","Maplink2")</f>
        <v>Maplink2</v>
      </c>
      <c r="AY2278" s="88" t="str">
        <f>HYPERLINK("http://www.bing.com/maps/?lvl=14&amp;sty=h&amp;cp=35.4925~43.2399&amp;sp=point.35.4925_43.2399","Maplink3")</f>
        <v>Maplink3</v>
      </c>
      <c r="AZ2278" s="76"/>
    </row>
    <row r="2279" spans="1:52" x14ac:dyDescent="0.25">
      <c r="A2279" s="86">
        <v>24210</v>
      </c>
      <c r="B2279" s="87" t="s">
        <v>26</v>
      </c>
      <c r="C2279" s="87" t="s">
        <v>4353</v>
      </c>
      <c r="D2279" s="87" t="s">
        <v>4374</v>
      </c>
      <c r="E2279" s="87" t="s">
        <v>4375</v>
      </c>
      <c r="F2279" s="87">
        <v>35.522968028699999</v>
      </c>
      <c r="G2279" s="87">
        <v>43.235905598800002</v>
      </c>
      <c r="H2279" s="86">
        <v>31</v>
      </c>
      <c r="I2279" s="86">
        <v>186</v>
      </c>
      <c r="J2279" s="87"/>
      <c r="K2279" s="87"/>
      <c r="L2279" s="87"/>
      <c r="M2279" s="87"/>
      <c r="N2279" s="87"/>
      <c r="O2279" s="87"/>
      <c r="P2279" s="87"/>
      <c r="Q2279" s="87"/>
      <c r="R2279" s="87">
        <v>3</v>
      </c>
      <c r="S2279" s="87"/>
      <c r="T2279" s="87"/>
      <c r="U2279" s="87"/>
      <c r="V2279" s="87"/>
      <c r="W2279" s="87"/>
      <c r="X2279" s="87">
        <v>28</v>
      </c>
      <c r="Y2279" s="87"/>
      <c r="Z2279" s="87"/>
      <c r="AA2279" s="87"/>
      <c r="AB2279" s="87"/>
      <c r="AC2279" s="87"/>
      <c r="AD2279" s="87"/>
      <c r="AE2279" s="87"/>
      <c r="AF2279" s="87"/>
      <c r="AG2279" s="87"/>
      <c r="AH2279" s="87">
        <v>26</v>
      </c>
      <c r="AI2279" s="87">
        <v>4</v>
      </c>
      <c r="AJ2279" s="87"/>
      <c r="AK2279" s="87">
        <v>1</v>
      </c>
      <c r="AL2279" s="87"/>
      <c r="AM2279" s="87"/>
      <c r="AN2279" s="87"/>
      <c r="AO2279" s="87"/>
      <c r="AP2279" s="87"/>
      <c r="AQ2279" s="87"/>
      <c r="AR2279" s="87"/>
      <c r="AS2279" s="87"/>
      <c r="AT2279" s="87">
        <v>31</v>
      </c>
      <c r="AU2279" s="87"/>
      <c r="AV2279" s="87"/>
      <c r="AW2279" s="88" t="str">
        <f>HYPERLINK("http://www.openstreetmap.org/?mlat=35.523&amp;mlon=43.2359&amp;zoom=12#map=12/35.523/43.2359","Maplink1")</f>
        <v>Maplink1</v>
      </c>
      <c r="AX2279" s="88" t="str">
        <f>HYPERLINK("https://www.google.iq/maps/search/+35.523,43.2359/@35.523,43.2359,14z?hl=en","Maplink2")</f>
        <v>Maplink2</v>
      </c>
      <c r="AY2279" s="88" t="str">
        <f>HYPERLINK("http://www.bing.com/maps/?lvl=14&amp;sty=h&amp;cp=35.523~43.2359&amp;sp=point.35.523_43.2359","Maplink3")</f>
        <v>Maplink3</v>
      </c>
      <c r="AZ2279" s="76"/>
    </row>
    <row r="2280" spans="1:52" x14ac:dyDescent="0.25">
      <c r="A2280" s="86">
        <v>24246</v>
      </c>
      <c r="B2280" s="87" t="s">
        <v>26</v>
      </c>
      <c r="C2280" s="87" t="s">
        <v>4353</v>
      </c>
      <c r="D2280" s="87" t="s">
        <v>4376</v>
      </c>
      <c r="E2280" s="87" t="s">
        <v>4377</v>
      </c>
      <c r="F2280" s="87">
        <v>35.5039812578</v>
      </c>
      <c r="G2280" s="87">
        <v>43.246247218999997</v>
      </c>
      <c r="H2280" s="86">
        <v>23</v>
      </c>
      <c r="I2280" s="86">
        <v>138</v>
      </c>
      <c r="J2280" s="87"/>
      <c r="K2280" s="87"/>
      <c r="L2280" s="87"/>
      <c r="M2280" s="87"/>
      <c r="N2280" s="87"/>
      <c r="O2280" s="87"/>
      <c r="P2280" s="87"/>
      <c r="Q2280" s="87"/>
      <c r="R2280" s="87">
        <v>2</v>
      </c>
      <c r="S2280" s="87"/>
      <c r="T2280" s="87"/>
      <c r="U2280" s="87"/>
      <c r="V2280" s="87"/>
      <c r="W2280" s="87"/>
      <c r="X2280" s="87">
        <v>21</v>
      </c>
      <c r="Y2280" s="87"/>
      <c r="Z2280" s="87"/>
      <c r="AA2280" s="87"/>
      <c r="AB2280" s="87"/>
      <c r="AC2280" s="87"/>
      <c r="AD2280" s="87"/>
      <c r="AE2280" s="87"/>
      <c r="AF2280" s="87"/>
      <c r="AG2280" s="87"/>
      <c r="AH2280" s="87">
        <v>10</v>
      </c>
      <c r="AI2280" s="87">
        <v>6</v>
      </c>
      <c r="AJ2280" s="87"/>
      <c r="AK2280" s="87">
        <v>7</v>
      </c>
      <c r="AL2280" s="87"/>
      <c r="AM2280" s="87"/>
      <c r="AN2280" s="87"/>
      <c r="AO2280" s="87"/>
      <c r="AP2280" s="87"/>
      <c r="AQ2280" s="87"/>
      <c r="AR2280" s="87"/>
      <c r="AS2280" s="87"/>
      <c r="AT2280" s="87">
        <v>23</v>
      </c>
      <c r="AU2280" s="87"/>
      <c r="AV2280" s="87"/>
      <c r="AW2280" s="88" t="str">
        <f>HYPERLINK("http://www.openstreetmap.org/?mlat=35.504&amp;mlon=43.2462&amp;zoom=12#map=12/35.504/43.2462","Maplink1")</f>
        <v>Maplink1</v>
      </c>
      <c r="AX2280" s="88" t="str">
        <f>HYPERLINK("https://www.google.iq/maps/search/+35.504,43.2462/@35.504,43.2462,14z?hl=en","Maplink2")</f>
        <v>Maplink2</v>
      </c>
      <c r="AY2280" s="88" t="str">
        <f>HYPERLINK("http://www.bing.com/maps/?lvl=14&amp;sty=h&amp;cp=35.504~43.2462&amp;sp=point.35.504_43.2462","Maplink3")</f>
        <v>Maplink3</v>
      </c>
      <c r="AZ2280" s="76"/>
    </row>
    <row r="2281" spans="1:52" x14ac:dyDescent="0.25">
      <c r="A2281" s="86">
        <v>29654</v>
      </c>
      <c r="B2281" s="87" t="s">
        <v>26</v>
      </c>
      <c r="C2281" s="87" t="s">
        <v>4353</v>
      </c>
      <c r="D2281" s="87" t="s">
        <v>4378</v>
      </c>
      <c r="E2281" s="87" t="s">
        <v>4379</v>
      </c>
      <c r="F2281" s="87">
        <v>35.538835306700001</v>
      </c>
      <c r="G2281" s="87">
        <v>43.224176969399998</v>
      </c>
      <c r="H2281" s="86">
        <v>6</v>
      </c>
      <c r="I2281" s="86">
        <v>36</v>
      </c>
      <c r="J2281" s="87"/>
      <c r="K2281" s="87"/>
      <c r="L2281" s="87"/>
      <c r="M2281" s="87"/>
      <c r="N2281" s="87"/>
      <c r="O2281" s="87"/>
      <c r="P2281" s="87"/>
      <c r="Q2281" s="87"/>
      <c r="R2281" s="87"/>
      <c r="S2281" s="87"/>
      <c r="T2281" s="87"/>
      <c r="U2281" s="87"/>
      <c r="V2281" s="87"/>
      <c r="W2281" s="87"/>
      <c r="X2281" s="87">
        <v>6</v>
      </c>
      <c r="Y2281" s="87"/>
      <c r="Z2281" s="87"/>
      <c r="AA2281" s="87"/>
      <c r="AB2281" s="87"/>
      <c r="AC2281" s="87"/>
      <c r="AD2281" s="87"/>
      <c r="AE2281" s="87"/>
      <c r="AF2281" s="87"/>
      <c r="AG2281" s="87"/>
      <c r="AH2281" s="87">
        <v>5</v>
      </c>
      <c r="AI2281" s="87">
        <v>1</v>
      </c>
      <c r="AJ2281" s="87"/>
      <c r="AK2281" s="87"/>
      <c r="AL2281" s="87"/>
      <c r="AM2281" s="87"/>
      <c r="AN2281" s="87"/>
      <c r="AO2281" s="87"/>
      <c r="AP2281" s="87"/>
      <c r="AQ2281" s="87"/>
      <c r="AR2281" s="87"/>
      <c r="AS2281" s="87"/>
      <c r="AT2281" s="87">
        <v>6</v>
      </c>
      <c r="AU2281" s="87"/>
      <c r="AV2281" s="87"/>
      <c r="AW2281" s="88" t="str">
        <f>HYPERLINK("http://www.openstreetmap.org/?mlat=35.5388&amp;mlon=43.2242&amp;zoom=12#map=12/35.5388/43.2242","Maplink1")</f>
        <v>Maplink1</v>
      </c>
      <c r="AX2281" s="88" t="str">
        <f>HYPERLINK("https://www.google.iq/maps/search/+35.5388,43.2242/@35.5388,43.2242,14z?hl=en","Maplink2")</f>
        <v>Maplink2</v>
      </c>
      <c r="AY2281" s="88" t="str">
        <f>HYPERLINK("http://www.bing.com/maps/?lvl=14&amp;sty=h&amp;cp=35.5388~43.2242&amp;sp=point.35.5388_43.2242","Maplink3")</f>
        <v>Maplink3</v>
      </c>
      <c r="AZ2281" s="76"/>
    </row>
    <row r="2282" spans="1:52" x14ac:dyDescent="0.25">
      <c r="A2282" s="86">
        <v>21955</v>
      </c>
      <c r="B2282" s="87" t="s">
        <v>26</v>
      </c>
      <c r="C2282" s="87" t="s">
        <v>4353</v>
      </c>
      <c r="D2282" s="87" t="s">
        <v>4380</v>
      </c>
      <c r="E2282" s="87" t="s">
        <v>4381</v>
      </c>
      <c r="F2282" s="87">
        <v>35.486099598899997</v>
      </c>
      <c r="G2282" s="87">
        <v>43.241364505299998</v>
      </c>
      <c r="H2282" s="86">
        <v>10</v>
      </c>
      <c r="I2282" s="86">
        <v>60</v>
      </c>
      <c r="J2282" s="87"/>
      <c r="K2282" s="87"/>
      <c r="L2282" s="87"/>
      <c r="M2282" s="87"/>
      <c r="N2282" s="87"/>
      <c r="O2282" s="87"/>
      <c r="P2282" s="87"/>
      <c r="Q2282" s="87"/>
      <c r="R2282" s="87">
        <v>2</v>
      </c>
      <c r="S2282" s="87"/>
      <c r="T2282" s="87"/>
      <c r="U2282" s="87"/>
      <c r="V2282" s="87"/>
      <c r="W2282" s="87"/>
      <c r="X2282" s="87">
        <v>8</v>
      </c>
      <c r="Y2282" s="87"/>
      <c r="Z2282" s="87"/>
      <c r="AA2282" s="87"/>
      <c r="AB2282" s="87"/>
      <c r="AC2282" s="87"/>
      <c r="AD2282" s="87"/>
      <c r="AE2282" s="87"/>
      <c r="AF2282" s="87"/>
      <c r="AG2282" s="87"/>
      <c r="AH2282" s="87">
        <v>8</v>
      </c>
      <c r="AI2282" s="87">
        <v>2</v>
      </c>
      <c r="AJ2282" s="87"/>
      <c r="AK2282" s="87"/>
      <c r="AL2282" s="87"/>
      <c r="AM2282" s="87"/>
      <c r="AN2282" s="87"/>
      <c r="AO2282" s="87"/>
      <c r="AP2282" s="87"/>
      <c r="AQ2282" s="87"/>
      <c r="AR2282" s="87"/>
      <c r="AS2282" s="87"/>
      <c r="AT2282" s="87">
        <v>10</v>
      </c>
      <c r="AU2282" s="87"/>
      <c r="AV2282" s="87"/>
      <c r="AW2282" s="88" t="str">
        <f>HYPERLINK("http://www.openstreetmap.org/?mlat=35.4861&amp;mlon=43.2414&amp;zoom=12#map=12/35.4861/43.2414","Maplink1")</f>
        <v>Maplink1</v>
      </c>
      <c r="AX2282" s="88" t="str">
        <f>HYPERLINK("https://www.google.iq/maps/search/+35.4861,43.2414/@35.4861,43.2414,14z?hl=en","Maplink2")</f>
        <v>Maplink2</v>
      </c>
      <c r="AY2282" s="88" t="str">
        <f>HYPERLINK("http://www.bing.com/maps/?lvl=14&amp;sty=h&amp;cp=35.4861~43.2414&amp;sp=point.35.4861_43.2414","Maplink3")</f>
        <v>Maplink3</v>
      </c>
      <c r="AZ2282" s="76"/>
    </row>
    <row r="2283" spans="1:52" x14ac:dyDescent="0.25">
      <c r="A2283" s="86">
        <v>29655</v>
      </c>
      <c r="B2283" s="87" t="s">
        <v>26</v>
      </c>
      <c r="C2283" s="87" t="s">
        <v>4353</v>
      </c>
      <c r="D2283" s="87" t="s">
        <v>4382</v>
      </c>
      <c r="E2283" s="87" t="s">
        <v>4383</v>
      </c>
      <c r="F2283" s="87">
        <v>35.526890256400002</v>
      </c>
      <c r="G2283" s="87">
        <v>43.228227021199999</v>
      </c>
      <c r="H2283" s="86">
        <v>5</v>
      </c>
      <c r="I2283" s="86">
        <v>30</v>
      </c>
      <c r="J2283" s="87"/>
      <c r="K2283" s="87"/>
      <c r="L2283" s="87"/>
      <c r="M2283" s="87"/>
      <c r="N2283" s="87"/>
      <c r="O2283" s="87"/>
      <c r="P2283" s="87"/>
      <c r="Q2283" s="87"/>
      <c r="R2283" s="87"/>
      <c r="S2283" s="87"/>
      <c r="T2283" s="87"/>
      <c r="U2283" s="87"/>
      <c r="V2283" s="87"/>
      <c r="W2283" s="87"/>
      <c r="X2283" s="87">
        <v>5</v>
      </c>
      <c r="Y2283" s="87"/>
      <c r="Z2283" s="87"/>
      <c r="AA2283" s="87"/>
      <c r="AB2283" s="87"/>
      <c r="AC2283" s="87"/>
      <c r="AD2283" s="87"/>
      <c r="AE2283" s="87"/>
      <c r="AF2283" s="87"/>
      <c r="AG2283" s="87"/>
      <c r="AH2283" s="87">
        <v>5</v>
      </c>
      <c r="AI2283" s="87"/>
      <c r="AJ2283" s="87"/>
      <c r="AK2283" s="87"/>
      <c r="AL2283" s="87"/>
      <c r="AM2283" s="87"/>
      <c r="AN2283" s="87"/>
      <c r="AO2283" s="87"/>
      <c r="AP2283" s="87"/>
      <c r="AQ2283" s="87"/>
      <c r="AR2283" s="87"/>
      <c r="AS2283" s="87"/>
      <c r="AT2283" s="87">
        <v>5</v>
      </c>
      <c r="AU2283" s="87"/>
      <c r="AV2283" s="87"/>
      <c r="AW2283" s="88" t="str">
        <f>HYPERLINK("http://www.openstreetmap.org/?mlat=35.5269&amp;mlon=43.2282&amp;zoom=12#map=12/35.5269/43.2282","Maplink1")</f>
        <v>Maplink1</v>
      </c>
      <c r="AX2283" s="88" t="str">
        <f>HYPERLINK("https://www.google.iq/maps/search/+35.5269,43.2282/@35.5269,43.2282,14z?hl=en","Maplink2")</f>
        <v>Maplink2</v>
      </c>
      <c r="AY2283" s="88" t="str">
        <f>HYPERLINK("http://www.bing.com/maps/?lvl=14&amp;sty=h&amp;cp=35.5269~43.2282&amp;sp=point.35.5269_43.2282","Maplink3")</f>
        <v>Maplink3</v>
      </c>
      <c r="AZ2283" s="76"/>
    </row>
    <row r="2284" spans="1:52" x14ac:dyDescent="0.25">
      <c r="A2284" s="86">
        <v>20403</v>
      </c>
      <c r="B2284" s="87" t="s">
        <v>26</v>
      </c>
      <c r="C2284" s="87" t="s">
        <v>4353</v>
      </c>
      <c r="D2284" s="87" t="s">
        <v>4384</v>
      </c>
      <c r="E2284" s="87" t="s">
        <v>4385</v>
      </c>
      <c r="F2284" s="87">
        <v>35.573976980499999</v>
      </c>
      <c r="G2284" s="87">
        <v>43.230924717000001</v>
      </c>
      <c r="H2284" s="86">
        <v>4</v>
      </c>
      <c r="I2284" s="86">
        <v>24</v>
      </c>
      <c r="J2284" s="87"/>
      <c r="K2284" s="87"/>
      <c r="L2284" s="87"/>
      <c r="M2284" s="87"/>
      <c r="N2284" s="87"/>
      <c r="O2284" s="87"/>
      <c r="P2284" s="87"/>
      <c r="Q2284" s="87"/>
      <c r="R2284" s="87"/>
      <c r="S2284" s="87"/>
      <c r="T2284" s="87"/>
      <c r="U2284" s="87"/>
      <c r="V2284" s="87"/>
      <c r="W2284" s="87"/>
      <c r="X2284" s="87">
        <v>4</v>
      </c>
      <c r="Y2284" s="87"/>
      <c r="Z2284" s="87"/>
      <c r="AA2284" s="87"/>
      <c r="AB2284" s="87"/>
      <c r="AC2284" s="87"/>
      <c r="AD2284" s="87"/>
      <c r="AE2284" s="87"/>
      <c r="AF2284" s="87"/>
      <c r="AG2284" s="87"/>
      <c r="AH2284" s="87">
        <v>4</v>
      </c>
      <c r="AI2284" s="87"/>
      <c r="AJ2284" s="87"/>
      <c r="AK2284" s="87"/>
      <c r="AL2284" s="87"/>
      <c r="AM2284" s="87"/>
      <c r="AN2284" s="87"/>
      <c r="AO2284" s="87"/>
      <c r="AP2284" s="87"/>
      <c r="AQ2284" s="87"/>
      <c r="AR2284" s="87"/>
      <c r="AS2284" s="87"/>
      <c r="AT2284" s="87">
        <v>4</v>
      </c>
      <c r="AU2284" s="87"/>
      <c r="AV2284" s="87"/>
      <c r="AW2284" s="88" t="str">
        <f>HYPERLINK("http://www.openstreetmap.org/?mlat=35.574&amp;mlon=43.2309&amp;zoom=12#map=12/35.574/43.2309","Maplink1")</f>
        <v>Maplink1</v>
      </c>
      <c r="AX2284" s="88" t="str">
        <f>HYPERLINK("https://www.google.iq/maps/search/+35.574,43.2309/@35.574,43.2309,14z?hl=en","Maplink2")</f>
        <v>Maplink2</v>
      </c>
      <c r="AY2284" s="88" t="str">
        <f>HYPERLINK("http://www.bing.com/maps/?lvl=14&amp;sty=h&amp;cp=35.574~43.2309&amp;sp=point.35.574_43.2309","Maplink3")</f>
        <v>Maplink3</v>
      </c>
      <c r="AZ2284" s="76"/>
    </row>
    <row r="2285" spans="1:52" x14ac:dyDescent="0.25">
      <c r="A2285" s="86">
        <v>20991</v>
      </c>
      <c r="B2285" s="87" t="s">
        <v>26</v>
      </c>
      <c r="C2285" s="87" t="s">
        <v>4353</v>
      </c>
      <c r="D2285" s="87" t="s">
        <v>4386</v>
      </c>
      <c r="E2285" s="87" t="s">
        <v>4387</v>
      </c>
      <c r="F2285" s="87">
        <v>35.470744245699997</v>
      </c>
      <c r="G2285" s="87">
        <v>43.246323945699999</v>
      </c>
      <c r="H2285" s="86">
        <v>5</v>
      </c>
      <c r="I2285" s="86">
        <v>30</v>
      </c>
      <c r="J2285" s="87"/>
      <c r="K2285" s="87"/>
      <c r="L2285" s="87"/>
      <c r="M2285" s="87"/>
      <c r="N2285" s="87"/>
      <c r="O2285" s="87"/>
      <c r="P2285" s="87"/>
      <c r="Q2285" s="87"/>
      <c r="R2285" s="87"/>
      <c r="S2285" s="87"/>
      <c r="T2285" s="87"/>
      <c r="U2285" s="87"/>
      <c r="V2285" s="87"/>
      <c r="W2285" s="87"/>
      <c r="X2285" s="87">
        <v>5</v>
      </c>
      <c r="Y2285" s="87"/>
      <c r="Z2285" s="87"/>
      <c r="AA2285" s="87"/>
      <c r="AB2285" s="87"/>
      <c r="AC2285" s="87"/>
      <c r="AD2285" s="87"/>
      <c r="AE2285" s="87"/>
      <c r="AF2285" s="87"/>
      <c r="AG2285" s="87"/>
      <c r="AH2285" s="87">
        <v>5</v>
      </c>
      <c r="AI2285" s="87"/>
      <c r="AJ2285" s="87"/>
      <c r="AK2285" s="87"/>
      <c r="AL2285" s="87"/>
      <c r="AM2285" s="87"/>
      <c r="AN2285" s="87"/>
      <c r="AO2285" s="87"/>
      <c r="AP2285" s="87"/>
      <c r="AQ2285" s="87"/>
      <c r="AR2285" s="87"/>
      <c r="AS2285" s="87"/>
      <c r="AT2285" s="87">
        <v>5</v>
      </c>
      <c r="AU2285" s="87"/>
      <c r="AV2285" s="87"/>
      <c r="AW2285" s="88" t="str">
        <f>HYPERLINK("http://www.openstreetmap.org/?mlat=35.4707&amp;mlon=43.2463&amp;zoom=12#map=12/35.4707/43.2463","Maplink1")</f>
        <v>Maplink1</v>
      </c>
      <c r="AX2285" s="88" t="str">
        <f>HYPERLINK("https://www.google.iq/maps/search/+35.4707,43.2463/@35.4707,43.2463,14z?hl=en","Maplink2")</f>
        <v>Maplink2</v>
      </c>
      <c r="AY2285" s="88" t="str">
        <f>HYPERLINK("http://www.bing.com/maps/?lvl=14&amp;sty=h&amp;cp=35.4707~43.2463&amp;sp=point.35.4707_43.2463","Maplink3")</f>
        <v>Maplink3</v>
      </c>
      <c r="AZ2285" s="76"/>
    </row>
    <row r="2286" spans="1:52" x14ac:dyDescent="0.25">
      <c r="A2286" s="86">
        <v>21006</v>
      </c>
      <c r="B2286" s="87" t="s">
        <v>26</v>
      </c>
      <c r="C2286" s="87" t="s">
        <v>4353</v>
      </c>
      <c r="D2286" s="87" t="s">
        <v>4388</v>
      </c>
      <c r="E2286" s="87" t="s">
        <v>4389</v>
      </c>
      <c r="F2286" s="87">
        <v>35.510917827500002</v>
      </c>
      <c r="G2286" s="87">
        <v>43.233718037400003</v>
      </c>
      <c r="H2286" s="86">
        <v>26</v>
      </c>
      <c r="I2286" s="86">
        <v>156</v>
      </c>
      <c r="J2286" s="87"/>
      <c r="K2286" s="87"/>
      <c r="L2286" s="87"/>
      <c r="M2286" s="87"/>
      <c r="N2286" s="87"/>
      <c r="O2286" s="87"/>
      <c r="P2286" s="87"/>
      <c r="Q2286" s="87"/>
      <c r="R2286" s="87"/>
      <c r="S2286" s="87"/>
      <c r="T2286" s="87"/>
      <c r="U2286" s="87"/>
      <c r="V2286" s="87">
        <v>2</v>
      </c>
      <c r="W2286" s="87"/>
      <c r="X2286" s="87">
        <v>24</v>
      </c>
      <c r="Y2286" s="87"/>
      <c r="Z2286" s="87"/>
      <c r="AA2286" s="87"/>
      <c r="AB2286" s="87"/>
      <c r="AC2286" s="87"/>
      <c r="AD2286" s="87"/>
      <c r="AE2286" s="87"/>
      <c r="AF2286" s="87"/>
      <c r="AG2286" s="87"/>
      <c r="AH2286" s="87">
        <v>20</v>
      </c>
      <c r="AI2286" s="87">
        <v>4</v>
      </c>
      <c r="AJ2286" s="87"/>
      <c r="AK2286" s="87">
        <v>2</v>
      </c>
      <c r="AL2286" s="87"/>
      <c r="AM2286" s="87"/>
      <c r="AN2286" s="87"/>
      <c r="AO2286" s="87"/>
      <c r="AP2286" s="87"/>
      <c r="AQ2286" s="87"/>
      <c r="AR2286" s="87"/>
      <c r="AS2286" s="87"/>
      <c r="AT2286" s="87">
        <v>26</v>
      </c>
      <c r="AU2286" s="87"/>
      <c r="AV2286" s="87"/>
      <c r="AW2286" s="88" t="str">
        <f>HYPERLINK("http://www.openstreetmap.org/?mlat=35.5109&amp;mlon=43.2337&amp;zoom=12#map=12/35.5109/43.2337","Maplink1")</f>
        <v>Maplink1</v>
      </c>
      <c r="AX2286" s="88" t="str">
        <f>HYPERLINK("https://www.google.iq/maps/search/+35.5109,43.2337/@35.5109,43.2337,14z?hl=en","Maplink2")</f>
        <v>Maplink2</v>
      </c>
      <c r="AY2286" s="88" t="str">
        <f>HYPERLINK("http://www.bing.com/maps/?lvl=14&amp;sty=h&amp;cp=35.5109~43.2337&amp;sp=point.35.5109_43.2337","Maplink3")</f>
        <v>Maplink3</v>
      </c>
      <c r="AZ2286" s="76"/>
    </row>
    <row r="2287" spans="1:52" x14ac:dyDescent="0.25">
      <c r="A2287" s="86">
        <v>23388</v>
      </c>
      <c r="B2287" s="87" t="s">
        <v>26</v>
      </c>
      <c r="C2287" s="87" t="s">
        <v>4390</v>
      </c>
      <c r="D2287" s="87" t="s">
        <v>4391</v>
      </c>
      <c r="E2287" s="87" t="s">
        <v>4392</v>
      </c>
      <c r="F2287" s="87">
        <v>34.759223810000002</v>
      </c>
      <c r="G2287" s="87">
        <v>43.6055522379</v>
      </c>
      <c r="H2287" s="86">
        <v>100</v>
      </c>
      <c r="I2287" s="86">
        <v>600</v>
      </c>
      <c r="J2287" s="87"/>
      <c r="K2287" s="87"/>
      <c r="L2287" s="87"/>
      <c r="M2287" s="87"/>
      <c r="N2287" s="87"/>
      <c r="O2287" s="87"/>
      <c r="P2287" s="87"/>
      <c r="Q2287" s="87"/>
      <c r="R2287" s="87">
        <v>14</v>
      </c>
      <c r="S2287" s="87"/>
      <c r="T2287" s="87"/>
      <c r="U2287" s="87"/>
      <c r="V2287" s="87"/>
      <c r="W2287" s="87"/>
      <c r="X2287" s="87">
        <v>86</v>
      </c>
      <c r="Y2287" s="87"/>
      <c r="Z2287" s="87"/>
      <c r="AA2287" s="87"/>
      <c r="AB2287" s="87"/>
      <c r="AC2287" s="87"/>
      <c r="AD2287" s="87"/>
      <c r="AE2287" s="87"/>
      <c r="AF2287" s="87"/>
      <c r="AG2287" s="87"/>
      <c r="AH2287" s="87">
        <v>100</v>
      </c>
      <c r="AI2287" s="87"/>
      <c r="AJ2287" s="87"/>
      <c r="AK2287" s="87"/>
      <c r="AL2287" s="87"/>
      <c r="AM2287" s="87"/>
      <c r="AN2287" s="87"/>
      <c r="AO2287" s="87">
        <v>29</v>
      </c>
      <c r="AP2287" s="87">
        <v>11</v>
      </c>
      <c r="AQ2287" s="87"/>
      <c r="AR2287" s="87">
        <v>51</v>
      </c>
      <c r="AS2287" s="87"/>
      <c r="AT2287" s="87">
        <v>9</v>
      </c>
      <c r="AU2287" s="87"/>
      <c r="AV2287" s="87"/>
      <c r="AW2287" s="88" t="str">
        <f>HYPERLINK("http://www.openstreetmap.org/?mlat=34.7592&amp;mlon=43.6056&amp;zoom=12#map=12/34.7592/43.6056","Maplink1")</f>
        <v>Maplink1</v>
      </c>
      <c r="AX2287" s="88" t="str">
        <f>HYPERLINK("https://www.google.iq/maps/search/+34.7592,43.6056/@34.7592,43.6056,14z?hl=en","Maplink2")</f>
        <v>Maplink2</v>
      </c>
      <c r="AY2287" s="88" t="str">
        <f>HYPERLINK("http://www.bing.com/maps/?lvl=14&amp;sty=h&amp;cp=34.7592~43.6056&amp;sp=point.34.7592_43.6056","Maplink3")</f>
        <v>Maplink3</v>
      </c>
      <c r="AZ2287" s="76"/>
    </row>
    <row r="2288" spans="1:52" x14ac:dyDescent="0.25">
      <c r="A2288" s="86">
        <v>25921</v>
      </c>
      <c r="B2288" s="87" t="s">
        <v>26</v>
      </c>
      <c r="C2288" s="87" t="s">
        <v>4390</v>
      </c>
      <c r="D2288" s="87" t="s">
        <v>4393</v>
      </c>
      <c r="E2288" s="87" t="s">
        <v>4394</v>
      </c>
      <c r="F2288" s="87">
        <v>34.827814504199999</v>
      </c>
      <c r="G2288" s="87">
        <v>43.506484584699997</v>
      </c>
      <c r="H2288" s="86">
        <v>95</v>
      </c>
      <c r="I2288" s="86">
        <v>570</v>
      </c>
      <c r="J2288" s="87"/>
      <c r="K2288" s="87"/>
      <c r="L2288" s="87"/>
      <c r="M2288" s="87"/>
      <c r="N2288" s="87"/>
      <c r="O2288" s="87"/>
      <c r="P2288" s="87"/>
      <c r="Q2288" s="87"/>
      <c r="R2288" s="87">
        <v>3</v>
      </c>
      <c r="S2288" s="87"/>
      <c r="T2288" s="87"/>
      <c r="U2288" s="87"/>
      <c r="V2288" s="87"/>
      <c r="W2288" s="87"/>
      <c r="X2288" s="87">
        <v>92</v>
      </c>
      <c r="Y2288" s="87"/>
      <c r="Z2288" s="87"/>
      <c r="AA2288" s="87"/>
      <c r="AB2288" s="87"/>
      <c r="AC2288" s="87"/>
      <c r="AD2288" s="87"/>
      <c r="AE2288" s="87"/>
      <c r="AF2288" s="87"/>
      <c r="AG2288" s="87"/>
      <c r="AH2288" s="87">
        <v>95</v>
      </c>
      <c r="AI2288" s="87"/>
      <c r="AJ2288" s="87"/>
      <c r="AK2288" s="87"/>
      <c r="AL2288" s="87"/>
      <c r="AM2288" s="87"/>
      <c r="AN2288" s="87"/>
      <c r="AO2288" s="87"/>
      <c r="AP2288" s="87"/>
      <c r="AQ2288" s="87">
        <v>92</v>
      </c>
      <c r="AR2288" s="87"/>
      <c r="AS2288" s="87">
        <v>3</v>
      </c>
      <c r="AT2288" s="87"/>
      <c r="AU2288" s="87"/>
      <c r="AV2288" s="87"/>
      <c r="AW2288" s="88" t="str">
        <f>HYPERLINK("http://www.openstreetmap.org/?mlat=34.8278&amp;mlon=43.5065&amp;zoom=12#map=12/34.8278/43.5065","Maplink1")</f>
        <v>Maplink1</v>
      </c>
      <c r="AX2288" s="88" t="str">
        <f>HYPERLINK("https://www.google.iq/maps/search/+34.8278,43.5065/@34.8278,43.5065,14z?hl=en","Maplink2")</f>
        <v>Maplink2</v>
      </c>
      <c r="AY2288" s="88" t="str">
        <f>HYPERLINK("http://www.bing.com/maps/?lvl=14&amp;sty=h&amp;cp=34.8278~43.5065&amp;sp=point.34.8278_43.5065","Maplink3")</f>
        <v>Maplink3</v>
      </c>
      <c r="AZ2288" s="76"/>
    </row>
    <row r="2289" spans="1:52" x14ac:dyDescent="0.25">
      <c r="A2289" s="86">
        <v>25706</v>
      </c>
      <c r="B2289" s="87" t="s">
        <v>26</v>
      </c>
      <c r="C2289" s="87" t="s">
        <v>4390</v>
      </c>
      <c r="D2289" s="87" t="s">
        <v>4395</v>
      </c>
      <c r="E2289" s="87" t="s">
        <v>4396</v>
      </c>
      <c r="F2289" s="87">
        <v>34.821457859600002</v>
      </c>
      <c r="G2289" s="87">
        <v>43.519237974200003</v>
      </c>
      <c r="H2289" s="86">
        <v>52</v>
      </c>
      <c r="I2289" s="86">
        <v>312</v>
      </c>
      <c r="J2289" s="87"/>
      <c r="K2289" s="87"/>
      <c r="L2289" s="87"/>
      <c r="M2289" s="87"/>
      <c r="N2289" s="87"/>
      <c r="O2289" s="87"/>
      <c r="P2289" s="87"/>
      <c r="Q2289" s="87"/>
      <c r="R2289" s="87"/>
      <c r="S2289" s="87"/>
      <c r="T2289" s="87"/>
      <c r="U2289" s="87"/>
      <c r="V2289" s="87"/>
      <c r="W2289" s="87"/>
      <c r="X2289" s="87">
        <v>52</v>
      </c>
      <c r="Y2289" s="87"/>
      <c r="Z2289" s="87"/>
      <c r="AA2289" s="87"/>
      <c r="AB2289" s="87"/>
      <c r="AC2289" s="87"/>
      <c r="AD2289" s="87"/>
      <c r="AE2289" s="87"/>
      <c r="AF2289" s="87"/>
      <c r="AG2289" s="87"/>
      <c r="AH2289" s="87">
        <v>52</v>
      </c>
      <c r="AI2289" s="87"/>
      <c r="AJ2289" s="87"/>
      <c r="AK2289" s="87"/>
      <c r="AL2289" s="87"/>
      <c r="AM2289" s="87"/>
      <c r="AN2289" s="87"/>
      <c r="AO2289" s="87"/>
      <c r="AP2289" s="87">
        <v>30</v>
      </c>
      <c r="AQ2289" s="87">
        <v>22</v>
      </c>
      <c r="AR2289" s="87"/>
      <c r="AS2289" s="87"/>
      <c r="AT2289" s="87"/>
      <c r="AU2289" s="87"/>
      <c r="AV2289" s="87"/>
      <c r="AW2289" s="88" t="str">
        <f>HYPERLINK("http://www.openstreetmap.org/?mlat=34.8215&amp;mlon=43.5192&amp;zoom=12#map=12/34.8215/43.5192","Maplink1")</f>
        <v>Maplink1</v>
      </c>
      <c r="AX2289" s="88" t="str">
        <f>HYPERLINK("https://www.google.iq/maps/search/+34.8215,43.5192/@34.8215,43.5192,14z?hl=en","Maplink2")</f>
        <v>Maplink2</v>
      </c>
      <c r="AY2289" s="88" t="str">
        <f>HYPERLINK("http://www.bing.com/maps/?lvl=14&amp;sty=h&amp;cp=34.8215~43.5192&amp;sp=point.34.8215_43.5192","Maplink3")</f>
        <v>Maplink3</v>
      </c>
      <c r="AZ2289" s="76"/>
    </row>
    <row r="2290" spans="1:52" x14ac:dyDescent="0.25">
      <c r="A2290" s="86">
        <v>23140</v>
      </c>
      <c r="B2290" s="87" t="s">
        <v>26</v>
      </c>
      <c r="C2290" s="87" t="s">
        <v>4397</v>
      </c>
      <c r="D2290" s="87" t="s">
        <v>4398</v>
      </c>
      <c r="E2290" s="87" t="s">
        <v>4399</v>
      </c>
      <c r="F2290" s="87">
        <v>34.072402083299998</v>
      </c>
      <c r="G2290" s="87">
        <v>44.156705716300003</v>
      </c>
      <c r="H2290" s="86">
        <v>145</v>
      </c>
      <c r="I2290" s="86">
        <v>870</v>
      </c>
      <c r="J2290" s="87"/>
      <c r="K2290" s="87"/>
      <c r="L2290" s="87"/>
      <c r="M2290" s="87"/>
      <c r="N2290" s="87"/>
      <c r="O2290" s="87"/>
      <c r="P2290" s="87"/>
      <c r="Q2290" s="87"/>
      <c r="R2290" s="87"/>
      <c r="S2290" s="87"/>
      <c r="T2290" s="87"/>
      <c r="U2290" s="87"/>
      <c r="V2290" s="87"/>
      <c r="W2290" s="87"/>
      <c r="X2290" s="87">
        <v>145</v>
      </c>
      <c r="Y2290" s="87"/>
      <c r="Z2290" s="87"/>
      <c r="AA2290" s="87"/>
      <c r="AB2290" s="87"/>
      <c r="AC2290" s="87"/>
      <c r="AD2290" s="87"/>
      <c r="AE2290" s="87"/>
      <c r="AF2290" s="87"/>
      <c r="AG2290" s="87"/>
      <c r="AH2290" s="87">
        <v>145</v>
      </c>
      <c r="AI2290" s="87"/>
      <c r="AJ2290" s="87"/>
      <c r="AK2290" s="87"/>
      <c r="AL2290" s="87"/>
      <c r="AM2290" s="87"/>
      <c r="AN2290" s="87"/>
      <c r="AO2290" s="87">
        <v>70</v>
      </c>
      <c r="AP2290" s="87">
        <v>75</v>
      </c>
      <c r="AQ2290" s="87"/>
      <c r="AR2290" s="87"/>
      <c r="AS2290" s="87"/>
      <c r="AT2290" s="87"/>
      <c r="AU2290" s="87"/>
      <c r="AV2290" s="87"/>
      <c r="AW2290" s="88" t="str">
        <f>HYPERLINK("http://www.openstreetmap.org/?mlat=34.0724&amp;mlon=44.1567&amp;zoom=12#map=12/34.0724/44.1567","Maplink1")</f>
        <v>Maplink1</v>
      </c>
      <c r="AX2290" s="88" t="str">
        <f>HYPERLINK("https://www.google.iq/maps/search/+34.0724,44.1567/@34.0724,44.1567,14z?hl=en","Maplink2")</f>
        <v>Maplink2</v>
      </c>
      <c r="AY2290" s="88" t="str">
        <f>HYPERLINK("http://www.bing.com/maps/?lvl=14&amp;sty=h&amp;cp=34.0724~44.1567&amp;sp=point.34.0724_44.1567","Maplink3")</f>
        <v>Maplink3</v>
      </c>
      <c r="AZ2290" s="76"/>
    </row>
    <row r="2291" spans="1:52" x14ac:dyDescent="0.25">
      <c r="A2291" s="86">
        <v>26020</v>
      </c>
      <c r="B2291" s="87" t="s">
        <v>26</v>
      </c>
      <c r="C2291" s="87" t="s">
        <v>4397</v>
      </c>
      <c r="D2291" s="87" t="s">
        <v>4400</v>
      </c>
      <c r="E2291" s="87" t="s">
        <v>4401</v>
      </c>
      <c r="F2291" s="87">
        <v>34.056844361400003</v>
      </c>
      <c r="G2291" s="87">
        <v>44.258074647699999</v>
      </c>
      <c r="H2291" s="86">
        <v>77</v>
      </c>
      <c r="I2291" s="86">
        <v>462</v>
      </c>
      <c r="J2291" s="87"/>
      <c r="K2291" s="87"/>
      <c r="L2291" s="87"/>
      <c r="M2291" s="87"/>
      <c r="N2291" s="87"/>
      <c r="O2291" s="87"/>
      <c r="P2291" s="87"/>
      <c r="Q2291" s="87"/>
      <c r="R2291" s="87"/>
      <c r="S2291" s="87"/>
      <c r="T2291" s="87"/>
      <c r="U2291" s="87"/>
      <c r="V2291" s="87"/>
      <c r="W2291" s="87"/>
      <c r="X2291" s="87">
        <v>77</v>
      </c>
      <c r="Y2291" s="87"/>
      <c r="Z2291" s="87"/>
      <c r="AA2291" s="87"/>
      <c r="AB2291" s="87"/>
      <c r="AC2291" s="87"/>
      <c r="AD2291" s="87"/>
      <c r="AE2291" s="87"/>
      <c r="AF2291" s="87"/>
      <c r="AG2291" s="87"/>
      <c r="AH2291" s="87">
        <v>77</v>
      </c>
      <c r="AI2291" s="87"/>
      <c r="AJ2291" s="87"/>
      <c r="AK2291" s="87"/>
      <c r="AL2291" s="87"/>
      <c r="AM2291" s="87"/>
      <c r="AN2291" s="87"/>
      <c r="AO2291" s="87"/>
      <c r="AP2291" s="87">
        <v>77</v>
      </c>
      <c r="AQ2291" s="87"/>
      <c r="AR2291" s="87"/>
      <c r="AS2291" s="87"/>
      <c r="AT2291" s="87"/>
      <c r="AU2291" s="87"/>
      <c r="AV2291" s="87"/>
      <c r="AW2291" s="88" t="str">
        <f>HYPERLINK("http://www.openstreetmap.org/?mlat=34.0568&amp;mlon=44.2581&amp;zoom=12#map=12/34.0568/44.2581","Maplink1")</f>
        <v>Maplink1</v>
      </c>
      <c r="AX2291" s="88" t="str">
        <f>HYPERLINK("https://www.google.iq/maps/search/+34.0568,44.2581/@34.0568,44.2581,14z?hl=en","Maplink2")</f>
        <v>Maplink2</v>
      </c>
      <c r="AY2291" s="88" t="str">
        <f>HYPERLINK("http://www.bing.com/maps/?lvl=14&amp;sty=h&amp;cp=34.0568~44.2581&amp;sp=point.34.0568_44.2581","Maplink3")</f>
        <v>Maplink3</v>
      </c>
      <c r="AZ2291" s="76"/>
    </row>
    <row r="2292" spans="1:52" x14ac:dyDescent="0.25">
      <c r="A2292" s="86">
        <v>25742</v>
      </c>
      <c r="B2292" s="87" t="s">
        <v>26</v>
      </c>
      <c r="C2292" s="87" t="s">
        <v>4397</v>
      </c>
      <c r="D2292" s="87" t="s">
        <v>4402</v>
      </c>
      <c r="E2292" s="87" t="s">
        <v>4403</v>
      </c>
      <c r="F2292" s="87">
        <v>34.032556085499998</v>
      </c>
      <c r="G2292" s="87">
        <v>44.231116239899997</v>
      </c>
      <c r="H2292" s="86">
        <v>150</v>
      </c>
      <c r="I2292" s="86">
        <v>900</v>
      </c>
      <c r="J2292" s="87"/>
      <c r="K2292" s="87"/>
      <c r="L2292" s="87"/>
      <c r="M2292" s="87"/>
      <c r="N2292" s="87"/>
      <c r="O2292" s="87"/>
      <c r="P2292" s="87"/>
      <c r="Q2292" s="87"/>
      <c r="R2292" s="87">
        <v>6</v>
      </c>
      <c r="S2292" s="87"/>
      <c r="T2292" s="87"/>
      <c r="U2292" s="87"/>
      <c r="V2292" s="87"/>
      <c r="W2292" s="87"/>
      <c r="X2292" s="87">
        <v>144</v>
      </c>
      <c r="Y2292" s="87"/>
      <c r="Z2292" s="87"/>
      <c r="AA2292" s="87"/>
      <c r="AB2292" s="87"/>
      <c r="AC2292" s="87"/>
      <c r="AD2292" s="87"/>
      <c r="AE2292" s="87"/>
      <c r="AF2292" s="87"/>
      <c r="AG2292" s="87"/>
      <c r="AH2292" s="87">
        <v>140</v>
      </c>
      <c r="AI2292" s="87"/>
      <c r="AJ2292" s="87"/>
      <c r="AK2292" s="87"/>
      <c r="AL2292" s="87">
        <v>10</v>
      </c>
      <c r="AM2292" s="87"/>
      <c r="AN2292" s="87"/>
      <c r="AO2292" s="87">
        <v>4</v>
      </c>
      <c r="AP2292" s="87">
        <v>30</v>
      </c>
      <c r="AQ2292" s="87">
        <v>110</v>
      </c>
      <c r="AR2292" s="87"/>
      <c r="AS2292" s="87">
        <v>6</v>
      </c>
      <c r="AT2292" s="87"/>
      <c r="AU2292" s="87"/>
      <c r="AV2292" s="87"/>
      <c r="AW2292" s="88" t="str">
        <f>HYPERLINK("http://www.openstreetmap.org/?mlat=34.0326&amp;mlon=44.2311&amp;zoom=12#map=12/34.0326/44.2311","Maplink1")</f>
        <v>Maplink1</v>
      </c>
      <c r="AX2292" s="88" t="str">
        <f>HYPERLINK("https://www.google.iq/maps/search/+34.0326,44.2311/@34.0326,44.2311,14z?hl=en","Maplink2")</f>
        <v>Maplink2</v>
      </c>
      <c r="AY2292" s="88" t="str">
        <f>HYPERLINK("http://www.bing.com/maps/?lvl=14&amp;sty=h&amp;cp=34.0326~44.2311&amp;sp=point.34.0326_44.2311","Maplink3")</f>
        <v>Maplink3</v>
      </c>
      <c r="AZ2292" s="76"/>
    </row>
    <row r="2293" spans="1:52" x14ac:dyDescent="0.25">
      <c r="A2293" s="86">
        <v>20770</v>
      </c>
      <c r="B2293" s="87" t="s">
        <v>26</v>
      </c>
      <c r="C2293" s="87" t="s">
        <v>4397</v>
      </c>
      <c r="D2293" s="87" t="s">
        <v>4404</v>
      </c>
      <c r="E2293" s="87" t="s">
        <v>4405</v>
      </c>
      <c r="F2293" s="87">
        <v>34.0480818869</v>
      </c>
      <c r="G2293" s="87">
        <v>44.218840530999998</v>
      </c>
      <c r="H2293" s="86">
        <v>127</v>
      </c>
      <c r="I2293" s="86">
        <v>762</v>
      </c>
      <c r="J2293" s="87"/>
      <c r="K2293" s="87"/>
      <c r="L2293" s="87"/>
      <c r="M2293" s="87"/>
      <c r="N2293" s="87"/>
      <c r="O2293" s="87"/>
      <c r="P2293" s="87"/>
      <c r="Q2293" s="87"/>
      <c r="R2293" s="87"/>
      <c r="S2293" s="87"/>
      <c r="T2293" s="87"/>
      <c r="U2293" s="87"/>
      <c r="V2293" s="87"/>
      <c r="W2293" s="87"/>
      <c r="X2293" s="87">
        <v>127</v>
      </c>
      <c r="Y2293" s="87"/>
      <c r="Z2293" s="87"/>
      <c r="AA2293" s="87"/>
      <c r="AB2293" s="87"/>
      <c r="AC2293" s="87"/>
      <c r="AD2293" s="87"/>
      <c r="AE2293" s="87"/>
      <c r="AF2293" s="87"/>
      <c r="AG2293" s="87"/>
      <c r="AH2293" s="87">
        <v>127</v>
      </c>
      <c r="AI2293" s="87"/>
      <c r="AJ2293" s="87"/>
      <c r="AK2293" s="87"/>
      <c r="AL2293" s="87"/>
      <c r="AM2293" s="87"/>
      <c r="AN2293" s="87"/>
      <c r="AO2293" s="87"/>
      <c r="AP2293" s="87"/>
      <c r="AQ2293" s="87"/>
      <c r="AR2293" s="87">
        <v>127</v>
      </c>
      <c r="AS2293" s="87"/>
      <c r="AT2293" s="87"/>
      <c r="AU2293" s="87"/>
      <c r="AV2293" s="87"/>
      <c r="AW2293" s="88" t="str">
        <f>HYPERLINK("http://www.openstreetmap.org/?mlat=34.0481&amp;mlon=44.2188&amp;zoom=12#map=12/34.0481/44.2188","Maplink1")</f>
        <v>Maplink1</v>
      </c>
      <c r="AX2293" s="88" t="str">
        <f>HYPERLINK("https://www.google.iq/maps/search/+34.0481,44.2188/@34.0481,44.2188,14z?hl=en","Maplink2")</f>
        <v>Maplink2</v>
      </c>
      <c r="AY2293" s="88" t="str">
        <f>HYPERLINK("http://www.bing.com/maps/?lvl=14&amp;sty=h&amp;cp=34.0481~44.2188&amp;sp=point.34.0481_44.2188","Maplink3")</f>
        <v>Maplink3</v>
      </c>
      <c r="AZ2293" s="76"/>
    </row>
    <row r="2294" spans="1:52" x14ac:dyDescent="0.25">
      <c r="A2294" s="86">
        <v>20774</v>
      </c>
      <c r="B2294" s="87" t="s">
        <v>26</v>
      </c>
      <c r="C2294" s="87" t="s">
        <v>4397</v>
      </c>
      <c r="D2294" s="87" t="s">
        <v>4406</v>
      </c>
      <c r="E2294" s="87" t="s">
        <v>4407</v>
      </c>
      <c r="F2294" s="87">
        <v>34.047533999999999</v>
      </c>
      <c r="G2294" s="87">
        <v>43.988444164100002</v>
      </c>
      <c r="H2294" s="86">
        <v>42</v>
      </c>
      <c r="I2294" s="86">
        <v>252</v>
      </c>
      <c r="J2294" s="87"/>
      <c r="K2294" s="87"/>
      <c r="L2294" s="87"/>
      <c r="M2294" s="87"/>
      <c r="N2294" s="87"/>
      <c r="O2294" s="87"/>
      <c r="P2294" s="87"/>
      <c r="Q2294" s="87"/>
      <c r="R2294" s="87"/>
      <c r="S2294" s="87"/>
      <c r="T2294" s="87"/>
      <c r="U2294" s="87"/>
      <c r="V2294" s="87"/>
      <c r="W2294" s="87"/>
      <c r="X2294" s="87">
        <v>42</v>
      </c>
      <c r="Y2294" s="87"/>
      <c r="Z2294" s="87"/>
      <c r="AA2294" s="87"/>
      <c r="AB2294" s="87"/>
      <c r="AC2294" s="87"/>
      <c r="AD2294" s="87"/>
      <c r="AE2294" s="87"/>
      <c r="AF2294" s="87"/>
      <c r="AG2294" s="87"/>
      <c r="AH2294" s="87">
        <v>42</v>
      </c>
      <c r="AI2294" s="87"/>
      <c r="AJ2294" s="87"/>
      <c r="AK2294" s="87"/>
      <c r="AL2294" s="87"/>
      <c r="AM2294" s="87"/>
      <c r="AN2294" s="87"/>
      <c r="AO2294" s="87"/>
      <c r="AP2294" s="87">
        <v>42</v>
      </c>
      <c r="AQ2294" s="87"/>
      <c r="AR2294" s="87"/>
      <c r="AS2294" s="87"/>
      <c r="AT2294" s="87"/>
      <c r="AU2294" s="87"/>
      <c r="AV2294" s="87"/>
      <c r="AW2294" s="88" t="str">
        <f>HYPERLINK("http://www.openstreetmap.org/?mlat=34.0475&amp;mlon=43.9884&amp;zoom=12#map=12/34.0475/43.9884","Maplink1")</f>
        <v>Maplink1</v>
      </c>
      <c r="AX2294" s="88" t="str">
        <f>HYPERLINK("https://www.google.iq/maps/search/+34.0475,43.9884/@34.0475,43.9884,14z?hl=en","Maplink2")</f>
        <v>Maplink2</v>
      </c>
      <c r="AY2294" s="88" t="str">
        <f>HYPERLINK("http://www.bing.com/maps/?lvl=14&amp;sty=h&amp;cp=34.0475~43.9884&amp;sp=point.34.0475_43.9884","Maplink3")</f>
        <v>Maplink3</v>
      </c>
      <c r="AZ2294" s="76"/>
    </row>
    <row r="2295" spans="1:52" x14ac:dyDescent="0.25">
      <c r="A2295" s="86">
        <v>20921</v>
      </c>
      <c r="B2295" s="87" t="s">
        <v>26</v>
      </c>
      <c r="C2295" s="87" t="s">
        <v>4397</v>
      </c>
      <c r="D2295" s="87" t="s">
        <v>4408</v>
      </c>
      <c r="E2295" s="87" t="s">
        <v>4409</v>
      </c>
      <c r="F2295" s="87">
        <v>34.032527654299997</v>
      </c>
      <c r="G2295" s="87">
        <v>44.206517797399997</v>
      </c>
      <c r="H2295" s="86">
        <v>140</v>
      </c>
      <c r="I2295" s="86">
        <v>840</v>
      </c>
      <c r="J2295" s="87"/>
      <c r="K2295" s="87"/>
      <c r="L2295" s="87"/>
      <c r="M2295" s="87"/>
      <c r="N2295" s="87"/>
      <c r="O2295" s="87"/>
      <c r="P2295" s="87"/>
      <c r="Q2295" s="87"/>
      <c r="R2295" s="87"/>
      <c r="S2295" s="87"/>
      <c r="T2295" s="87"/>
      <c r="U2295" s="87"/>
      <c r="V2295" s="87"/>
      <c r="W2295" s="87"/>
      <c r="X2295" s="87">
        <v>140</v>
      </c>
      <c r="Y2295" s="87"/>
      <c r="Z2295" s="87"/>
      <c r="AA2295" s="87"/>
      <c r="AB2295" s="87"/>
      <c r="AC2295" s="87"/>
      <c r="AD2295" s="87"/>
      <c r="AE2295" s="87"/>
      <c r="AF2295" s="87"/>
      <c r="AG2295" s="87"/>
      <c r="AH2295" s="87">
        <v>140</v>
      </c>
      <c r="AI2295" s="87"/>
      <c r="AJ2295" s="87"/>
      <c r="AK2295" s="87"/>
      <c r="AL2295" s="87"/>
      <c r="AM2295" s="87"/>
      <c r="AN2295" s="87"/>
      <c r="AO2295" s="87"/>
      <c r="AP2295" s="87"/>
      <c r="AQ2295" s="87"/>
      <c r="AR2295" s="87">
        <v>140</v>
      </c>
      <c r="AS2295" s="87"/>
      <c r="AT2295" s="87"/>
      <c r="AU2295" s="87"/>
      <c r="AV2295" s="87"/>
      <c r="AW2295" s="88" t="str">
        <f>HYPERLINK("http://www.openstreetmap.org/?mlat=34.0325&amp;mlon=44.2065&amp;zoom=12#map=12/34.0325/44.2065","Maplink1")</f>
        <v>Maplink1</v>
      </c>
      <c r="AX2295" s="88" t="str">
        <f>HYPERLINK("https://www.google.iq/maps/search/+34.0325,44.2065/@34.0325,44.2065,14z?hl=en","Maplink2")</f>
        <v>Maplink2</v>
      </c>
      <c r="AY2295" s="88" t="str">
        <f>HYPERLINK("http://www.bing.com/maps/?lvl=14&amp;sty=h&amp;cp=34.0325~44.2065&amp;sp=point.34.0325_44.2065","Maplink3")</f>
        <v>Maplink3</v>
      </c>
      <c r="AZ2295" s="76"/>
    </row>
    <row r="2296" spans="1:52" x14ac:dyDescent="0.25">
      <c r="A2296" s="86">
        <v>20771</v>
      </c>
      <c r="B2296" s="87" t="s">
        <v>26</v>
      </c>
      <c r="C2296" s="87" t="s">
        <v>4397</v>
      </c>
      <c r="D2296" s="87" t="s">
        <v>4410</v>
      </c>
      <c r="E2296" s="87" t="s">
        <v>4411</v>
      </c>
      <c r="F2296" s="87">
        <v>34.086128107500002</v>
      </c>
      <c r="G2296" s="87">
        <v>44.190977428499998</v>
      </c>
      <c r="H2296" s="86">
        <v>100</v>
      </c>
      <c r="I2296" s="86">
        <v>600</v>
      </c>
      <c r="J2296" s="87"/>
      <c r="K2296" s="87"/>
      <c r="L2296" s="87"/>
      <c r="M2296" s="87"/>
      <c r="N2296" s="87"/>
      <c r="O2296" s="87"/>
      <c r="P2296" s="87"/>
      <c r="Q2296" s="87"/>
      <c r="R2296" s="87"/>
      <c r="S2296" s="87"/>
      <c r="T2296" s="87"/>
      <c r="U2296" s="87"/>
      <c r="V2296" s="87"/>
      <c r="W2296" s="87"/>
      <c r="X2296" s="87">
        <v>100</v>
      </c>
      <c r="Y2296" s="87"/>
      <c r="Z2296" s="87"/>
      <c r="AA2296" s="87"/>
      <c r="AB2296" s="87"/>
      <c r="AC2296" s="87"/>
      <c r="AD2296" s="87"/>
      <c r="AE2296" s="87"/>
      <c r="AF2296" s="87"/>
      <c r="AG2296" s="87"/>
      <c r="AH2296" s="87">
        <v>100</v>
      </c>
      <c r="AI2296" s="87"/>
      <c r="AJ2296" s="87"/>
      <c r="AK2296" s="87"/>
      <c r="AL2296" s="87"/>
      <c r="AM2296" s="87"/>
      <c r="AN2296" s="87"/>
      <c r="AO2296" s="87"/>
      <c r="AP2296" s="87">
        <v>100</v>
      </c>
      <c r="AQ2296" s="87"/>
      <c r="AR2296" s="87"/>
      <c r="AS2296" s="87"/>
      <c r="AT2296" s="87"/>
      <c r="AU2296" s="87"/>
      <c r="AV2296" s="87"/>
      <c r="AW2296" s="88" t="str">
        <f>HYPERLINK("http://www.openstreetmap.org/?mlat=34.0861&amp;mlon=44.191&amp;zoom=12#map=12/34.0861/44.191","Maplink1")</f>
        <v>Maplink1</v>
      </c>
      <c r="AX2296" s="88" t="str">
        <f>HYPERLINK("https://www.google.iq/maps/search/+34.0861,44.191/@34.0861,44.191,14z?hl=en","Maplink2")</f>
        <v>Maplink2</v>
      </c>
      <c r="AY2296" s="88" t="str">
        <f>HYPERLINK("http://www.bing.com/maps/?lvl=14&amp;sty=h&amp;cp=34.0861~44.191&amp;sp=point.34.0861_44.191","Maplink3")</f>
        <v>Maplink3</v>
      </c>
      <c r="AZ2296" s="76"/>
    </row>
    <row r="2297" spans="1:52" x14ac:dyDescent="0.25">
      <c r="A2297" s="86">
        <v>20767</v>
      </c>
      <c r="B2297" s="87" t="s">
        <v>26</v>
      </c>
      <c r="C2297" s="87" t="s">
        <v>4397</v>
      </c>
      <c r="D2297" s="87" t="s">
        <v>4412</v>
      </c>
      <c r="E2297" s="87" t="s">
        <v>4413</v>
      </c>
      <c r="F2297" s="87">
        <v>34.060025253699997</v>
      </c>
      <c r="G2297" s="87">
        <v>44.218007415899997</v>
      </c>
      <c r="H2297" s="86">
        <v>100</v>
      </c>
      <c r="I2297" s="86">
        <v>600</v>
      </c>
      <c r="J2297" s="87"/>
      <c r="K2297" s="87"/>
      <c r="L2297" s="87"/>
      <c r="M2297" s="87"/>
      <c r="N2297" s="87"/>
      <c r="O2297" s="87"/>
      <c r="P2297" s="87"/>
      <c r="Q2297" s="87"/>
      <c r="R2297" s="87">
        <v>25</v>
      </c>
      <c r="S2297" s="87"/>
      <c r="T2297" s="87"/>
      <c r="U2297" s="87"/>
      <c r="V2297" s="87"/>
      <c r="W2297" s="87"/>
      <c r="X2297" s="87">
        <v>75</v>
      </c>
      <c r="Y2297" s="87"/>
      <c r="Z2297" s="87"/>
      <c r="AA2297" s="87"/>
      <c r="AB2297" s="87"/>
      <c r="AC2297" s="87"/>
      <c r="AD2297" s="87"/>
      <c r="AE2297" s="87"/>
      <c r="AF2297" s="87"/>
      <c r="AG2297" s="87"/>
      <c r="AH2297" s="87">
        <v>100</v>
      </c>
      <c r="AI2297" s="87"/>
      <c r="AJ2297" s="87"/>
      <c r="AK2297" s="87"/>
      <c r="AL2297" s="87"/>
      <c r="AM2297" s="87"/>
      <c r="AN2297" s="87"/>
      <c r="AO2297" s="87"/>
      <c r="AP2297" s="87">
        <v>75</v>
      </c>
      <c r="AQ2297" s="87"/>
      <c r="AR2297" s="87"/>
      <c r="AS2297" s="87"/>
      <c r="AT2297" s="87">
        <v>25</v>
      </c>
      <c r="AU2297" s="87"/>
      <c r="AV2297" s="87"/>
      <c r="AW2297" s="88" t="str">
        <f>HYPERLINK("http://www.openstreetmap.org/?mlat=34.06&amp;mlon=44.218&amp;zoom=12#map=12/34.06/44.218","Maplink1")</f>
        <v>Maplink1</v>
      </c>
      <c r="AX2297" s="88" t="str">
        <f>HYPERLINK("https://www.google.iq/maps/search/+34.06,44.218/@34.06,44.218,14z?hl=en","Maplink2")</f>
        <v>Maplink2</v>
      </c>
      <c r="AY2297" s="88" t="str">
        <f>HYPERLINK("http://www.bing.com/maps/?lvl=14&amp;sty=h&amp;cp=34.06~44.218&amp;sp=point.34.06_44.218","Maplink3")</f>
        <v>Maplink3</v>
      </c>
      <c r="AZ2297" s="76"/>
    </row>
    <row r="2298" spans="1:52" x14ac:dyDescent="0.25">
      <c r="A2298" s="86">
        <v>33347</v>
      </c>
      <c r="B2298" s="87" t="s">
        <v>26</v>
      </c>
      <c r="C2298" s="87" t="s">
        <v>4397</v>
      </c>
      <c r="D2298" s="87" t="s">
        <v>4414</v>
      </c>
      <c r="E2298" s="87" t="s">
        <v>4415</v>
      </c>
      <c r="F2298" s="87">
        <v>33.953560700899999</v>
      </c>
      <c r="G2298" s="87">
        <v>44.1553111204</v>
      </c>
      <c r="H2298" s="86">
        <v>65</v>
      </c>
      <c r="I2298" s="86">
        <v>390</v>
      </c>
      <c r="J2298" s="87"/>
      <c r="K2298" s="87"/>
      <c r="L2298" s="87"/>
      <c r="M2298" s="87"/>
      <c r="N2298" s="87"/>
      <c r="O2298" s="87"/>
      <c r="P2298" s="87"/>
      <c r="Q2298" s="87"/>
      <c r="R2298" s="87"/>
      <c r="S2298" s="87"/>
      <c r="T2298" s="87"/>
      <c r="U2298" s="87"/>
      <c r="V2298" s="87"/>
      <c r="W2298" s="87"/>
      <c r="X2298" s="87">
        <v>65</v>
      </c>
      <c r="Y2298" s="87"/>
      <c r="Z2298" s="87"/>
      <c r="AA2298" s="87"/>
      <c r="AB2298" s="87"/>
      <c r="AC2298" s="87"/>
      <c r="AD2298" s="87"/>
      <c r="AE2298" s="87">
        <v>65</v>
      </c>
      <c r="AF2298" s="87"/>
      <c r="AG2298" s="87"/>
      <c r="AH2298" s="87"/>
      <c r="AI2298" s="87"/>
      <c r="AJ2298" s="87"/>
      <c r="AK2298" s="87"/>
      <c r="AL2298" s="87"/>
      <c r="AM2298" s="87"/>
      <c r="AN2298" s="87"/>
      <c r="AO2298" s="87"/>
      <c r="AP2298" s="87">
        <v>65</v>
      </c>
      <c r="AQ2298" s="87"/>
      <c r="AR2298" s="87"/>
      <c r="AS2298" s="87"/>
      <c r="AT2298" s="87"/>
      <c r="AU2298" s="87"/>
      <c r="AV2298" s="87"/>
      <c r="AW2298" s="88" t="str">
        <f>HYPERLINK("http://www.openstreetmap.org/?mlat=33.9536&amp;mlon=44.1553&amp;zoom=12#map=12/33.9536/44.1553","Maplink1")</f>
        <v>Maplink1</v>
      </c>
      <c r="AX2298" s="88" t="str">
        <f>HYPERLINK("https://www.google.iq/maps/search/+33.9536,44.1553/@33.9536,44.1553,14z?hl=en","Maplink2")</f>
        <v>Maplink2</v>
      </c>
      <c r="AY2298" s="88" t="str">
        <f>HYPERLINK("http://www.bing.com/maps/?lvl=14&amp;sty=h&amp;cp=33.9536~44.1553&amp;sp=point.33.9536_44.1553","Maplink3")</f>
        <v>Maplink3</v>
      </c>
      <c r="AZ2298" s="76"/>
    </row>
    <row r="2299" spans="1:52" x14ac:dyDescent="0.25">
      <c r="A2299" s="86">
        <v>20773</v>
      </c>
      <c r="B2299" s="87" t="s">
        <v>26</v>
      </c>
      <c r="C2299" s="87" t="s">
        <v>4397</v>
      </c>
      <c r="D2299" s="87" t="s">
        <v>4416</v>
      </c>
      <c r="E2299" s="87" t="s">
        <v>4417</v>
      </c>
      <c r="F2299" s="87">
        <v>34.034433492799998</v>
      </c>
      <c r="G2299" s="87">
        <v>44.282596919</v>
      </c>
      <c r="H2299" s="86">
        <v>112</v>
      </c>
      <c r="I2299" s="86">
        <v>672</v>
      </c>
      <c r="J2299" s="87"/>
      <c r="K2299" s="87"/>
      <c r="L2299" s="87"/>
      <c r="M2299" s="87"/>
      <c r="N2299" s="87"/>
      <c r="O2299" s="87"/>
      <c r="P2299" s="87"/>
      <c r="Q2299" s="87"/>
      <c r="R2299" s="87"/>
      <c r="S2299" s="87"/>
      <c r="T2299" s="87"/>
      <c r="U2299" s="87"/>
      <c r="V2299" s="87"/>
      <c r="W2299" s="87"/>
      <c r="X2299" s="87">
        <v>112</v>
      </c>
      <c r="Y2299" s="87"/>
      <c r="Z2299" s="87"/>
      <c r="AA2299" s="87"/>
      <c r="AB2299" s="87"/>
      <c r="AC2299" s="87"/>
      <c r="AD2299" s="87"/>
      <c r="AE2299" s="87"/>
      <c r="AF2299" s="87"/>
      <c r="AG2299" s="87"/>
      <c r="AH2299" s="87">
        <v>112</v>
      </c>
      <c r="AI2299" s="87"/>
      <c r="AJ2299" s="87"/>
      <c r="AK2299" s="87"/>
      <c r="AL2299" s="87"/>
      <c r="AM2299" s="87"/>
      <c r="AN2299" s="87"/>
      <c r="AO2299" s="87"/>
      <c r="AP2299" s="87"/>
      <c r="AQ2299" s="87">
        <v>112</v>
      </c>
      <c r="AR2299" s="87"/>
      <c r="AS2299" s="87"/>
      <c r="AT2299" s="87"/>
      <c r="AU2299" s="87"/>
      <c r="AV2299" s="87"/>
      <c r="AW2299" s="88" t="str">
        <f>HYPERLINK("http://www.openstreetmap.org/?mlat=34.0344&amp;mlon=44.2826&amp;zoom=12#map=12/34.0344/44.2826","Maplink1")</f>
        <v>Maplink1</v>
      </c>
      <c r="AX2299" s="88" t="str">
        <f>HYPERLINK("https://www.google.iq/maps/search/+34.0344,44.2826/@34.0344,44.2826,14z?hl=en","Maplink2")</f>
        <v>Maplink2</v>
      </c>
      <c r="AY2299" s="88" t="str">
        <f>HYPERLINK("http://www.bing.com/maps/?lvl=14&amp;sty=h&amp;cp=34.0344~44.2826&amp;sp=point.34.0344_44.2826","Maplink3")</f>
        <v>Maplink3</v>
      </c>
      <c r="AZ2299" s="76"/>
    </row>
    <row r="2300" spans="1:52" x14ac:dyDescent="0.25">
      <c r="A2300" s="86">
        <v>29601</v>
      </c>
      <c r="B2300" s="87" t="s">
        <v>26</v>
      </c>
      <c r="C2300" s="87" t="s">
        <v>4397</v>
      </c>
      <c r="D2300" s="87" t="s">
        <v>4418</v>
      </c>
      <c r="E2300" s="87" t="s">
        <v>4419</v>
      </c>
      <c r="F2300" s="87">
        <v>34.048606043500001</v>
      </c>
      <c r="G2300" s="87">
        <v>43.982658669800003</v>
      </c>
      <c r="H2300" s="86">
        <v>30</v>
      </c>
      <c r="I2300" s="86">
        <v>180</v>
      </c>
      <c r="J2300" s="87"/>
      <c r="K2300" s="87"/>
      <c r="L2300" s="87"/>
      <c r="M2300" s="87"/>
      <c r="N2300" s="87"/>
      <c r="O2300" s="87"/>
      <c r="P2300" s="87"/>
      <c r="Q2300" s="87"/>
      <c r="R2300" s="87"/>
      <c r="S2300" s="87"/>
      <c r="T2300" s="87"/>
      <c r="U2300" s="87"/>
      <c r="V2300" s="87"/>
      <c r="W2300" s="87"/>
      <c r="X2300" s="87">
        <v>30</v>
      </c>
      <c r="Y2300" s="87"/>
      <c r="Z2300" s="87"/>
      <c r="AA2300" s="87"/>
      <c r="AB2300" s="87">
        <v>30</v>
      </c>
      <c r="AC2300" s="87"/>
      <c r="AD2300" s="87"/>
      <c r="AE2300" s="87"/>
      <c r="AF2300" s="87"/>
      <c r="AG2300" s="87"/>
      <c r="AH2300" s="87"/>
      <c r="AI2300" s="87"/>
      <c r="AJ2300" s="87"/>
      <c r="AK2300" s="87"/>
      <c r="AL2300" s="87"/>
      <c r="AM2300" s="87"/>
      <c r="AN2300" s="87"/>
      <c r="AO2300" s="87"/>
      <c r="AP2300" s="87"/>
      <c r="AQ2300" s="87">
        <v>30</v>
      </c>
      <c r="AR2300" s="87"/>
      <c r="AS2300" s="87"/>
      <c r="AT2300" s="87"/>
      <c r="AU2300" s="87"/>
      <c r="AV2300" s="87"/>
      <c r="AW2300" s="88" t="str">
        <f>HYPERLINK("http://www.openstreetmap.org/?mlat=34.0486&amp;mlon=43.9827&amp;zoom=12#map=12/34.0486/43.9827","Maplink1")</f>
        <v>Maplink1</v>
      </c>
      <c r="AX2300" s="88" t="str">
        <f>HYPERLINK("https://www.google.iq/maps/search/+34.0486,43.9827/@34.0486,43.9827,14z?hl=en","Maplink2")</f>
        <v>Maplink2</v>
      </c>
      <c r="AY2300" s="88" t="str">
        <f>HYPERLINK("http://www.bing.com/maps/?lvl=14&amp;sty=h&amp;cp=34.0486~43.9827&amp;sp=point.34.0486_43.9827","Maplink3")</f>
        <v>Maplink3</v>
      </c>
      <c r="AZ2300" s="76"/>
    </row>
    <row r="2301" spans="1:52" x14ac:dyDescent="0.25">
      <c r="A2301" s="86">
        <v>26021</v>
      </c>
      <c r="B2301" s="87" t="s">
        <v>26</v>
      </c>
      <c r="C2301" s="87" t="s">
        <v>4397</v>
      </c>
      <c r="D2301" s="87" t="s">
        <v>4420</v>
      </c>
      <c r="E2301" s="87" t="s">
        <v>4421</v>
      </c>
      <c r="F2301" s="87">
        <v>34.075581791899999</v>
      </c>
      <c r="G2301" s="87">
        <v>44.285338124399999</v>
      </c>
      <c r="H2301" s="86">
        <v>25</v>
      </c>
      <c r="I2301" s="86">
        <v>150</v>
      </c>
      <c r="J2301" s="87"/>
      <c r="K2301" s="87"/>
      <c r="L2301" s="87"/>
      <c r="M2301" s="87"/>
      <c r="N2301" s="87"/>
      <c r="O2301" s="87"/>
      <c r="P2301" s="87"/>
      <c r="Q2301" s="87"/>
      <c r="R2301" s="87"/>
      <c r="S2301" s="87"/>
      <c r="T2301" s="87"/>
      <c r="U2301" s="87"/>
      <c r="V2301" s="87"/>
      <c r="W2301" s="87"/>
      <c r="X2301" s="87">
        <v>25</v>
      </c>
      <c r="Y2301" s="87"/>
      <c r="Z2301" s="87"/>
      <c r="AA2301" s="87"/>
      <c r="AB2301" s="87"/>
      <c r="AC2301" s="87"/>
      <c r="AD2301" s="87"/>
      <c r="AE2301" s="87"/>
      <c r="AF2301" s="87"/>
      <c r="AG2301" s="87"/>
      <c r="AH2301" s="87">
        <v>25</v>
      </c>
      <c r="AI2301" s="87"/>
      <c r="AJ2301" s="87"/>
      <c r="AK2301" s="87"/>
      <c r="AL2301" s="87"/>
      <c r="AM2301" s="87"/>
      <c r="AN2301" s="87"/>
      <c r="AO2301" s="87"/>
      <c r="AP2301" s="87"/>
      <c r="AQ2301" s="87">
        <v>25</v>
      </c>
      <c r="AR2301" s="87"/>
      <c r="AS2301" s="87"/>
      <c r="AT2301" s="87"/>
      <c r="AU2301" s="87"/>
      <c r="AV2301" s="87"/>
      <c r="AW2301" s="88" t="str">
        <f>HYPERLINK("http://www.openstreetmap.org/?mlat=34.0756&amp;mlon=44.2853&amp;zoom=12#map=12/34.0756/44.2853","Maplink1")</f>
        <v>Maplink1</v>
      </c>
      <c r="AX2301" s="88" t="str">
        <f>HYPERLINK("https://www.google.iq/maps/search/+34.0756,44.2853/@34.0756,44.2853,14z?hl=en","Maplink2")</f>
        <v>Maplink2</v>
      </c>
      <c r="AY2301" s="88" t="str">
        <f>HYPERLINK("http://www.bing.com/maps/?lvl=14&amp;sty=h&amp;cp=34.0756~44.2853&amp;sp=point.34.0756_44.2853","Maplink3")</f>
        <v>Maplink3</v>
      </c>
      <c r="AZ2301" s="76"/>
    </row>
    <row r="2302" spans="1:52" x14ac:dyDescent="0.25">
      <c r="A2302" s="86">
        <v>21589</v>
      </c>
      <c r="B2302" s="87" t="s">
        <v>26</v>
      </c>
      <c r="C2302" s="87" t="s">
        <v>4422</v>
      </c>
      <c r="D2302" s="87" t="s">
        <v>4423</v>
      </c>
      <c r="E2302" s="87" t="s">
        <v>4424</v>
      </c>
      <c r="F2302" s="87">
        <v>34.199030999999998</v>
      </c>
      <c r="G2302" s="87">
        <v>43.895827084799997</v>
      </c>
      <c r="H2302" s="86">
        <v>54</v>
      </c>
      <c r="I2302" s="86">
        <v>324</v>
      </c>
      <c r="J2302" s="87"/>
      <c r="K2302" s="87"/>
      <c r="L2302" s="87"/>
      <c r="M2302" s="87"/>
      <c r="N2302" s="87"/>
      <c r="O2302" s="87"/>
      <c r="P2302" s="87"/>
      <c r="Q2302" s="87"/>
      <c r="R2302" s="87"/>
      <c r="S2302" s="87"/>
      <c r="T2302" s="87"/>
      <c r="U2302" s="87"/>
      <c r="V2302" s="87"/>
      <c r="W2302" s="87"/>
      <c r="X2302" s="87">
        <v>54</v>
      </c>
      <c r="Y2302" s="87"/>
      <c r="Z2302" s="87"/>
      <c r="AA2302" s="87"/>
      <c r="AB2302" s="87"/>
      <c r="AC2302" s="87">
        <v>2</v>
      </c>
      <c r="AD2302" s="87"/>
      <c r="AE2302" s="87"/>
      <c r="AF2302" s="87"/>
      <c r="AG2302" s="87"/>
      <c r="AH2302" s="87">
        <v>29</v>
      </c>
      <c r="AI2302" s="87"/>
      <c r="AJ2302" s="87"/>
      <c r="AK2302" s="87">
        <v>23</v>
      </c>
      <c r="AL2302" s="87"/>
      <c r="AM2302" s="87"/>
      <c r="AN2302" s="87"/>
      <c r="AO2302" s="87"/>
      <c r="AP2302" s="87"/>
      <c r="AQ2302" s="87">
        <v>18</v>
      </c>
      <c r="AR2302" s="87">
        <v>36</v>
      </c>
      <c r="AS2302" s="87"/>
      <c r="AT2302" s="87"/>
      <c r="AU2302" s="87"/>
      <c r="AV2302" s="87"/>
      <c r="AW2302" s="88" t="str">
        <f>HYPERLINK("http://www.openstreetmap.org/?mlat=34.199&amp;mlon=43.8958&amp;zoom=12#map=12/34.199/43.8958","Maplink1")</f>
        <v>Maplink1</v>
      </c>
      <c r="AX2302" s="88" t="str">
        <f>HYPERLINK("https://www.google.iq/maps/search/+34.199,43.8958/@34.199,43.8958,14z?hl=en","Maplink2")</f>
        <v>Maplink2</v>
      </c>
      <c r="AY2302" s="88" t="str">
        <f>HYPERLINK("http://www.bing.com/maps/?lvl=14&amp;sty=h&amp;cp=34.199~43.8958&amp;sp=point.34.199_43.8958","Maplink3")</f>
        <v>Maplink3</v>
      </c>
      <c r="AZ2302" s="76"/>
    </row>
    <row r="2303" spans="1:52" x14ac:dyDescent="0.25">
      <c r="A2303" s="86">
        <v>23876</v>
      </c>
      <c r="B2303" s="87" t="s">
        <v>26</v>
      </c>
      <c r="C2303" s="87" t="s">
        <v>4422</v>
      </c>
      <c r="D2303" s="87" t="s">
        <v>4425</v>
      </c>
      <c r="E2303" s="87" t="s">
        <v>4426</v>
      </c>
      <c r="F2303" s="87">
        <v>34.184452649199997</v>
      </c>
      <c r="G2303" s="87">
        <v>43.903185306099999</v>
      </c>
      <c r="H2303" s="86">
        <v>132</v>
      </c>
      <c r="I2303" s="86">
        <v>792</v>
      </c>
      <c r="J2303" s="87"/>
      <c r="K2303" s="87"/>
      <c r="L2303" s="87"/>
      <c r="M2303" s="87"/>
      <c r="N2303" s="87"/>
      <c r="O2303" s="87"/>
      <c r="P2303" s="87"/>
      <c r="Q2303" s="87"/>
      <c r="R2303" s="87"/>
      <c r="S2303" s="87"/>
      <c r="T2303" s="87"/>
      <c r="U2303" s="87"/>
      <c r="V2303" s="87"/>
      <c r="W2303" s="87"/>
      <c r="X2303" s="87">
        <v>132</v>
      </c>
      <c r="Y2303" s="87"/>
      <c r="Z2303" s="87"/>
      <c r="AA2303" s="87"/>
      <c r="AB2303" s="87"/>
      <c r="AC2303" s="87"/>
      <c r="AD2303" s="87"/>
      <c r="AE2303" s="87">
        <v>12</v>
      </c>
      <c r="AF2303" s="87"/>
      <c r="AG2303" s="87"/>
      <c r="AH2303" s="87">
        <v>67</v>
      </c>
      <c r="AI2303" s="87">
        <v>8</v>
      </c>
      <c r="AJ2303" s="87">
        <v>39</v>
      </c>
      <c r="AK2303" s="87">
        <v>6</v>
      </c>
      <c r="AL2303" s="87"/>
      <c r="AM2303" s="87"/>
      <c r="AN2303" s="87"/>
      <c r="AO2303" s="87">
        <v>20</v>
      </c>
      <c r="AP2303" s="87">
        <v>112</v>
      </c>
      <c r="AQ2303" s="87"/>
      <c r="AR2303" s="87"/>
      <c r="AS2303" s="87"/>
      <c r="AT2303" s="87"/>
      <c r="AU2303" s="87"/>
      <c r="AV2303" s="87"/>
      <c r="AW2303" s="88" t="str">
        <f>HYPERLINK("http://www.openstreetmap.org/?mlat=34.1845&amp;mlon=43.9032&amp;zoom=12#map=12/34.1845/43.9032","Maplink1")</f>
        <v>Maplink1</v>
      </c>
      <c r="AX2303" s="88" t="str">
        <f>HYPERLINK("https://www.google.iq/maps/search/+34.1845,43.9032/@34.1845,43.9032,14z?hl=en","Maplink2")</f>
        <v>Maplink2</v>
      </c>
      <c r="AY2303" s="88" t="str">
        <f>HYPERLINK("http://www.bing.com/maps/?lvl=14&amp;sty=h&amp;cp=34.1845~43.9032&amp;sp=point.34.1845_43.9032","Maplink3")</f>
        <v>Maplink3</v>
      </c>
      <c r="AZ2303" s="76"/>
    </row>
    <row r="2304" spans="1:52" x14ac:dyDescent="0.25">
      <c r="A2304" s="86">
        <v>21588</v>
      </c>
      <c r="B2304" s="87" t="s">
        <v>26</v>
      </c>
      <c r="C2304" s="87" t="s">
        <v>4422</v>
      </c>
      <c r="D2304" s="87" t="s">
        <v>4427</v>
      </c>
      <c r="E2304" s="87" t="s">
        <v>4428</v>
      </c>
      <c r="F2304" s="87">
        <v>34.181510726900001</v>
      </c>
      <c r="G2304" s="87">
        <v>43.909378526700003</v>
      </c>
      <c r="H2304" s="86">
        <v>301</v>
      </c>
      <c r="I2304" s="86">
        <v>1806</v>
      </c>
      <c r="J2304" s="87"/>
      <c r="K2304" s="87"/>
      <c r="L2304" s="87"/>
      <c r="M2304" s="87"/>
      <c r="N2304" s="87"/>
      <c r="O2304" s="87"/>
      <c r="P2304" s="87"/>
      <c r="Q2304" s="87"/>
      <c r="R2304" s="87"/>
      <c r="S2304" s="87"/>
      <c r="T2304" s="87"/>
      <c r="U2304" s="87"/>
      <c r="V2304" s="87"/>
      <c r="W2304" s="87"/>
      <c r="X2304" s="87">
        <v>301</v>
      </c>
      <c r="Y2304" s="87"/>
      <c r="Z2304" s="87"/>
      <c r="AA2304" s="87"/>
      <c r="AB2304" s="87"/>
      <c r="AC2304" s="87"/>
      <c r="AD2304" s="87"/>
      <c r="AE2304" s="87">
        <v>12</v>
      </c>
      <c r="AF2304" s="87"/>
      <c r="AG2304" s="87"/>
      <c r="AH2304" s="87">
        <v>18</v>
      </c>
      <c r="AI2304" s="87">
        <v>8</v>
      </c>
      <c r="AJ2304" s="87"/>
      <c r="AK2304" s="87">
        <v>263</v>
      </c>
      <c r="AL2304" s="87"/>
      <c r="AM2304" s="87"/>
      <c r="AN2304" s="87"/>
      <c r="AO2304" s="87">
        <v>113</v>
      </c>
      <c r="AP2304" s="87">
        <v>35</v>
      </c>
      <c r="AQ2304" s="87">
        <v>22</v>
      </c>
      <c r="AR2304" s="87">
        <v>131</v>
      </c>
      <c r="AS2304" s="87"/>
      <c r="AT2304" s="87"/>
      <c r="AU2304" s="87"/>
      <c r="AV2304" s="87"/>
      <c r="AW2304" s="88" t="str">
        <f>HYPERLINK("http://www.openstreetmap.org/?mlat=34.1815&amp;mlon=43.9094&amp;zoom=12#map=12/34.1815/43.9094","Maplink1")</f>
        <v>Maplink1</v>
      </c>
      <c r="AX2304" s="88" t="str">
        <f>HYPERLINK("https://www.google.iq/maps/search/+34.1815,43.9094/@34.1815,43.9094,14z?hl=en","Maplink2")</f>
        <v>Maplink2</v>
      </c>
      <c r="AY2304" s="88" t="str">
        <f>HYPERLINK("http://www.bing.com/maps/?lvl=14&amp;sty=h&amp;cp=34.1815~43.9094&amp;sp=point.34.1815_43.9094","Maplink3")</f>
        <v>Maplink3</v>
      </c>
      <c r="AZ2304" s="76"/>
    </row>
    <row r="2305" spans="1:52" x14ac:dyDescent="0.25">
      <c r="A2305" s="86">
        <v>25518</v>
      </c>
      <c r="B2305" s="87" t="s">
        <v>26</v>
      </c>
      <c r="C2305" s="87" t="s">
        <v>4422</v>
      </c>
      <c r="D2305" s="87" t="s">
        <v>4429</v>
      </c>
      <c r="E2305" s="87" t="s">
        <v>4430</v>
      </c>
      <c r="F2305" s="87">
        <v>34.193541523999997</v>
      </c>
      <c r="G2305" s="87">
        <v>43.870384823499997</v>
      </c>
      <c r="H2305" s="86">
        <v>49</v>
      </c>
      <c r="I2305" s="86">
        <v>294</v>
      </c>
      <c r="J2305" s="87"/>
      <c r="K2305" s="87"/>
      <c r="L2305" s="87"/>
      <c r="M2305" s="87"/>
      <c r="N2305" s="87"/>
      <c r="O2305" s="87"/>
      <c r="P2305" s="87"/>
      <c r="Q2305" s="87"/>
      <c r="R2305" s="87"/>
      <c r="S2305" s="87"/>
      <c r="T2305" s="87"/>
      <c r="U2305" s="87"/>
      <c r="V2305" s="87"/>
      <c r="W2305" s="87"/>
      <c r="X2305" s="87">
        <v>49</v>
      </c>
      <c r="Y2305" s="87"/>
      <c r="Z2305" s="87"/>
      <c r="AA2305" s="87"/>
      <c r="AB2305" s="87"/>
      <c r="AC2305" s="87"/>
      <c r="AD2305" s="87"/>
      <c r="AE2305" s="87"/>
      <c r="AF2305" s="87"/>
      <c r="AG2305" s="87"/>
      <c r="AH2305" s="87">
        <v>42</v>
      </c>
      <c r="AI2305" s="87">
        <v>7</v>
      </c>
      <c r="AJ2305" s="87"/>
      <c r="AK2305" s="87"/>
      <c r="AL2305" s="87"/>
      <c r="AM2305" s="87"/>
      <c r="AN2305" s="87">
        <v>2</v>
      </c>
      <c r="AO2305" s="87">
        <v>11</v>
      </c>
      <c r="AP2305" s="87">
        <v>36</v>
      </c>
      <c r="AQ2305" s="87"/>
      <c r="AR2305" s="87"/>
      <c r="AS2305" s="87"/>
      <c r="AT2305" s="87"/>
      <c r="AU2305" s="87"/>
      <c r="AV2305" s="87"/>
      <c r="AW2305" s="88" t="str">
        <f>HYPERLINK("http://www.openstreetmap.org/?mlat=34.1935&amp;mlon=43.8704&amp;zoom=12#map=12/34.1935/43.8704","Maplink1")</f>
        <v>Maplink1</v>
      </c>
      <c r="AX2305" s="88" t="str">
        <f>HYPERLINK("https://www.google.iq/maps/search/+34.1935,43.8704/@34.1935,43.8704,14z?hl=en","Maplink2")</f>
        <v>Maplink2</v>
      </c>
      <c r="AY2305" s="88" t="str">
        <f>HYPERLINK("http://www.bing.com/maps/?lvl=14&amp;sty=h&amp;cp=34.1935~43.8704&amp;sp=point.34.1935_43.8704","Maplink3")</f>
        <v>Maplink3</v>
      </c>
      <c r="AZ2305" s="76"/>
    </row>
    <row r="2306" spans="1:52" x14ac:dyDescent="0.25">
      <c r="A2306" s="86">
        <v>21723</v>
      </c>
      <c r="B2306" s="87" t="s">
        <v>26</v>
      </c>
      <c r="C2306" s="87" t="s">
        <v>4422</v>
      </c>
      <c r="D2306" s="87" t="s">
        <v>4431</v>
      </c>
      <c r="E2306" s="87" t="s">
        <v>4432</v>
      </c>
      <c r="F2306" s="87">
        <v>34.182056263100002</v>
      </c>
      <c r="G2306" s="87">
        <v>43.855861499900001</v>
      </c>
      <c r="H2306" s="86">
        <v>157</v>
      </c>
      <c r="I2306" s="86">
        <v>942</v>
      </c>
      <c r="J2306" s="87"/>
      <c r="K2306" s="87"/>
      <c r="L2306" s="87"/>
      <c r="M2306" s="87"/>
      <c r="N2306" s="87"/>
      <c r="O2306" s="87"/>
      <c r="P2306" s="87"/>
      <c r="Q2306" s="87"/>
      <c r="R2306" s="87"/>
      <c r="S2306" s="87"/>
      <c r="T2306" s="87"/>
      <c r="U2306" s="87"/>
      <c r="V2306" s="87"/>
      <c r="W2306" s="87"/>
      <c r="X2306" s="87">
        <v>157</v>
      </c>
      <c r="Y2306" s="87"/>
      <c r="Z2306" s="87"/>
      <c r="AA2306" s="87"/>
      <c r="AB2306" s="87"/>
      <c r="AC2306" s="87"/>
      <c r="AD2306" s="87"/>
      <c r="AE2306" s="87"/>
      <c r="AF2306" s="87"/>
      <c r="AG2306" s="87"/>
      <c r="AH2306" s="87">
        <v>98</v>
      </c>
      <c r="AI2306" s="87">
        <v>19</v>
      </c>
      <c r="AJ2306" s="87"/>
      <c r="AK2306" s="87">
        <v>40</v>
      </c>
      <c r="AL2306" s="87"/>
      <c r="AM2306" s="87"/>
      <c r="AN2306" s="87">
        <v>10</v>
      </c>
      <c r="AO2306" s="87">
        <v>55</v>
      </c>
      <c r="AP2306" s="87"/>
      <c r="AQ2306" s="87"/>
      <c r="AR2306" s="87">
        <v>92</v>
      </c>
      <c r="AS2306" s="87"/>
      <c r="AT2306" s="87"/>
      <c r="AU2306" s="87"/>
      <c r="AV2306" s="87"/>
      <c r="AW2306" s="88" t="str">
        <f>HYPERLINK("http://www.openstreetmap.org/?mlat=34.1821&amp;mlon=43.8559&amp;zoom=12#map=12/34.1821/43.8559","Maplink1")</f>
        <v>Maplink1</v>
      </c>
      <c r="AX2306" s="88" t="str">
        <f>HYPERLINK("https://www.google.iq/maps/search/+34.1821,43.8559/@34.1821,43.8559,14z?hl=en","Maplink2")</f>
        <v>Maplink2</v>
      </c>
      <c r="AY2306" s="88" t="str">
        <f>HYPERLINK("http://www.bing.com/maps/?lvl=14&amp;sty=h&amp;cp=34.1821~43.8559&amp;sp=point.34.1821_43.8559","Maplink3")</f>
        <v>Maplink3</v>
      </c>
      <c r="AZ2306" s="76"/>
    </row>
    <row r="2307" spans="1:52" x14ac:dyDescent="0.25">
      <c r="A2307" s="86">
        <v>23781</v>
      </c>
      <c r="B2307" s="87" t="s">
        <v>26</v>
      </c>
      <c r="C2307" s="87" t="s">
        <v>4422</v>
      </c>
      <c r="D2307" s="87" t="s">
        <v>4433</v>
      </c>
      <c r="E2307" s="87" t="s">
        <v>4434</v>
      </c>
      <c r="F2307" s="87">
        <v>34.082253486799999</v>
      </c>
      <c r="G2307" s="87">
        <v>44.055491779</v>
      </c>
      <c r="H2307" s="86">
        <v>9</v>
      </c>
      <c r="I2307" s="86">
        <v>54</v>
      </c>
      <c r="J2307" s="87"/>
      <c r="K2307" s="87"/>
      <c r="L2307" s="87"/>
      <c r="M2307" s="87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  <c r="X2307" s="87">
        <v>9</v>
      </c>
      <c r="Y2307" s="87"/>
      <c r="Z2307" s="87"/>
      <c r="AA2307" s="87"/>
      <c r="AB2307" s="87"/>
      <c r="AC2307" s="87"/>
      <c r="AD2307" s="87"/>
      <c r="AE2307" s="87"/>
      <c r="AF2307" s="87"/>
      <c r="AG2307" s="87"/>
      <c r="AH2307" s="87">
        <v>9</v>
      </c>
      <c r="AI2307" s="87"/>
      <c r="AJ2307" s="87"/>
      <c r="AK2307" s="87"/>
      <c r="AL2307" s="87"/>
      <c r="AM2307" s="87"/>
      <c r="AN2307" s="87"/>
      <c r="AO2307" s="87"/>
      <c r="AP2307" s="87">
        <v>9</v>
      </c>
      <c r="AQ2307" s="87"/>
      <c r="AR2307" s="87"/>
      <c r="AS2307" s="87"/>
      <c r="AT2307" s="87"/>
      <c r="AU2307" s="87"/>
      <c r="AV2307" s="87"/>
      <c r="AW2307" s="88" t="str">
        <f>HYPERLINK("http://www.openstreetmap.org/?mlat=34.0823&amp;mlon=44.0555&amp;zoom=12#map=12/34.0823/44.0555","Maplink1")</f>
        <v>Maplink1</v>
      </c>
      <c r="AX2307" s="88" t="str">
        <f>HYPERLINK("https://www.google.iq/maps/search/+34.0823,44.0555/@34.0823,44.0555,14z?hl=en","Maplink2")</f>
        <v>Maplink2</v>
      </c>
      <c r="AY2307" s="88" t="str">
        <f>HYPERLINK("http://www.bing.com/maps/?lvl=14&amp;sty=h&amp;cp=34.0823~44.0555&amp;sp=point.34.0823_44.0555","Maplink3")</f>
        <v>Maplink3</v>
      </c>
      <c r="AZ2307" s="76"/>
    </row>
    <row r="2308" spans="1:52" x14ac:dyDescent="0.25">
      <c r="A2308" s="86">
        <v>20695</v>
      </c>
      <c r="B2308" s="87" t="s">
        <v>26</v>
      </c>
      <c r="C2308" s="87" t="s">
        <v>4422</v>
      </c>
      <c r="D2308" s="87" t="s">
        <v>4435</v>
      </c>
      <c r="E2308" s="87" t="s">
        <v>4436</v>
      </c>
      <c r="F2308" s="87">
        <v>34.300923929500001</v>
      </c>
      <c r="G2308" s="87">
        <v>43.780313143500003</v>
      </c>
      <c r="H2308" s="86">
        <v>119</v>
      </c>
      <c r="I2308" s="86">
        <v>714</v>
      </c>
      <c r="J2308" s="87"/>
      <c r="K2308" s="87"/>
      <c r="L2308" s="87"/>
      <c r="M2308" s="87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  <c r="X2308" s="87">
        <v>119</v>
      </c>
      <c r="Y2308" s="87"/>
      <c r="Z2308" s="87"/>
      <c r="AA2308" s="87"/>
      <c r="AB2308" s="87"/>
      <c r="AC2308" s="87"/>
      <c r="AD2308" s="87"/>
      <c r="AE2308" s="87">
        <v>39</v>
      </c>
      <c r="AF2308" s="87"/>
      <c r="AG2308" s="87"/>
      <c r="AH2308" s="87">
        <v>39</v>
      </c>
      <c r="AI2308" s="87">
        <v>7</v>
      </c>
      <c r="AJ2308" s="87"/>
      <c r="AK2308" s="87">
        <v>34</v>
      </c>
      <c r="AL2308" s="87"/>
      <c r="AM2308" s="87"/>
      <c r="AN2308" s="87"/>
      <c r="AO2308" s="87"/>
      <c r="AP2308" s="87"/>
      <c r="AQ2308" s="87">
        <v>119</v>
      </c>
      <c r="AR2308" s="87"/>
      <c r="AS2308" s="87"/>
      <c r="AT2308" s="87"/>
      <c r="AU2308" s="87"/>
      <c r="AV2308" s="87"/>
      <c r="AW2308" s="88" t="str">
        <f>HYPERLINK("http://www.openstreetmap.org/?mlat=34.3009&amp;mlon=43.7803&amp;zoom=12#map=12/34.3009/43.7803","Maplink1")</f>
        <v>Maplink1</v>
      </c>
      <c r="AX2308" s="88" t="str">
        <f>HYPERLINK("https://www.google.iq/maps/search/+34.3009,43.7803/@34.3009,43.7803,14z?hl=en","Maplink2")</f>
        <v>Maplink2</v>
      </c>
      <c r="AY2308" s="88" t="str">
        <f>HYPERLINK("http://www.bing.com/maps/?lvl=14&amp;sty=h&amp;cp=34.3009~43.7803&amp;sp=point.34.3009_43.7803","Maplink3")</f>
        <v>Maplink3</v>
      </c>
      <c r="AZ2308" s="76"/>
    </row>
    <row r="2309" spans="1:52" x14ac:dyDescent="0.25">
      <c r="A2309" s="86">
        <v>20675</v>
      </c>
      <c r="B2309" s="87" t="s">
        <v>26</v>
      </c>
      <c r="C2309" s="87" t="s">
        <v>4422</v>
      </c>
      <c r="D2309" s="87" t="s">
        <v>4437</v>
      </c>
      <c r="E2309" s="87" t="s">
        <v>4438</v>
      </c>
      <c r="F2309" s="87">
        <v>34.205891210600001</v>
      </c>
      <c r="G2309" s="87">
        <v>43.909870376800001</v>
      </c>
      <c r="H2309" s="86">
        <v>144</v>
      </c>
      <c r="I2309" s="86">
        <v>864</v>
      </c>
      <c r="J2309" s="87"/>
      <c r="K2309" s="87"/>
      <c r="L2309" s="87"/>
      <c r="M2309" s="87"/>
      <c r="N2309" s="87"/>
      <c r="O2309" s="87"/>
      <c r="P2309" s="87"/>
      <c r="Q2309" s="87"/>
      <c r="R2309" s="87"/>
      <c r="S2309" s="87"/>
      <c r="T2309" s="87"/>
      <c r="U2309" s="87"/>
      <c r="V2309" s="87"/>
      <c r="W2309" s="87"/>
      <c r="X2309" s="87">
        <v>144</v>
      </c>
      <c r="Y2309" s="87"/>
      <c r="Z2309" s="87"/>
      <c r="AA2309" s="87"/>
      <c r="AB2309" s="87"/>
      <c r="AC2309" s="87"/>
      <c r="AD2309" s="87"/>
      <c r="AE2309" s="87">
        <v>41</v>
      </c>
      <c r="AF2309" s="87"/>
      <c r="AG2309" s="87"/>
      <c r="AH2309" s="87">
        <v>32</v>
      </c>
      <c r="AI2309" s="87">
        <v>48</v>
      </c>
      <c r="AJ2309" s="87"/>
      <c r="AK2309" s="87">
        <v>23</v>
      </c>
      <c r="AL2309" s="87"/>
      <c r="AM2309" s="87"/>
      <c r="AN2309" s="87"/>
      <c r="AO2309" s="87">
        <v>40</v>
      </c>
      <c r="AP2309" s="87">
        <v>11</v>
      </c>
      <c r="AQ2309" s="87">
        <v>51</v>
      </c>
      <c r="AR2309" s="87">
        <v>42</v>
      </c>
      <c r="AS2309" s="87"/>
      <c r="AT2309" s="87"/>
      <c r="AU2309" s="87"/>
      <c r="AV2309" s="87"/>
      <c r="AW2309" s="88" t="str">
        <f>HYPERLINK("http://www.openstreetmap.org/?mlat=34.2059&amp;mlon=43.9099&amp;zoom=12#map=12/34.2059/43.9099","Maplink1")</f>
        <v>Maplink1</v>
      </c>
      <c r="AX2309" s="88" t="str">
        <f>HYPERLINK("https://www.google.iq/maps/search/+34.2059,43.9099/@34.2059,43.9099,14z?hl=en","Maplink2")</f>
        <v>Maplink2</v>
      </c>
      <c r="AY2309" s="88" t="str">
        <f>HYPERLINK("http://www.bing.com/maps/?lvl=14&amp;sty=h&amp;cp=34.2059~43.9099&amp;sp=point.34.2059_43.9099","Maplink3")</f>
        <v>Maplink3</v>
      </c>
      <c r="AZ2309" s="76"/>
    </row>
    <row r="2310" spans="1:52" x14ac:dyDescent="0.25">
      <c r="A2310" s="86">
        <v>20674</v>
      </c>
      <c r="B2310" s="87" t="s">
        <v>26</v>
      </c>
      <c r="C2310" s="87" t="s">
        <v>4422</v>
      </c>
      <c r="D2310" s="87" t="s">
        <v>4439</v>
      </c>
      <c r="E2310" s="87" t="s">
        <v>2287</v>
      </c>
      <c r="F2310" s="87">
        <v>34.195151645700001</v>
      </c>
      <c r="G2310" s="87">
        <v>43.8074836694</v>
      </c>
      <c r="H2310" s="86">
        <v>139</v>
      </c>
      <c r="I2310" s="86">
        <v>834</v>
      </c>
      <c r="J2310" s="87"/>
      <c r="K2310" s="87"/>
      <c r="L2310" s="87"/>
      <c r="M2310" s="87"/>
      <c r="N2310" s="87"/>
      <c r="O2310" s="87"/>
      <c r="P2310" s="87"/>
      <c r="Q2310" s="87"/>
      <c r="R2310" s="87"/>
      <c r="S2310" s="87"/>
      <c r="T2310" s="87"/>
      <c r="U2310" s="87"/>
      <c r="V2310" s="87"/>
      <c r="W2310" s="87"/>
      <c r="X2310" s="87">
        <v>139</v>
      </c>
      <c r="Y2310" s="87"/>
      <c r="Z2310" s="87"/>
      <c r="AA2310" s="87"/>
      <c r="AB2310" s="87"/>
      <c r="AC2310" s="87"/>
      <c r="AD2310" s="87"/>
      <c r="AE2310" s="87"/>
      <c r="AF2310" s="87"/>
      <c r="AG2310" s="87"/>
      <c r="AH2310" s="87">
        <v>85</v>
      </c>
      <c r="AI2310" s="87"/>
      <c r="AJ2310" s="87"/>
      <c r="AK2310" s="87">
        <v>54</v>
      </c>
      <c r="AL2310" s="87"/>
      <c r="AM2310" s="87"/>
      <c r="AN2310" s="87"/>
      <c r="AO2310" s="87"/>
      <c r="AP2310" s="87"/>
      <c r="AQ2310" s="87">
        <v>67</v>
      </c>
      <c r="AR2310" s="87">
        <v>72</v>
      </c>
      <c r="AS2310" s="87"/>
      <c r="AT2310" s="87"/>
      <c r="AU2310" s="87"/>
      <c r="AV2310" s="87"/>
      <c r="AW2310" s="88" t="str">
        <f>HYPERLINK("http://www.openstreetmap.org/?mlat=34.1952&amp;mlon=43.8075&amp;zoom=12#map=12/34.1952/43.8075","Maplink1")</f>
        <v>Maplink1</v>
      </c>
      <c r="AX2310" s="88" t="str">
        <f>HYPERLINK("https://www.google.iq/maps/search/+34.1952,43.8075/@34.1952,43.8075,14z?hl=en","Maplink2")</f>
        <v>Maplink2</v>
      </c>
      <c r="AY2310" s="88" t="str">
        <f>HYPERLINK("http://www.bing.com/maps/?lvl=14&amp;sty=h&amp;cp=34.1952~43.8075&amp;sp=point.34.1952_43.8075","Maplink3")</f>
        <v>Maplink3</v>
      </c>
      <c r="AZ2310" s="76"/>
    </row>
    <row r="2311" spans="1:52" x14ac:dyDescent="0.25">
      <c r="A2311" s="86">
        <v>20643</v>
      </c>
      <c r="B2311" s="87" t="s">
        <v>26</v>
      </c>
      <c r="C2311" s="87" t="s">
        <v>4422</v>
      </c>
      <c r="D2311" s="87" t="s">
        <v>4440</v>
      </c>
      <c r="E2311" s="87" t="s">
        <v>3944</v>
      </c>
      <c r="F2311" s="87">
        <v>34.212567061199998</v>
      </c>
      <c r="G2311" s="87">
        <v>43.899537585700003</v>
      </c>
      <c r="H2311" s="86">
        <v>132</v>
      </c>
      <c r="I2311" s="86">
        <v>792</v>
      </c>
      <c r="J2311" s="87"/>
      <c r="K2311" s="87"/>
      <c r="L2311" s="87"/>
      <c r="M2311" s="87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  <c r="X2311" s="87">
        <v>132</v>
      </c>
      <c r="Y2311" s="87"/>
      <c r="Z2311" s="87"/>
      <c r="AA2311" s="87"/>
      <c r="AB2311" s="87"/>
      <c r="AC2311" s="87"/>
      <c r="AD2311" s="87"/>
      <c r="AE2311" s="87"/>
      <c r="AF2311" s="87"/>
      <c r="AG2311" s="87"/>
      <c r="AH2311" s="87">
        <v>71</v>
      </c>
      <c r="AI2311" s="87"/>
      <c r="AJ2311" s="87">
        <v>38</v>
      </c>
      <c r="AK2311" s="87">
        <v>23</v>
      </c>
      <c r="AL2311" s="87"/>
      <c r="AM2311" s="87"/>
      <c r="AN2311" s="87">
        <v>25</v>
      </c>
      <c r="AO2311" s="87">
        <v>67</v>
      </c>
      <c r="AP2311" s="87"/>
      <c r="AQ2311" s="87">
        <v>5</v>
      </c>
      <c r="AR2311" s="87">
        <v>35</v>
      </c>
      <c r="AS2311" s="87"/>
      <c r="AT2311" s="87"/>
      <c r="AU2311" s="87"/>
      <c r="AV2311" s="87"/>
      <c r="AW2311" s="88" t="str">
        <f>HYPERLINK("http://www.openstreetmap.org/?mlat=34.2126&amp;mlon=43.8995&amp;zoom=12#map=12/34.2126/43.8995","Maplink1")</f>
        <v>Maplink1</v>
      </c>
      <c r="AX2311" s="88" t="str">
        <f>HYPERLINK("https://www.google.iq/maps/search/+34.2126,43.8995/@34.2126,43.8995,14z?hl=en","Maplink2")</f>
        <v>Maplink2</v>
      </c>
      <c r="AY2311" s="88" t="str">
        <f>HYPERLINK("http://www.bing.com/maps/?lvl=14&amp;sty=h&amp;cp=34.2126~43.8995&amp;sp=point.34.2126_43.8995","Maplink3")</f>
        <v>Maplink3</v>
      </c>
      <c r="AZ2311" s="76"/>
    </row>
    <row r="2312" spans="1:52" x14ac:dyDescent="0.25">
      <c r="A2312" s="86">
        <v>20633</v>
      </c>
      <c r="B2312" s="87" t="s">
        <v>26</v>
      </c>
      <c r="C2312" s="87" t="s">
        <v>4422</v>
      </c>
      <c r="D2312" s="87" t="s">
        <v>4441</v>
      </c>
      <c r="E2312" s="87" t="s">
        <v>4442</v>
      </c>
      <c r="F2312" s="87">
        <v>34.190219063299999</v>
      </c>
      <c r="G2312" s="87">
        <v>43.9040939044</v>
      </c>
      <c r="H2312" s="86">
        <v>179</v>
      </c>
      <c r="I2312" s="86">
        <v>1074</v>
      </c>
      <c r="J2312" s="87"/>
      <c r="K2312" s="87"/>
      <c r="L2312" s="87"/>
      <c r="M2312" s="87"/>
      <c r="N2312" s="87"/>
      <c r="O2312" s="87"/>
      <c r="P2312" s="87"/>
      <c r="Q2312" s="87"/>
      <c r="R2312" s="87"/>
      <c r="S2312" s="87"/>
      <c r="T2312" s="87"/>
      <c r="U2312" s="87"/>
      <c r="V2312" s="87"/>
      <c r="W2312" s="87"/>
      <c r="X2312" s="87">
        <v>179</v>
      </c>
      <c r="Y2312" s="87"/>
      <c r="Z2312" s="87"/>
      <c r="AA2312" s="87"/>
      <c r="AB2312" s="87"/>
      <c r="AC2312" s="87"/>
      <c r="AD2312" s="87"/>
      <c r="AE2312" s="87"/>
      <c r="AF2312" s="87"/>
      <c r="AG2312" s="87"/>
      <c r="AH2312" s="87">
        <v>143</v>
      </c>
      <c r="AI2312" s="87">
        <v>12</v>
      </c>
      <c r="AJ2312" s="87">
        <v>20</v>
      </c>
      <c r="AK2312" s="87">
        <v>4</v>
      </c>
      <c r="AL2312" s="87"/>
      <c r="AM2312" s="87"/>
      <c r="AN2312" s="87"/>
      <c r="AO2312" s="87"/>
      <c r="AP2312" s="87">
        <v>7</v>
      </c>
      <c r="AQ2312" s="87">
        <v>62</v>
      </c>
      <c r="AR2312" s="87">
        <v>110</v>
      </c>
      <c r="AS2312" s="87"/>
      <c r="AT2312" s="87"/>
      <c r="AU2312" s="87"/>
      <c r="AV2312" s="87"/>
      <c r="AW2312" s="88" t="str">
        <f>HYPERLINK("http://www.openstreetmap.org/?mlat=34.1902&amp;mlon=43.9041&amp;zoom=12#map=12/34.1902/43.9041","Maplink1")</f>
        <v>Maplink1</v>
      </c>
      <c r="AX2312" s="88" t="str">
        <f>HYPERLINK("https://www.google.iq/maps/search/+34.1902,43.9041/@34.1902,43.9041,14z?hl=en","Maplink2")</f>
        <v>Maplink2</v>
      </c>
      <c r="AY2312" s="88" t="str">
        <f>HYPERLINK("http://www.bing.com/maps/?lvl=14&amp;sty=h&amp;cp=34.1902~43.9041&amp;sp=point.34.1902_43.9041","Maplink3")</f>
        <v>Maplink3</v>
      </c>
      <c r="AZ2312" s="76"/>
    </row>
    <row r="2313" spans="1:52" x14ac:dyDescent="0.25">
      <c r="A2313" s="86">
        <v>20649</v>
      </c>
      <c r="B2313" s="87" t="s">
        <v>26</v>
      </c>
      <c r="C2313" s="87" t="s">
        <v>4422</v>
      </c>
      <c r="D2313" s="87" t="s">
        <v>4443</v>
      </c>
      <c r="E2313" s="87" t="s">
        <v>4444</v>
      </c>
      <c r="F2313" s="87">
        <v>34.191143754899997</v>
      </c>
      <c r="G2313" s="87">
        <v>43.8847661577</v>
      </c>
      <c r="H2313" s="86">
        <v>104</v>
      </c>
      <c r="I2313" s="86">
        <v>624</v>
      </c>
      <c r="J2313" s="87">
        <v>6</v>
      </c>
      <c r="K2313" s="87"/>
      <c r="L2313" s="87"/>
      <c r="M2313" s="87"/>
      <c r="N2313" s="87"/>
      <c r="O2313" s="87"/>
      <c r="P2313" s="87"/>
      <c r="Q2313" s="87"/>
      <c r="R2313" s="87"/>
      <c r="S2313" s="87"/>
      <c r="T2313" s="87"/>
      <c r="U2313" s="87"/>
      <c r="V2313" s="87"/>
      <c r="W2313" s="87"/>
      <c r="X2313" s="87">
        <v>98</v>
      </c>
      <c r="Y2313" s="87"/>
      <c r="Z2313" s="87"/>
      <c r="AA2313" s="87"/>
      <c r="AB2313" s="87"/>
      <c r="AC2313" s="87"/>
      <c r="AD2313" s="87"/>
      <c r="AE2313" s="87"/>
      <c r="AF2313" s="87"/>
      <c r="AG2313" s="87"/>
      <c r="AH2313" s="87">
        <v>98</v>
      </c>
      <c r="AI2313" s="87"/>
      <c r="AJ2313" s="87"/>
      <c r="AK2313" s="87">
        <v>6</v>
      </c>
      <c r="AL2313" s="87"/>
      <c r="AM2313" s="87"/>
      <c r="AN2313" s="87"/>
      <c r="AO2313" s="87"/>
      <c r="AP2313" s="87">
        <v>46</v>
      </c>
      <c r="AQ2313" s="87"/>
      <c r="AR2313" s="87">
        <v>58</v>
      </c>
      <c r="AS2313" s="87"/>
      <c r="AT2313" s="87"/>
      <c r="AU2313" s="87"/>
      <c r="AV2313" s="87"/>
      <c r="AW2313" s="88" t="str">
        <f>HYPERLINK("http://www.openstreetmap.org/?mlat=34.1911&amp;mlon=43.8848&amp;zoom=12#map=12/34.1911/43.8848","Maplink1")</f>
        <v>Maplink1</v>
      </c>
      <c r="AX2313" s="88" t="str">
        <f>HYPERLINK("https://www.google.iq/maps/search/+34.1911,43.8848/@34.1911,43.8848,14z?hl=en","Maplink2")</f>
        <v>Maplink2</v>
      </c>
      <c r="AY2313" s="88" t="str">
        <f>HYPERLINK("http://www.bing.com/maps/?lvl=14&amp;sty=h&amp;cp=34.1911~43.8848&amp;sp=point.34.1911_43.8848","Maplink3")</f>
        <v>Maplink3</v>
      </c>
      <c r="AZ2313" s="76"/>
    </row>
    <row r="2314" spans="1:52" x14ac:dyDescent="0.25">
      <c r="A2314" s="86">
        <v>25926</v>
      </c>
      <c r="B2314" s="87" t="s">
        <v>26</v>
      </c>
      <c r="C2314" s="87" t="s">
        <v>4422</v>
      </c>
      <c r="D2314" s="87" t="s">
        <v>4445</v>
      </c>
      <c r="E2314" s="87" t="s">
        <v>4446</v>
      </c>
      <c r="F2314" s="87">
        <v>34.261378990499999</v>
      </c>
      <c r="G2314" s="87">
        <v>43.875413127199998</v>
      </c>
      <c r="H2314" s="86">
        <v>10</v>
      </c>
      <c r="I2314" s="86">
        <v>60</v>
      </c>
      <c r="J2314" s="87"/>
      <c r="K2314" s="87"/>
      <c r="L2314" s="87"/>
      <c r="M2314" s="87"/>
      <c r="N2314" s="87"/>
      <c r="O2314" s="87"/>
      <c r="P2314" s="87"/>
      <c r="Q2314" s="87"/>
      <c r="R2314" s="87"/>
      <c r="S2314" s="87"/>
      <c r="T2314" s="87"/>
      <c r="U2314" s="87"/>
      <c r="V2314" s="87"/>
      <c r="W2314" s="87"/>
      <c r="X2314" s="87">
        <v>10</v>
      </c>
      <c r="Y2314" s="87"/>
      <c r="Z2314" s="87"/>
      <c r="AA2314" s="87"/>
      <c r="AB2314" s="87"/>
      <c r="AC2314" s="87">
        <v>10</v>
      </c>
      <c r="AD2314" s="87"/>
      <c r="AE2314" s="87"/>
      <c r="AF2314" s="87"/>
      <c r="AG2314" s="87"/>
      <c r="AH2314" s="87"/>
      <c r="AI2314" s="87"/>
      <c r="AJ2314" s="87"/>
      <c r="AK2314" s="87"/>
      <c r="AL2314" s="87"/>
      <c r="AM2314" s="87"/>
      <c r="AN2314" s="87"/>
      <c r="AO2314" s="87"/>
      <c r="AP2314" s="87"/>
      <c r="AQ2314" s="87"/>
      <c r="AR2314" s="87"/>
      <c r="AS2314" s="87"/>
      <c r="AT2314" s="87"/>
      <c r="AU2314" s="87">
        <v>10</v>
      </c>
      <c r="AV2314" s="87"/>
      <c r="AW2314" s="88" t="str">
        <f>HYPERLINK("http://www.openstreetmap.org/?mlat=34.2614&amp;mlon=43.8754&amp;zoom=12#map=12/34.2614/43.8754","Maplink1")</f>
        <v>Maplink1</v>
      </c>
      <c r="AX2314" s="88" t="str">
        <f>HYPERLINK("https://www.google.iq/maps/search/+34.2614,43.8754/@34.2614,43.8754,14z?hl=en","Maplink2")</f>
        <v>Maplink2</v>
      </c>
      <c r="AY2314" s="88" t="str">
        <f>HYPERLINK("http://www.bing.com/maps/?lvl=14&amp;sty=h&amp;cp=34.2614~43.8754&amp;sp=point.34.2614_43.8754","Maplink3")</f>
        <v>Maplink3</v>
      </c>
      <c r="AZ2314" s="76"/>
    </row>
    <row r="2315" spans="1:52" x14ac:dyDescent="0.25">
      <c r="A2315" s="86">
        <v>22580</v>
      </c>
      <c r="B2315" s="87" t="s">
        <v>26</v>
      </c>
      <c r="C2315" s="87" t="s">
        <v>4422</v>
      </c>
      <c r="D2315" s="87" t="s">
        <v>4447</v>
      </c>
      <c r="E2315" s="87" t="s">
        <v>4448</v>
      </c>
      <c r="F2315" s="87">
        <v>34.204294164700002</v>
      </c>
      <c r="G2315" s="87">
        <v>43.888708502100002</v>
      </c>
      <c r="H2315" s="86">
        <v>83</v>
      </c>
      <c r="I2315" s="86">
        <v>498</v>
      </c>
      <c r="J2315" s="87"/>
      <c r="K2315" s="87"/>
      <c r="L2315" s="87"/>
      <c r="M2315" s="87"/>
      <c r="N2315" s="87"/>
      <c r="O2315" s="87"/>
      <c r="P2315" s="87"/>
      <c r="Q2315" s="87"/>
      <c r="R2315" s="87"/>
      <c r="S2315" s="87"/>
      <c r="T2315" s="87"/>
      <c r="U2315" s="87"/>
      <c r="V2315" s="87"/>
      <c r="W2315" s="87"/>
      <c r="X2315" s="87">
        <v>83</v>
      </c>
      <c r="Y2315" s="87"/>
      <c r="Z2315" s="87"/>
      <c r="AA2315" s="87"/>
      <c r="AB2315" s="87"/>
      <c r="AC2315" s="87"/>
      <c r="AD2315" s="87"/>
      <c r="AE2315" s="87"/>
      <c r="AF2315" s="87"/>
      <c r="AG2315" s="87"/>
      <c r="AH2315" s="87">
        <v>83</v>
      </c>
      <c r="AI2315" s="87"/>
      <c r="AJ2315" s="87"/>
      <c r="AK2315" s="87"/>
      <c r="AL2315" s="87"/>
      <c r="AM2315" s="87"/>
      <c r="AN2315" s="87"/>
      <c r="AO2315" s="87">
        <v>67</v>
      </c>
      <c r="AP2315" s="87">
        <v>16</v>
      </c>
      <c r="AQ2315" s="87"/>
      <c r="AR2315" s="87"/>
      <c r="AS2315" s="87"/>
      <c r="AT2315" s="87"/>
      <c r="AU2315" s="87"/>
      <c r="AV2315" s="87"/>
      <c r="AW2315" s="88" t="str">
        <f>HYPERLINK("http://www.openstreetmap.org/?mlat=34.2043&amp;mlon=43.8887&amp;zoom=12#map=12/34.2043/43.8887","Maplink1")</f>
        <v>Maplink1</v>
      </c>
      <c r="AX2315" s="88" t="str">
        <f>HYPERLINK("https://www.google.iq/maps/search/+34.2043,43.8887/@34.2043,43.8887,14z?hl=en","Maplink2")</f>
        <v>Maplink2</v>
      </c>
      <c r="AY2315" s="88" t="str">
        <f>HYPERLINK("http://www.bing.com/maps/?lvl=14&amp;sty=h&amp;cp=34.2043~43.8887&amp;sp=point.34.2043_43.8887","Maplink3")</f>
        <v>Maplink3</v>
      </c>
      <c r="AZ2315" s="76"/>
    </row>
    <row r="2316" spans="1:52" x14ac:dyDescent="0.25">
      <c r="A2316" s="86">
        <v>22474</v>
      </c>
      <c r="B2316" s="87" t="s">
        <v>26</v>
      </c>
      <c r="C2316" s="87" t="s">
        <v>4422</v>
      </c>
      <c r="D2316" s="87" t="s">
        <v>4449</v>
      </c>
      <c r="E2316" s="87" t="s">
        <v>4450</v>
      </c>
      <c r="F2316" s="87">
        <v>34.193069874300001</v>
      </c>
      <c r="G2316" s="87">
        <v>43.8913850952</v>
      </c>
      <c r="H2316" s="86">
        <v>99</v>
      </c>
      <c r="I2316" s="86">
        <v>594</v>
      </c>
      <c r="J2316" s="87"/>
      <c r="K2316" s="87"/>
      <c r="L2316" s="87"/>
      <c r="M2316" s="87"/>
      <c r="N2316" s="87"/>
      <c r="O2316" s="87"/>
      <c r="P2316" s="87"/>
      <c r="Q2316" s="87"/>
      <c r="R2316" s="87"/>
      <c r="S2316" s="87"/>
      <c r="T2316" s="87"/>
      <c r="U2316" s="87"/>
      <c r="V2316" s="87"/>
      <c r="W2316" s="87"/>
      <c r="X2316" s="87">
        <v>99</v>
      </c>
      <c r="Y2316" s="87"/>
      <c r="Z2316" s="87"/>
      <c r="AA2316" s="87"/>
      <c r="AB2316" s="87"/>
      <c r="AC2316" s="87"/>
      <c r="AD2316" s="87"/>
      <c r="AE2316" s="87"/>
      <c r="AF2316" s="87"/>
      <c r="AG2316" s="87"/>
      <c r="AH2316" s="87">
        <v>7</v>
      </c>
      <c r="AI2316" s="87"/>
      <c r="AJ2316" s="87">
        <v>92</v>
      </c>
      <c r="AK2316" s="87"/>
      <c r="AL2316" s="87"/>
      <c r="AM2316" s="87"/>
      <c r="AN2316" s="87"/>
      <c r="AO2316" s="87">
        <v>31</v>
      </c>
      <c r="AP2316" s="87">
        <v>9</v>
      </c>
      <c r="AQ2316" s="87">
        <v>59</v>
      </c>
      <c r="AR2316" s="87"/>
      <c r="AS2316" s="87"/>
      <c r="AT2316" s="87"/>
      <c r="AU2316" s="87"/>
      <c r="AV2316" s="87"/>
      <c r="AW2316" s="88" t="str">
        <f>HYPERLINK("http://www.openstreetmap.org/?mlat=34.1931&amp;mlon=43.8914&amp;zoom=12#map=12/34.1931/43.8914","Maplink1")</f>
        <v>Maplink1</v>
      </c>
      <c r="AX2316" s="88" t="str">
        <f>HYPERLINK("https://www.google.iq/maps/search/+34.1931,43.8914/@34.1931,43.8914,14z?hl=en","Maplink2")</f>
        <v>Maplink2</v>
      </c>
      <c r="AY2316" s="88" t="str">
        <f>HYPERLINK("http://www.bing.com/maps/?lvl=14&amp;sty=h&amp;cp=34.1931~43.8914&amp;sp=point.34.1931_43.8914","Maplink3")</f>
        <v>Maplink3</v>
      </c>
      <c r="AZ2316" s="76"/>
    </row>
    <row r="2317" spans="1:52" x14ac:dyDescent="0.25">
      <c r="A2317" s="86">
        <v>22584</v>
      </c>
      <c r="B2317" s="87" t="s">
        <v>26</v>
      </c>
      <c r="C2317" s="87" t="s">
        <v>4422</v>
      </c>
      <c r="D2317" s="87" t="s">
        <v>4451</v>
      </c>
      <c r="E2317" s="87" t="s">
        <v>4452</v>
      </c>
      <c r="F2317" s="87">
        <v>34.192828265999999</v>
      </c>
      <c r="G2317" s="87">
        <v>43.8985854015</v>
      </c>
      <c r="H2317" s="86">
        <v>74</v>
      </c>
      <c r="I2317" s="86">
        <v>444</v>
      </c>
      <c r="J2317" s="87"/>
      <c r="K2317" s="87"/>
      <c r="L2317" s="87"/>
      <c r="M2317" s="87"/>
      <c r="N2317" s="87"/>
      <c r="O2317" s="87"/>
      <c r="P2317" s="87"/>
      <c r="Q2317" s="87"/>
      <c r="R2317" s="87"/>
      <c r="S2317" s="87"/>
      <c r="T2317" s="87"/>
      <c r="U2317" s="87"/>
      <c r="V2317" s="87"/>
      <c r="W2317" s="87"/>
      <c r="X2317" s="87">
        <v>74</v>
      </c>
      <c r="Y2317" s="87"/>
      <c r="Z2317" s="87"/>
      <c r="AA2317" s="87"/>
      <c r="AB2317" s="87"/>
      <c r="AC2317" s="87">
        <v>4</v>
      </c>
      <c r="AD2317" s="87"/>
      <c r="AE2317" s="87"/>
      <c r="AF2317" s="87"/>
      <c r="AG2317" s="87"/>
      <c r="AH2317" s="87">
        <v>52</v>
      </c>
      <c r="AI2317" s="87"/>
      <c r="AJ2317" s="87"/>
      <c r="AK2317" s="87">
        <v>18</v>
      </c>
      <c r="AL2317" s="87"/>
      <c r="AM2317" s="87"/>
      <c r="AN2317" s="87"/>
      <c r="AO2317" s="87">
        <v>31</v>
      </c>
      <c r="AP2317" s="87">
        <v>20</v>
      </c>
      <c r="AQ2317" s="87">
        <v>23</v>
      </c>
      <c r="AR2317" s="87"/>
      <c r="AS2317" s="87"/>
      <c r="AT2317" s="87"/>
      <c r="AU2317" s="87"/>
      <c r="AV2317" s="87"/>
      <c r="AW2317" s="88" t="str">
        <f>HYPERLINK("http://www.openstreetmap.org/?mlat=34.1928&amp;mlon=43.8986&amp;zoom=12#map=12/34.1928/43.8986","Maplink1")</f>
        <v>Maplink1</v>
      </c>
      <c r="AX2317" s="88" t="str">
        <f>HYPERLINK("https://www.google.iq/maps/search/+34.1928,43.8986/@34.1928,43.8986,14z?hl=en","Maplink2")</f>
        <v>Maplink2</v>
      </c>
      <c r="AY2317" s="88" t="str">
        <f>HYPERLINK("http://www.bing.com/maps/?lvl=14&amp;sty=h&amp;cp=34.1928~43.8986&amp;sp=point.34.1928_43.8986","Maplink3")</f>
        <v>Maplink3</v>
      </c>
      <c r="AZ2317" s="76"/>
    </row>
    <row r="2318" spans="1:52" x14ac:dyDescent="0.25">
      <c r="A2318" s="86">
        <v>20680</v>
      </c>
      <c r="B2318" s="87" t="s">
        <v>26</v>
      </c>
      <c r="C2318" s="87" t="s">
        <v>4422</v>
      </c>
      <c r="D2318" s="87" t="s">
        <v>4453</v>
      </c>
      <c r="E2318" s="87" t="s">
        <v>4454</v>
      </c>
      <c r="F2318" s="87">
        <v>34.202471268399997</v>
      </c>
      <c r="G2318" s="87">
        <v>43.877328308300001</v>
      </c>
      <c r="H2318" s="86">
        <v>52</v>
      </c>
      <c r="I2318" s="86">
        <v>312</v>
      </c>
      <c r="J2318" s="87"/>
      <c r="K2318" s="87"/>
      <c r="L2318" s="87"/>
      <c r="M2318" s="87"/>
      <c r="N2318" s="87"/>
      <c r="O2318" s="87"/>
      <c r="P2318" s="87"/>
      <c r="Q2318" s="87"/>
      <c r="R2318" s="87"/>
      <c r="S2318" s="87"/>
      <c r="T2318" s="87"/>
      <c r="U2318" s="87"/>
      <c r="V2318" s="87"/>
      <c r="W2318" s="87"/>
      <c r="X2318" s="87">
        <v>52</v>
      </c>
      <c r="Y2318" s="87"/>
      <c r="Z2318" s="87"/>
      <c r="AA2318" s="87"/>
      <c r="AB2318" s="87"/>
      <c r="AC2318" s="87"/>
      <c r="AD2318" s="87"/>
      <c r="AE2318" s="87"/>
      <c r="AF2318" s="87"/>
      <c r="AG2318" s="87"/>
      <c r="AH2318" s="87">
        <v>52</v>
      </c>
      <c r="AI2318" s="87"/>
      <c r="AJ2318" s="87"/>
      <c r="AK2318" s="87"/>
      <c r="AL2318" s="87"/>
      <c r="AM2318" s="87"/>
      <c r="AN2318" s="87"/>
      <c r="AO2318" s="87">
        <v>9</v>
      </c>
      <c r="AP2318" s="87"/>
      <c r="AQ2318" s="87">
        <v>38</v>
      </c>
      <c r="AR2318" s="87">
        <v>5</v>
      </c>
      <c r="AS2318" s="87"/>
      <c r="AT2318" s="87"/>
      <c r="AU2318" s="87"/>
      <c r="AV2318" s="87"/>
      <c r="AW2318" s="88" t="str">
        <f>HYPERLINK("http://www.openstreetmap.org/?mlat=34.2025&amp;mlon=43.8773&amp;zoom=12#map=12/34.2025/43.8773","Maplink1")</f>
        <v>Maplink1</v>
      </c>
      <c r="AX2318" s="88" t="str">
        <f>HYPERLINK("https://www.google.iq/maps/search/+34.2025,43.8773/@34.2025,43.8773,14z?hl=en","Maplink2")</f>
        <v>Maplink2</v>
      </c>
      <c r="AY2318" s="88" t="str">
        <f>HYPERLINK("http://www.bing.com/maps/?lvl=14&amp;sty=h&amp;cp=34.2025~43.8773&amp;sp=point.34.2025_43.8773","Maplink3")</f>
        <v>Maplink3</v>
      </c>
      <c r="AZ2318" s="76"/>
    </row>
    <row r="2319" spans="1:52" x14ac:dyDescent="0.25">
      <c r="A2319" s="86">
        <v>22903</v>
      </c>
      <c r="B2319" s="87" t="s">
        <v>26</v>
      </c>
      <c r="C2319" s="87" t="s">
        <v>4422</v>
      </c>
      <c r="D2319" s="87" t="s">
        <v>4455</v>
      </c>
      <c r="E2319" s="87" t="s">
        <v>4456</v>
      </c>
      <c r="F2319" s="87">
        <v>34.195653805500001</v>
      </c>
      <c r="G2319" s="87">
        <v>43.871750487</v>
      </c>
      <c r="H2319" s="86">
        <v>20</v>
      </c>
      <c r="I2319" s="86">
        <v>120</v>
      </c>
      <c r="J2319" s="87"/>
      <c r="K2319" s="87"/>
      <c r="L2319" s="87"/>
      <c r="M2319" s="87"/>
      <c r="N2319" s="87"/>
      <c r="O2319" s="87"/>
      <c r="P2319" s="87"/>
      <c r="Q2319" s="87"/>
      <c r="R2319" s="87"/>
      <c r="S2319" s="87"/>
      <c r="T2319" s="87"/>
      <c r="U2319" s="87"/>
      <c r="V2319" s="87"/>
      <c r="W2319" s="87"/>
      <c r="X2319" s="87">
        <v>20</v>
      </c>
      <c r="Y2319" s="87"/>
      <c r="Z2319" s="87"/>
      <c r="AA2319" s="87"/>
      <c r="AB2319" s="87"/>
      <c r="AC2319" s="87"/>
      <c r="AD2319" s="87"/>
      <c r="AE2319" s="87"/>
      <c r="AF2319" s="87"/>
      <c r="AG2319" s="87"/>
      <c r="AH2319" s="87">
        <v>2</v>
      </c>
      <c r="AI2319" s="87">
        <v>18</v>
      </c>
      <c r="AJ2319" s="87"/>
      <c r="AK2319" s="87"/>
      <c r="AL2319" s="87"/>
      <c r="AM2319" s="87"/>
      <c r="AN2319" s="87"/>
      <c r="AO2319" s="87"/>
      <c r="AP2319" s="87">
        <v>20</v>
      </c>
      <c r="AQ2319" s="87"/>
      <c r="AR2319" s="87"/>
      <c r="AS2319" s="87"/>
      <c r="AT2319" s="87"/>
      <c r="AU2319" s="87"/>
      <c r="AV2319" s="87"/>
      <c r="AW2319" s="88" t="str">
        <f>HYPERLINK("http://www.openstreetmap.org/?mlat=34.1957&amp;mlon=43.8718&amp;zoom=12#map=12/34.1957/43.8718","Maplink1")</f>
        <v>Maplink1</v>
      </c>
      <c r="AX2319" s="88" t="str">
        <f>HYPERLINK("https://www.google.iq/maps/search/+34.1957,43.8718/@34.1957,43.8718,14z?hl=en","Maplink2")</f>
        <v>Maplink2</v>
      </c>
      <c r="AY2319" s="88" t="str">
        <f>HYPERLINK("http://www.bing.com/maps/?lvl=14&amp;sty=h&amp;cp=34.1957~43.8718&amp;sp=point.34.1957_43.8718","Maplink3")</f>
        <v>Maplink3</v>
      </c>
      <c r="AZ2319" s="76"/>
    </row>
    <row r="2320" spans="1:52" x14ac:dyDescent="0.25">
      <c r="A2320" s="86">
        <v>24122</v>
      </c>
      <c r="B2320" s="87" t="s">
        <v>26</v>
      </c>
      <c r="C2320" s="87" t="s">
        <v>4422</v>
      </c>
      <c r="D2320" s="87" t="s">
        <v>4457</v>
      </c>
      <c r="E2320" s="87" t="s">
        <v>4458</v>
      </c>
      <c r="F2320" s="87">
        <v>34.1965586739</v>
      </c>
      <c r="G2320" s="87">
        <v>43.887816164599997</v>
      </c>
      <c r="H2320" s="86">
        <v>33</v>
      </c>
      <c r="I2320" s="86">
        <v>198</v>
      </c>
      <c r="J2320" s="87"/>
      <c r="K2320" s="87"/>
      <c r="L2320" s="87"/>
      <c r="M2320" s="87"/>
      <c r="N2320" s="87"/>
      <c r="O2320" s="87"/>
      <c r="P2320" s="87"/>
      <c r="Q2320" s="87"/>
      <c r="R2320" s="87"/>
      <c r="S2320" s="87"/>
      <c r="T2320" s="87"/>
      <c r="U2320" s="87"/>
      <c r="V2320" s="87"/>
      <c r="W2320" s="87"/>
      <c r="X2320" s="87">
        <v>33</v>
      </c>
      <c r="Y2320" s="87"/>
      <c r="Z2320" s="87"/>
      <c r="AA2320" s="87"/>
      <c r="AB2320" s="87"/>
      <c r="AC2320" s="87"/>
      <c r="AD2320" s="87"/>
      <c r="AE2320" s="87"/>
      <c r="AF2320" s="87"/>
      <c r="AG2320" s="87"/>
      <c r="AH2320" s="87">
        <v>33</v>
      </c>
      <c r="AI2320" s="87"/>
      <c r="AJ2320" s="87"/>
      <c r="AK2320" s="87"/>
      <c r="AL2320" s="87"/>
      <c r="AM2320" s="87"/>
      <c r="AN2320" s="87"/>
      <c r="AO2320" s="87"/>
      <c r="AP2320" s="87"/>
      <c r="AQ2320" s="87">
        <v>17</v>
      </c>
      <c r="AR2320" s="87">
        <v>16</v>
      </c>
      <c r="AS2320" s="87"/>
      <c r="AT2320" s="87"/>
      <c r="AU2320" s="87"/>
      <c r="AV2320" s="87"/>
      <c r="AW2320" s="88" t="str">
        <f>HYPERLINK("http://www.openstreetmap.org/?mlat=34.1966&amp;mlon=43.8878&amp;zoom=12#map=12/34.1966/43.8878","Maplink1")</f>
        <v>Maplink1</v>
      </c>
      <c r="AX2320" s="88" t="str">
        <f>HYPERLINK("https://www.google.iq/maps/search/+34.1966,43.8878/@34.1966,43.8878,14z?hl=en","Maplink2")</f>
        <v>Maplink2</v>
      </c>
      <c r="AY2320" s="88" t="str">
        <f>HYPERLINK("http://www.bing.com/maps/?lvl=14&amp;sty=h&amp;cp=34.1966~43.8878&amp;sp=point.34.1966_43.8878","Maplink3")</f>
        <v>Maplink3</v>
      </c>
      <c r="AZ2320" s="76"/>
    </row>
    <row r="2321" spans="1:52" x14ac:dyDescent="0.25">
      <c r="A2321" s="86">
        <v>21724</v>
      </c>
      <c r="B2321" s="87" t="s">
        <v>26</v>
      </c>
      <c r="C2321" s="87" t="s">
        <v>4422</v>
      </c>
      <c r="D2321" s="87" t="s">
        <v>4459</v>
      </c>
      <c r="E2321" s="87" t="s">
        <v>4460</v>
      </c>
      <c r="F2321" s="87">
        <v>34.194210148400003</v>
      </c>
      <c r="G2321" s="87">
        <v>43.878243528299997</v>
      </c>
      <c r="H2321" s="86">
        <v>78</v>
      </c>
      <c r="I2321" s="86">
        <v>468</v>
      </c>
      <c r="J2321" s="87"/>
      <c r="K2321" s="87"/>
      <c r="L2321" s="87"/>
      <c r="M2321" s="87"/>
      <c r="N2321" s="87"/>
      <c r="O2321" s="87"/>
      <c r="P2321" s="87"/>
      <c r="Q2321" s="87"/>
      <c r="R2321" s="87"/>
      <c r="S2321" s="87"/>
      <c r="T2321" s="87"/>
      <c r="U2321" s="87"/>
      <c r="V2321" s="87"/>
      <c r="W2321" s="87"/>
      <c r="X2321" s="87">
        <v>78</v>
      </c>
      <c r="Y2321" s="87"/>
      <c r="Z2321" s="87"/>
      <c r="AA2321" s="87"/>
      <c r="AB2321" s="87"/>
      <c r="AC2321" s="87"/>
      <c r="AD2321" s="87"/>
      <c r="AE2321" s="87"/>
      <c r="AF2321" s="87"/>
      <c r="AG2321" s="87"/>
      <c r="AH2321" s="87">
        <v>42</v>
      </c>
      <c r="AI2321" s="87"/>
      <c r="AJ2321" s="87">
        <v>36</v>
      </c>
      <c r="AK2321" s="87"/>
      <c r="AL2321" s="87"/>
      <c r="AM2321" s="87"/>
      <c r="AN2321" s="87"/>
      <c r="AO2321" s="87">
        <v>36</v>
      </c>
      <c r="AP2321" s="87">
        <v>20</v>
      </c>
      <c r="AQ2321" s="87">
        <v>22</v>
      </c>
      <c r="AR2321" s="87"/>
      <c r="AS2321" s="87"/>
      <c r="AT2321" s="87"/>
      <c r="AU2321" s="87"/>
      <c r="AV2321" s="87"/>
      <c r="AW2321" s="88" t="str">
        <f>HYPERLINK("http://www.openstreetmap.org/?mlat=34.1942&amp;mlon=43.8782&amp;zoom=12#map=12/34.1942/43.8782","Maplink1")</f>
        <v>Maplink1</v>
      </c>
      <c r="AX2321" s="88" t="str">
        <f>HYPERLINK("https://www.google.iq/maps/search/+34.1942,43.8782/@34.1942,43.8782,14z?hl=en","Maplink2")</f>
        <v>Maplink2</v>
      </c>
      <c r="AY2321" s="88" t="str">
        <f>HYPERLINK("http://www.bing.com/maps/?lvl=14&amp;sty=h&amp;cp=34.1942~43.8782&amp;sp=point.34.1942_43.8782","Maplink3")</f>
        <v>Maplink3</v>
      </c>
      <c r="AZ2321" s="76"/>
    </row>
    <row r="2322" spans="1:52" x14ac:dyDescent="0.25">
      <c r="A2322" s="86">
        <v>22473</v>
      </c>
      <c r="B2322" s="87" t="s">
        <v>26</v>
      </c>
      <c r="C2322" s="87" t="s">
        <v>4422</v>
      </c>
      <c r="D2322" s="87" t="s">
        <v>4461</v>
      </c>
      <c r="E2322" s="87" t="s">
        <v>4462</v>
      </c>
      <c r="F2322" s="87">
        <v>34.1932340758</v>
      </c>
      <c r="G2322" s="87">
        <v>43.916804725299997</v>
      </c>
      <c r="H2322" s="86">
        <v>366</v>
      </c>
      <c r="I2322" s="86">
        <v>2196</v>
      </c>
      <c r="J2322" s="87"/>
      <c r="K2322" s="87"/>
      <c r="L2322" s="87"/>
      <c r="M2322" s="87"/>
      <c r="N2322" s="87"/>
      <c r="O2322" s="87"/>
      <c r="P2322" s="87"/>
      <c r="Q2322" s="87"/>
      <c r="R2322" s="87"/>
      <c r="S2322" s="87"/>
      <c r="T2322" s="87"/>
      <c r="U2322" s="87"/>
      <c r="V2322" s="87"/>
      <c r="W2322" s="87"/>
      <c r="X2322" s="87">
        <v>366</v>
      </c>
      <c r="Y2322" s="87"/>
      <c r="Z2322" s="87"/>
      <c r="AA2322" s="87"/>
      <c r="AB2322" s="87"/>
      <c r="AC2322" s="87"/>
      <c r="AD2322" s="87"/>
      <c r="AE2322" s="87">
        <v>251</v>
      </c>
      <c r="AF2322" s="87"/>
      <c r="AG2322" s="87"/>
      <c r="AH2322" s="87"/>
      <c r="AI2322" s="87">
        <v>18</v>
      </c>
      <c r="AJ2322" s="87">
        <v>97</v>
      </c>
      <c r="AK2322" s="87"/>
      <c r="AL2322" s="87"/>
      <c r="AM2322" s="87"/>
      <c r="AN2322" s="87"/>
      <c r="AO2322" s="87">
        <v>106</v>
      </c>
      <c r="AP2322" s="87">
        <v>134</v>
      </c>
      <c r="AQ2322" s="87">
        <v>12</v>
      </c>
      <c r="AR2322" s="87">
        <v>57</v>
      </c>
      <c r="AS2322" s="87">
        <v>57</v>
      </c>
      <c r="AT2322" s="87"/>
      <c r="AU2322" s="87"/>
      <c r="AV2322" s="87"/>
      <c r="AW2322" s="88" t="str">
        <f>HYPERLINK("http://www.openstreetmap.org/?mlat=34.1932&amp;mlon=43.9168&amp;zoom=12#map=12/34.1932/43.9168","Maplink1")</f>
        <v>Maplink1</v>
      </c>
      <c r="AX2322" s="88" t="str">
        <f>HYPERLINK("https://www.google.iq/maps/search/+34.1932,43.9168/@34.1932,43.9168,14z?hl=en","Maplink2")</f>
        <v>Maplink2</v>
      </c>
      <c r="AY2322" s="88" t="str">
        <f>HYPERLINK("http://www.bing.com/maps/?lvl=14&amp;sty=h&amp;cp=34.1932~43.9168&amp;sp=point.34.1932_43.9168","Maplink3")</f>
        <v>Maplink3</v>
      </c>
      <c r="AZ2322" s="76"/>
    </row>
    <row r="2323" spans="1:52" x14ac:dyDescent="0.25">
      <c r="A2323" s="86">
        <v>22810</v>
      </c>
      <c r="B2323" s="87" t="s">
        <v>26</v>
      </c>
      <c r="C2323" s="87" t="s">
        <v>4422</v>
      </c>
      <c r="D2323" s="87" t="s">
        <v>4463</v>
      </c>
      <c r="E2323" s="87" t="s">
        <v>4464</v>
      </c>
      <c r="F2323" s="87">
        <v>34.188194791800001</v>
      </c>
      <c r="G2323" s="87">
        <v>43.9047412388</v>
      </c>
      <c r="H2323" s="86">
        <v>43</v>
      </c>
      <c r="I2323" s="86">
        <v>258</v>
      </c>
      <c r="J2323" s="87"/>
      <c r="K2323" s="87"/>
      <c r="L2323" s="87"/>
      <c r="M2323" s="87"/>
      <c r="N2323" s="87"/>
      <c r="O2323" s="87"/>
      <c r="P2323" s="87"/>
      <c r="Q2323" s="87"/>
      <c r="R2323" s="87"/>
      <c r="S2323" s="87"/>
      <c r="T2323" s="87"/>
      <c r="U2323" s="87"/>
      <c r="V2323" s="87"/>
      <c r="W2323" s="87"/>
      <c r="X2323" s="87">
        <v>43</v>
      </c>
      <c r="Y2323" s="87"/>
      <c r="Z2323" s="87"/>
      <c r="AA2323" s="87"/>
      <c r="AB2323" s="87"/>
      <c r="AC2323" s="87">
        <v>4</v>
      </c>
      <c r="AD2323" s="87"/>
      <c r="AE2323" s="87"/>
      <c r="AF2323" s="87"/>
      <c r="AG2323" s="87"/>
      <c r="AH2323" s="87">
        <v>39</v>
      </c>
      <c r="AI2323" s="87"/>
      <c r="AJ2323" s="87"/>
      <c r="AK2323" s="87"/>
      <c r="AL2323" s="87"/>
      <c r="AM2323" s="87"/>
      <c r="AN2323" s="87"/>
      <c r="AO2323" s="87"/>
      <c r="AP2323" s="87">
        <v>18</v>
      </c>
      <c r="AQ2323" s="87">
        <v>25</v>
      </c>
      <c r="AR2323" s="87"/>
      <c r="AS2323" s="87"/>
      <c r="AT2323" s="87"/>
      <c r="AU2323" s="87"/>
      <c r="AV2323" s="87"/>
      <c r="AW2323" s="88" t="str">
        <f>HYPERLINK("http://www.openstreetmap.org/?mlat=34.1882&amp;mlon=43.9047&amp;zoom=12#map=12/34.1882/43.9047","Maplink1")</f>
        <v>Maplink1</v>
      </c>
      <c r="AX2323" s="88" t="str">
        <f>HYPERLINK("https://www.google.iq/maps/search/+34.1882,43.9047/@34.1882,43.9047,14z?hl=en","Maplink2")</f>
        <v>Maplink2</v>
      </c>
      <c r="AY2323" s="88" t="str">
        <f>HYPERLINK("http://www.bing.com/maps/?lvl=14&amp;sty=h&amp;cp=34.1882~43.9047&amp;sp=point.34.1882_43.9047","Maplink3")</f>
        <v>Maplink3</v>
      </c>
      <c r="AZ2323" s="76"/>
    </row>
    <row r="2324" spans="1:52" x14ac:dyDescent="0.25">
      <c r="A2324" s="86">
        <v>21725</v>
      </c>
      <c r="B2324" s="87" t="s">
        <v>26</v>
      </c>
      <c r="C2324" s="87" t="s">
        <v>4422</v>
      </c>
      <c r="D2324" s="87" t="s">
        <v>4465</v>
      </c>
      <c r="E2324" s="87" t="s">
        <v>4466</v>
      </c>
      <c r="F2324" s="87">
        <v>34.186053550799997</v>
      </c>
      <c r="G2324" s="87">
        <v>43.894180878999997</v>
      </c>
      <c r="H2324" s="86">
        <v>267</v>
      </c>
      <c r="I2324" s="86">
        <v>1602</v>
      </c>
      <c r="J2324" s="87"/>
      <c r="K2324" s="87"/>
      <c r="L2324" s="87"/>
      <c r="M2324" s="87"/>
      <c r="N2324" s="87"/>
      <c r="O2324" s="87"/>
      <c r="P2324" s="87"/>
      <c r="Q2324" s="87"/>
      <c r="R2324" s="87"/>
      <c r="S2324" s="87"/>
      <c r="T2324" s="87"/>
      <c r="U2324" s="87"/>
      <c r="V2324" s="87"/>
      <c r="W2324" s="87"/>
      <c r="X2324" s="87">
        <v>267</v>
      </c>
      <c r="Y2324" s="87"/>
      <c r="Z2324" s="87"/>
      <c r="AA2324" s="87"/>
      <c r="AB2324" s="87"/>
      <c r="AC2324" s="87"/>
      <c r="AD2324" s="87"/>
      <c r="AE2324" s="87">
        <v>92</v>
      </c>
      <c r="AF2324" s="87"/>
      <c r="AG2324" s="87"/>
      <c r="AH2324" s="87">
        <v>39</v>
      </c>
      <c r="AI2324" s="87">
        <v>26</v>
      </c>
      <c r="AJ2324" s="87">
        <v>37</v>
      </c>
      <c r="AK2324" s="87">
        <v>73</v>
      </c>
      <c r="AL2324" s="87"/>
      <c r="AM2324" s="87"/>
      <c r="AN2324" s="87">
        <v>7</v>
      </c>
      <c r="AO2324" s="87">
        <v>144</v>
      </c>
      <c r="AP2324" s="87">
        <v>45</v>
      </c>
      <c r="AQ2324" s="87"/>
      <c r="AR2324" s="87">
        <v>71</v>
      </c>
      <c r="AS2324" s="87"/>
      <c r="AT2324" s="87"/>
      <c r="AU2324" s="87"/>
      <c r="AV2324" s="87"/>
      <c r="AW2324" s="88" t="str">
        <f>HYPERLINK("http://www.openstreetmap.org/?mlat=34.1861&amp;mlon=43.8942&amp;zoom=12#map=12/34.1861/43.8942","Maplink1")</f>
        <v>Maplink1</v>
      </c>
      <c r="AX2324" s="88" t="str">
        <f>HYPERLINK("https://www.google.iq/maps/search/+34.1861,43.8942/@34.1861,43.8942,14z?hl=en","Maplink2")</f>
        <v>Maplink2</v>
      </c>
      <c r="AY2324" s="88" t="str">
        <f>HYPERLINK("http://www.bing.com/maps/?lvl=14&amp;sty=h&amp;cp=34.1861~43.8942&amp;sp=point.34.1861_43.8942","Maplink3")</f>
        <v>Maplink3</v>
      </c>
      <c r="AZ2324" s="76"/>
    </row>
    <row r="2325" spans="1:52" x14ac:dyDescent="0.25">
      <c r="A2325" s="86">
        <v>21594</v>
      </c>
      <c r="B2325" s="87" t="s">
        <v>26</v>
      </c>
      <c r="C2325" s="87" t="s">
        <v>4422</v>
      </c>
      <c r="D2325" s="87" t="s">
        <v>4467</v>
      </c>
      <c r="E2325" s="87" t="s">
        <v>4468</v>
      </c>
      <c r="F2325" s="87">
        <v>34.179837741</v>
      </c>
      <c r="G2325" s="87">
        <v>43.855125568799998</v>
      </c>
      <c r="H2325" s="86">
        <v>109</v>
      </c>
      <c r="I2325" s="86">
        <v>654</v>
      </c>
      <c r="J2325" s="87"/>
      <c r="K2325" s="87"/>
      <c r="L2325" s="87"/>
      <c r="M2325" s="87"/>
      <c r="N2325" s="87"/>
      <c r="O2325" s="87"/>
      <c r="P2325" s="87"/>
      <c r="Q2325" s="87"/>
      <c r="R2325" s="87"/>
      <c r="S2325" s="87"/>
      <c r="T2325" s="87"/>
      <c r="U2325" s="87"/>
      <c r="V2325" s="87"/>
      <c r="W2325" s="87"/>
      <c r="X2325" s="87">
        <v>109</v>
      </c>
      <c r="Y2325" s="87"/>
      <c r="Z2325" s="87"/>
      <c r="AA2325" s="87"/>
      <c r="AB2325" s="87"/>
      <c r="AC2325" s="87"/>
      <c r="AD2325" s="87"/>
      <c r="AE2325" s="87"/>
      <c r="AF2325" s="87"/>
      <c r="AG2325" s="87">
        <v>52</v>
      </c>
      <c r="AH2325" s="87">
        <v>53</v>
      </c>
      <c r="AI2325" s="87">
        <v>4</v>
      </c>
      <c r="AJ2325" s="87"/>
      <c r="AK2325" s="87"/>
      <c r="AL2325" s="87"/>
      <c r="AM2325" s="87"/>
      <c r="AN2325" s="87"/>
      <c r="AO2325" s="87"/>
      <c r="AP2325" s="87">
        <v>15</v>
      </c>
      <c r="AQ2325" s="87"/>
      <c r="AR2325" s="87">
        <v>94</v>
      </c>
      <c r="AS2325" s="87"/>
      <c r="AT2325" s="87"/>
      <c r="AU2325" s="87"/>
      <c r="AV2325" s="87"/>
      <c r="AW2325" s="88" t="str">
        <f>HYPERLINK("http://www.openstreetmap.org/?mlat=34.1798&amp;mlon=43.8551&amp;zoom=12#map=12/34.1798/43.8551","Maplink1")</f>
        <v>Maplink1</v>
      </c>
      <c r="AX2325" s="88" t="str">
        <f>HYPERLINK("https://www.google.iq/maps/search/+34.1798,43.8551/@34.1798,43.8551,14z?hl=en","Maplink2")</f>
        <v>Maplink2</v>
      </c>
      <c r="AY2325" s="88" t="str">
        <f>HYPERLINK("http://www.bing.com/maps/?lvl=14&amp;sty=h&amp;cp=34.1798~43.8551&amp;sp=point.34.1798_43.8551","Maplink3")</f>
        <v>Maplink3</v>
      </c>
      <c r="AZ2325" s="76"/>
    </row>
    <row r="2326" spans="1:52" x14ac:dyDescent="0.25">
      <c r="A2326" s="86">
        <v>20569</v>
      </c>
      <c r="B2326" s="87" t="s">
        <v>26</v>
      </c>
      <c r="C2326" s="87" t="s">
        <v>4422</v>
      </c>
      <c r="D2326" s="87" t="s">
        <v>4469</v>
      </c>
      <c r="E2326" s="87" t="s">
        <v>4470</v>
      </c>
      <c r="F2326" s="87">
        <v>34.197738510599997</v>
      </c>
      <c r="G2326" s="87">
        <v>43.907437948499997</v>
      </c>
      <c r="H2326" s="86">
        <v>222</v>
      </c>
      <c r="I2326" s="86">
        <v>1332</v>
      </c>
      <c r="J2326" s="87"/>
      <c r="K2326" s="87"/>
      <c r="L2326" s="87"/>
      <c r="M2326" s="87"/>
      <c r="N2326" s="87"/>
      <c r="O2326" s="87"/>
      <c r="P2326" s="87"/>
      <c r="Q2326" s="87"/>
      <c r="R2326" s="87"/>
      <c r="S2326" s="87"/>
      <c r="T2326" s="87"/>
      <c r="U2326" s="87"/>
      <c r="V2326" s="87"/>
      <c r="W2326" s="87"/>
      <c r="X2326" s="87">
        <v>222</v>
      </c>
      <c r="Y2326" s="87"/>
      <c r="Z2326" s="87"/>
      <c r="AA2326" s="87"/>
      <c r="AB2326" s="87"/>
      <c r="AC2326" s="87"/>
      <c r="AD2326" s="87"/>
      <c r="AE2326" s="87">
        <v>82</v>
      </c>
      <c r="AF2326" s="87"/>
      <c r="AG2326" s="87">
        <v>21</v>
      </c>
      <c r="AH2326" s="87">
        <v>103</v>
      </c>
      <c r="AI2326" s="87">
        <v>16</v>
      </c>
      <c r="AJ2326" s="87"/>
      <c r="AK2326" s="87"/>
      <c r="AL2326" s="87"/>
      <c r="AM2326" s="87"/>
      <c r="AN2326" s="87"/>
      <c r="AO2326" s="87">
        <v>73</v>
      </c>
      <c r="AP2326" s="87">
        <v>33</v>
      </c>
      <c r="AQ2326" s="87"/>
      <c r="AR2326" s="87">
        <v>55</v>
      </c>
      <c r="AS2326" s="87">
        <v>61</v>
      </c>
      <c r="AT2326" s="87"/>
      <c r="AU2326" s="87"/>
      <c r="AV2326" s="87"/>
      <c r="AW2326" s="88" t="str">
        <f>HYPERLINK("http://www.openstreetmap.org/?mlat=34.1977&amp;mlon=43.9074&amp;zoom=12#map=12/34.1977/43.9074","Maplink1")</f>
        <v>Maplink1</v>
      </c>
      <c r="AX2326" s="88" t="str">
        <f>HYPERLINK("https://www.google.iq/maps/search/+34.1977,43.9074/@34.1977,43.9074,14z?hl=en","Maplink2")</f>
        <v>Maplink2</v>
      </c>
      <c r="AY2326" s="88" t="str">
        <f>HYPERLINK("http://www.bing.com/maps/?lvl=14&amp;sty=h&amp;cp=34.1977~43.9074&amp;sp=point.34.1977_43.9074","Maplink3")</f>
        <v>Maplink3</v>
      </c>
      <c r="AZ2326" s="76"/>
    </row>
    <row r="2327" spans="1:52" x14ac:dyDescent="0.25">
      <c r="A2327" s="86">
        <v>23877</v>
      </c>
      <c r="B2327" s="87" t="s">
        <v>26</v>
      </c>
      <c r="C2327" s="87" t="s">
        <v>4422</v>
      </c>
      <c r="D2327" s="87" t="s">
        <v>4471</v>
      </c>
      <c r="E2327" s="87" t="s">
        <v>4472</v>
      </c>
      <c r="F2327" s="87">
        <v>34.188255853999998</v>
      </c>
      <c r="G2327" s="87">
        <v>43.873075665899997</v>
      </c>
      <c r="H2327" s="86">
        <v>90</v>
      </c>
      <c r="I2327" s="86">
        <v>540</v>
      </c>
      <c r="J2327" s="87"/>
      <c r="K2327" s="87"/>
      <c r="L2327" s="87"/>
      <c r="M2327" s="87"/>
      <c r="N2327" s="87"/>
      <c r="O2327" s="87"/>
      <c r="P2327" s="87"/>
      <c r="Q2327" s="87"/>
      <c r="R2327" s="87"/>
      <c r="S2327" s="87"/>
      <c r="T2327" s="87"/>
      <c r="U2327" s="87"/>
      <c r="V2327" s="87"/>
      <c r="W2327" s="87"/>
      <c r="X2327" s="87">
        <v>90</v>
      </c>
      <c r="Y2327" s="87"/>
      <c r="Z2327" s="87"/>
      <c r="AA2327" s="87"/>
      <c r="AB2327" s="87"/>
      <c r="AC2327" s="87"/>
      <c r="AD2327" s="87"/>
      <c r="AE2327" s="87"/>
      <c r="AF2327" s="87"/>
      <c r="AG2327" s="87"/>
      <c r="AH2327" s="87">
        <v>90</v>
      </c>
      <c r="AI2327" s="87"/>
      <c r="AJ2327" s="87"/>
      <c r="AK2327" s="87"/>
      <c r="AL2327" s="87"/>
      <c r="AM2327" s="87"/>
      <c r="AN2327" s="87">
        <v>3</v>
      </c>
      <c r="AO2327" s="87">
        <v>9</v>
      </c>
      <c r="AP2327" s="87">
        <v>10</v>
      </c>
      <c r="AQ2327" s="87">
        <v>45</v>
      </c>
      <c r="AR2327" s="87">
        <v>23</v>
      </c>
      <c r="AS2327" s="87"/>
      <c r="AT2327" s="87"/>
      <c r="AU2327" s="87"/>
      <c r="AV2327" s="87"/>
      <c r="AW2327" s="88" t="str">
        <f>HYPERLINK("http://www.openstreetmap.org/?mlat=34.1883&amp;mlon=43.8731&amp;zoom=12#map=12/34.1883/43.8731","Maplink1")</f>
        <v>Maplink1</v>
      </c>
      <c r="AX2327" s="88" t="str">
        <f>HYPERLINK("https://www.google.iq/maps/search/+34.1883,43.8731/@34.1883,43.8731,14z?hl=en","Maplink2")</f>
        <v>Maplink2</v>
      </c>
      <c r="AY2327" s="88" t="str">
        <f>HYPERLINK("http://www.bing.com/maps/?lvl=14&amp;sty=h&amp;cp=34.1883~43.8731&amp;sp=point.34.1883_43.8731","Maplink3")</f>
        <v>Maplink3</v>
      </c>
      <c r="AZ2327" s="76"/>
    </row>
    <row r="2328" spans="1:52" x14ac:dyDescent="0.25">
      <c r="A2328" s="86">
        <v>25517</v>
      </c>
      <c r="B2328" s="87" t="s">
        <v>26</v>
      </c>
      <c r="C2328" s="87" t="s">
        <v>4422</v>
      </c>
      <c r="D2328" s="87" t="s">
        <v>4473</v>
      </c>
      <c r="E2328" s="87" t="s">
        <v>4474</v>
      </c>
      <c r="F2328" s="87">
        <v>34.194557536399998</v>
      </c>
      <c r="G2328" s="87">
        <v>43.873093770799997</v>
      </c>
      <c r="H2328" s="86">
        <v>20</v>
      </c>
      <c r="I2328" s="86">
        <v>120</v>
      </c>
      <c r="J2328" s="87"/>
      <c r="K2328" s="87"/>
      <c r="L2328" s="87"/>
      <c r="M2328" s="87"/>
      <c r="N2328" s="87"/>
      <c r="O2328" s="87"/>
      <c r="P2328" s="87"/>
      <c r="Q2328" s="87"/>
      <c r="R2328" s="87"/>
      <c r="S2328" s="87"/>
      <c r="T2328" s="87"/>
      <c r="U2328" s="87"/>
      <c r="V2328" s="87"/>
      <c r="W2328" s="87"/>
      <c r="X2328" s="87">
        <v>20</v>
      </c>
      <c r="Y2328" s="87"/>
      <c r="Z2328" s="87"/>
      <c r="AA2328" s="87"/>
      <c r="AB2328" s="87"/>
      <c r="AC2328" s="87"/>
      <c r="AD2328" s="87"/>
      <c r="AE2328" s="87"/>
      <c r="AF2328" s="87"/>
      <c r="AG2328" s="87"/>
      <c r="AH2328" s="87">
        <v>20</v>
      </c>
      <c r="AI2328" s="87"/>
      <c r="AJ2328" s="87"/>
      <c r="AK2328" s="87"/>
      <c r="AL2328" s="87"/>
      <c r="AM2328" s="87"/>
      <c r="AN2328" s="87"/>
      <c r="AO2328" s="87">
        <v>18</v>
      </c>
      <c r="AP2328" s="87"/>
      <c r="AQ2328" s="87">
        <v>2</v>
      </c>
      <c r="AR2328" s="87"/>
      <c r="AS2328" s="87"/>
      <c r="AT2328" s="87"/>
      <c r="AU2328" s="87"/>
      <c r="AV2328" s="87"/>
      <c r="AW2328" s="88" t="str">
        <f>HYPERLINK("http://www.openstreetmap.org/?mlat=34.1946&amp;mlon=43.8731&amp;zoom=12#map=12/34.1946/43.8731","Maplink1")</f>
        <v>Maplink1</v>
      </c>
      <c r="AX2328" s="88" t="str">
        <f>HYPERLINK("https://www.google.iq/maps/search/+34.1946,43.8731/@34.1946,43.8731,14z?hl=en","Maplink2")</f>
        <v>Maplink2</v>
      </c>
      <c r="AY2328" s="88" t="str">
        <f>HYPERLINK("http://www.bing.com/maps/?lvl=14&amp;sty=h&amp;cp=34.1946~43.8731&amp;sp=point.34.1946_43.8731","Maplink3")</f>
        <v>Maplink3</v>
      </c>
      <c r="AZ2328" s="76"/>
    </row>
    <row r="2329" spans="1:52" x14ac:dyDescent="0.25">
      <c r="A2329" s="86">
        <v>23693</v>
      </c>
      <c r="B2329" s="87" t="s">
        <v>26</v>
      </c>
      <c r="C2329" s="87" t="s">
        <v>4422</v>
      </c>
      <c r="D2329" s="87" t="s">
        <v>4475</v>
      </c>
      <c r="E2329" s="87" t="s">
        <v>4476</v>
      </c>
      <c r="F2329" s="87">
        <v>34.209427367899998</v>
      </c>
      <c r="G2329" s="87">
        <v>43.899920219599998</v>
      </c>
      <c r="H2329" s="86">
        <v>48</v>
      </c>
      <c r="I2329" s="86">
        <v>288</v>
      </c>
      <c r="J2329" s="87"/>
      <c r="K2329" s="87"/>
      <c r="L2329" s="87"/>
      <c r="M2329" s="87"/>
      <c r="N2329" s="87"/>
      <c r="O2329" s="87"/>
      <c r="P2329" s="87"/>
      <c r="Q2329" s="87"/>
      <c r="R2329" s="87"/>
      <c r="S2329" s="87"/>
      <c r="T2329" s="87"/>
      <c r="U2329" s="87"/>
      <c r="V2329" s="87"/>
      <c r="W2329" s="87"/>
      <c r="X2329" s="87">
        <v>48</v>
      </c>
      <c r="Y2329" s="87"/>
      <c r="Z2329" s="87"/>
      <c r="AA2329" s="87"/>
      <c r="AB2329" s="87"/>
      <c r="AC2329" s="87"/>
      <c r="AD2329" s="87"/>
      <c r="AE2329" s="87"/>
      <c r="AF2329" s="87"/>
      <c r="AG2329" s="87"/>
      <c r="AH2329" s="87">
        <v>48</v>
      </c>
      <c r="AI2329" s="87"/>
      <c r="AJ2329" s="87"/>
      <c r="AK2329" s="87"/>
      <c r="AL2329" s="87"/>
      <c r="AM2329" s="87"/>
      <c r="AN2329" s="87"/>
      <c r="AO2329" s="87">
        <v>40</v>
      </c>
      <c r="AP2329" s="87"/>
      <c r="AQ2329" s="87">
        <v>8</v>
      </c>
      <c r="AR2329" s="87"/>
      <c r="AS2329" s="87"/>
      <c r="AT2329" s="87"/>
      <c r="AU2329" s="87"/>
      <c r="AV2329" s="87"/>
      <c r="AW2329" s="88" t="str">
        <f>HYPERLINK("http://www.openstreetmap.org/?mlat=34.2094&amp;mlon=43.8999&amp;zoom=12#map=12/34.2094/43.8999","Maplink1")</f>
        <v>Maplink1</v>
      </c>
      <c r="AX2329" s="88" t="str">
        <f>HYPERLINK("https://www.google.iq/maps/search/+34.2094,43.8999/@34.2094,43.8999,14z?hl=en","Maplink2")</f>
        <v>Maplink2</v>
      </c>
      <c r="AY2329" s="88" t="str">
        <f>HYPERLINK("http://www.bing.com/maps/?lvl=14&amp;sty=h&amp;cp=34.2094~43.8999&amp;sp=point.34.2094_43.8999","Maplink3")</f>
        <v>Maplink3</v>
      </c>
      <c r="AZ2329" s="76"/>
    </row>
    <row r="2330" spans="1:52" x14ac:dyDescent="0.25">
      <c r="A2330" s="86">
        <v>21590</v>
      </c>
      <c r="B2330" s="87" t="s">
        <v>26</v>
      </c>
      <c r="C2330" s="87" t="s">
        <v>4422</v>
      </c>
      <c r="D2330" s="87" t="s">
        <v>4477</v>
      </c>
      <c r="E2330" s="87" t="s">
        <v>4478</v>
      </c>
      <c r="F2330" s="87">
        <v>34.204720594000001</v>
      </c>
      <c r="G2330" s="87">
        <v>43.912618970499999</v>
      </c>
      <c r="H2330" s="86">
        <v>263</v>
      </c>
      <c r="I2330" s="86">
        <v>1578</v>
      </c>
      <c r="J2330" s="87"/>
      <c r="K2330" s="87"/>
      <c r="L2330" s="87"/>
      <c r="M2330" s="87"/>
      <c r="N2330" s="87"/>
      <c r="O2330" s="87"/>
      <c r="P2330" s="87"/>
      <c r="Q2330" s="87"/>
      <c r="R2330" s="87"/>
      <c r="S2330" s="87"/>
      <c r="T2330" s="87"/>
      <c r="U2330" s="87"/>
      <c r="V2330" s="87"/>
      <c r="W2330" s="87"/>
      <c r="X2330" s="87">
        <v>263</v>
      </c>
      <c r="Y2330" s="87"/>
      <c r="Z2330" s="87"/>
      <c r="AA2330" s="87"/>
      <c r="AB2330" s="87"/>
      <c r="AC2330" s="87"/>
      <c r="AD2330" s="87"/>
      <c r="AE2330" s="87"/>
      <c r="AF2330" s="87"/>
      <c r="AG2330" s="87"/>
      <c r="AH2330" s="87">
        <v>92</v>
      </c>
      <c r="AI2330" s="87">
        <v>117</v>
      </c>
      <c r="AJ2330" s="87"/>
      <c r="AK2330" s="87">
        <v>54</v>
      </c>
      <c r="AL2330" s="87"/>
      <c r="AM2330" s="87"/>
      <c r="AN2330" s="87"/>
      <c r="AO2330" s="87"/>
      <c r="AP2330" s="87">
        <v>64</v>
      </c>
      <c r="AQ2330" s="87">
        <v>138</v>
      </c>
      <c r="AR2330" s="87">
        <v>61</v>
      </c>
      <c r="AS2330" s="87"/>
      <c r="AT2330" s="87"/>
      <c r="AU2330" s="87"/>
      <c r="AV2330" s="87"/>
      <c r="AW2330" s="88" t="str">
        <f>HYPERLINK("http://www.openstreetmap.org/?mlat=34.2047&amp;mlon=43.9126&amp;zoom=12#map=12/34.2047/43.9126","Maplink1")</f>
        <v>Maplink1</v>
      </c>
      <c r="AX2330" s="88" t="str">
        <f>HYPERLINK("https://www.google.iq/maps/search/+34.2047,43.9126/@34.2047,43.9126,14z?hl=en","Maplink2")</f>
        <v>Maplink2</v>
      </c>
      <c r="AY2330" s="88" t="str">
        <f>HYPERLINK("http://www.bing.com/maps/?lvl=14&amp;sty=h&amp;cp=34.2047~43.9126&amp;sp=point.34.2047_43.9126","Maplink3")</f>
        <v>Maplink3</v>
      </c>
      <c r="AZ2330" s="76"/>
    </row>
    <row r="2331" spans="1:52" x14ac:dyDescent="0.25">
      <c r="A2331" s="86">
        <v>29539</v>
      </c>
      <c r="B2331" s="87" t="s">
        <v>26</v>
      </c>
      <c r="C2331" s="87" t="s">
        <v>4422</v>
      </c>
      <c r="D2331" s="87" t="s">
        <v>4479</v>
      </c>
      <c r="E2331" s="87" t="s">
        <v>4480</v>
      </c>
      <c r="F2331" s="87">
        <v>34.369047176999999</v>
      </c>
      <c r="G2331" s="87">
        <v>43.759199883800001</v>
      </c>
      <c r="H2331" s="86">
        <v>34</v>
      </c>
      <c r="I2331" s="86">
        <v>204</v>
      </c>
      <c r="J2331" s="87"/>
      <c r="K2331" s="87"/>
      <c r="L2331" s="87"/>
      <c r="M2331" s="87"/>
      <c r="N2331" s="87"/>
      <c r="O2331" s="87"/>
      <c r="P2331" s="87"/>
      <c r="Q2331" s="87"/>
      <c r="R2331" s="87"/>
      <c r="S2331" s="87"/>
      <c r="T2331" s="87"/>
      <c r="U2331" s="87"/>
      <c r="V2331" s="87"/>
      <c r="W2331" s="87"/>
      <c r="X2331" s="87">
        <v>34</v>
      </c>
      <c r="Y2331" s="87"/>
      <c r="Z2331" s="87"/>
      <c r="AA2331" s="87"/>
      <c r="AB2331" s="87"/>
      <c r="AC2331" s="87"/>
      <c r="AD2331" s="87"/>
      <c r="AE2331" s="87"/>
      <c r="AF2331" s="87"/>
      <c r="AG2331" s="87"/>
      <c r="AH2331" s="87">
        <v>26</v>
      </c>
      <c r="AI2331" s="87">
        <v>8</v>
      </c>
      <c r="AJ2331" s="87"/>
      <c r="AK2331" s="87"/>
      <c r="AL2331" s="87"/>
      <c r="AM2331" s="87"/>
      <c r="AN2331" s="87"/>
      <c r="AO2331" s="87"/>
      <c r="AP2331" s="87"/>
      <c r="AQ2331" s="87"/>
      <c r="AR2331" s="87">
        <v>34</v>
      </c>
      <c r="AS2331" s="87"/>
      <c r="AT2331" s="87"/>
      <c r="AU2331" s="87"/>
      <c r="AV2331" s="87"/>
      <c r="AW2331" s="88" t="str">
        <f>HYPERLINK("http://www.openstreetmap.org/?mlat=34.369&amp;mlon=43.7592&amp;zoom=12#map=12/34.369/43.7592","Maplink1")</f>
        <v>Maplink1</v>
      </c>
      <c r="AX2331" s="88" t="str">
        <f>HYPERLINK("https://www.google.iq/maps/search/+34.369,43.7592/@34.369,43.7592,14z?hl=en","Maplink2")</f>
        <v>Maplink2</v>
      </c>
      <c r="AY2331" s="88" t="str">
        <f>HYPERLINK("http://www.bing.com/maps/?lvl=14&amp;sty=h&amp;cp=34.369~43.7592&amp;sp=point.34.369_43.7592","Maplink3")</f>
        <v>Maplink3</v>
      </c>
      <c r="AZ2331" s="76"/>
    </row>
    <row r="2332" spans="1:52" x14ac:dyDescent="0.25">
      <c r="A2332" s="86">
        <v>23145</v>
      </c>
      <c r="B2332" s="87" t="s">
        <v>26</v>
      </c>
      <c r="C2332" s="87" t="s">
        <v>4481</v>
      </c>
      <c r="D2332" s="87" t="s">
        <v>4482</v>
      </c>
      <c r="E2332" s="87" t="s">
        <v>4483</v>
      </c>
      <c r="F2332" s="87">
        <v>34.7201651082</v>
      </c>
      <c r="G2332" s="87">
        <v>43.698963032899997</v>
      </c>
      <c r="H2332" s="86">
        <v>43</v>
      </c>
      <c r="I2332" s="86">
        <v>258</v>
      </c>
      <c r="J2332" s="87"/>
      <c r="K2332" s="87"/>
      <c r="L2332" s="87"/>
      <c r="M2332" s="87"/>
      <c r="N2332" s="87"/>
      <c r="O2332" s="87"/>
      <c r="P2332" s="87"/>
      <c r="Q2332" s="87"/>
      <c r="R2332" s="87">
        <v>26</v>
      </c>
      <c r="S2332" s="87"/>
      <c r="T2332" s="87"/>
      <c r="U2332" s="87"/>
      <c r="V2332" s="87"/>
      <c r="W2332" s="87"/>
      <c r="X2332" s="87">
        <v>17</v>
      </c>
      <c r="Y2332" s="87"/>
      <c r="Z2332" s="87"/>
      <c r="AA2332" s="87"/>
      <c r="AB2332" s="87"/>
      <c r="AC2332" s="87"/>
      <c r="AD2332" s="87"/>
      <c r="AE2332" s="87"/>
      <c r="AF2332" s="87"/>
      <c r="AG2332" s="87"/>
      <c r="AH2332" s="87">
        <v>22</v>
      </c>
      <c r="AI2332" s="87">
        <v>21</v>
      </c>
      <c r="AJ2332" s="87"/>
      <c r="AK2332" s="87"/>
      <c r="AL2332" s="87"/>
      <c r="AM2332" s="87"/>
      <c r="AN2332" s="87"/>
      <c r="AO2332" s="87"/>
      <c r="AP2332" s="87"/>
      <c r="AQ2332" s="87"/>
      <c r="AR2332" s="87">
        <v>26</v>
      </c>
      <c r="AS2332" s="87">
        <v>17</v>
      </c>
      <c r="AT2332" s="87"/>
      <c r="AU2332" s="87"/>
      <c r="AV2332" s="87"/>
      <c r="AW2332" s="88" t="str">
        <f>HYPERLINK("http://www.openstreetmap.org/?mlat=34.7202&amp;mlon=43.699&amp;zoom=12#map=12/34.7202/43.699","Maplink1")</f>
        <v>Maplink1</v>
      </c>
      <c r="AX2332" s="88" t="str">
        <f>HYPERLINK("https://www.google.iq/maps/search/+34.7202,43.699/@34.7202,43.699,14z?hl=en","Maplink2")</f>
        <v>Maplink2</v>
      </c>
      <c r="AY2332" s="88" t="str">
        <f>HYPERLINK("http://www.bing.com/maps/?lvl=14&amp;sty=h&amp;cp=34.7202~43.699&amp;sp=point.34.7202_43.699","Maplink3")</f>
        <v>Maplink3</v>
      </c>
      <c r="AZ2332" s="76"/>
    </row>
    <row r="2333" spans="1:52" x14ac:dyDescent="0.25">
      <c r="A2333" s="86">
        <v>20594</v>
      </c>
      <c r="B2333" s="87" t="s">
        <v>26</v>
      </c>
      <c r="C2333" s="87" t="s">
        <v>4481</v>
      </c>
      <c r="D2333" s="87" t="s">
        <v>4484</v>
      </c>
      <c r="E2333" s="87" t="s">
        <v>4485</v>
      </c>
      <c r="F2333" s="87">
        <v>34.571927917099998</v>
      </c>
      <c r="G2333" s="87">
        <v>43.691881955900001</v>
      </c>
      <c r="H2333" s="86">
        <v>30</v>
      </c>
      <c r="I2333" s="86">
        <v>180</v>
      </c>
      <c r="J2333" s="87"/>
      <c r="K2333" s="87"/>
      <c r="L2333" s="87"/>
      <c r="M2333" s="87"/>
      <c r="N2333" s="87"/>
      <c r="O2333" s="87"/>
      <c r="P2333" s="87"/>
      <c r="Q2333" s="87"/>
      <c r="R2333" s="87">
        <v>5</v>
      </c>
      <c r="S2333" s="87"/>
      <c r="T2333" s="87"/>
      <c r="U2333" s="87"/>
      <c r="V2333" s="87"/>
      <c r="W2333" s="87"/>
      <c r="X2333" s="87">
        <v>25</v>
      </c>
      <c r="Y2333" s="87"/>
      <c r="Z2333" s="87"/>
      <c r="AA2333" s="87"/>
      <c r="AB2333" s="87"/>
      <c r="AC2333" s="87"/>
      <c r="AD2333" s="87"/>
      <c r="AE2333" s="87"/>
      <c r="AF2333" s="87"/>
      <c r="AG2333" s="87"/>
      <c r="AH2333" s="87"/>
      <c r="AI2333" s="87"/>
      <c r="AJ2333" s="87"/>
      <c r="AK2333" s="87">
        <v>30</v>
      </c>
      <c r="AL2333" s="87"/>
      <c r="AM2333" s="87"/>
      <c r="AN2333" s="87"/>
      <c r="AO2333" s="87"/>
      <c r="AP2333" s="87"/>
      <c r="AQ2333" s="87">
        <v>15</v>
      </c>
      <c r="AR2333" s="87">
        <v>10</v>
      </c>
      <c r="AS2333" s="87">
        <v>5</v>
      </c>
      <c r="AT2333" s="87"/>
      <c r="AU2333" s="87"/>
      <c r="AV2333" s="87"/>
      <c r="AW2333" s="88" t="str">
        <f>HYPERLINK("http://www.openstreetmap.org/?mlat=34.5719&amp;mlon=43.6919&amp;zoom=12#map=12/34.5719/43.6919","Maplink1")</f>
        <v>Maplink1</v>
      </c>
      <c r="AX2333" s="88" t="str">
        <f>HYPERLINK("https://www.google.iq/maps/search/+34.5719,43.6919/@34.5719,43.6919,14z?hl=en","Maplink2")</f>
        <v>Maplink2</v>
      </c>
      <c r="AY2333" s="88" t="str">
        <f>HYPERLINK("http://www.bing.com/maps/?lvl=14&amp;sty=h&amp;cp=34.5719~43.6919&amp;sp=point.34.5719_43.6919","Maplink3")</f>
        <v>Maplink3</v>
      </c>
      <c r="AZ2333" s="76"/>
    </row>
    <row r="2334" spans="1:52" x14ac:dyDescent="0.25">
      <c r="A2334" s="86">
        <v>22331</v>
      </c>
      <c r="B2334" s="87" t="s">
        <v>26</v>
      </c>
      <c r="C2334" s="87" t="s">
        <v>4481</v>
      </c>
      <c r="D2334" s="87" t="s">
        <v>4486</v>
      </c>
      <c r="E2334" s="87" t="s">
        <v>4487</v>
      </c>
      <c r="F2334" s="87">
        <v>34.611242688300003</v>
      </c>
      <c r="G2334" s="87">
        <v>43.674090290400002</v>
      </c>
      <c r="H2334" s="86">
        <v>25</v>
      </c>
      <c r="I2334" s="86">
        <v>150</v>
      </c>
      <c r="J2334" s="87"/>
      <c r="K2334" s="87"/>
      <c r="L2334" s="87"/>
      <c r="M2334" s="87"/>
      <c r="N2334" s="87"/>
      <c r="O2334" s="87"/>
      <c r="P2334" s="87"/>
      <c r="Q2334" s="87"/>
      <c r="R2334" s="87"/>
      <c r="S2334" s="87"/>
      <c r="T2334" s="87"/>
      <c r="U2334" s="87"/>
      <c r="V2334" s="87"/>
      <c r="W2334" s="87"/>
      <c r="X2334" s="87">
        <v>25</v>
      </c>
      <c r="Y2334" s="87"/>
      <c r="Z2334" s="87"/>
      <c r="AA2334" s="87"/>
      <c r="AB2334" s="87"/>
      <c r="AC2334" s="87"/>
      <c r="AD2334" s="87"/>
      <c r="AE2334" s="87"/>
      <c r="AF2334" s="87"/>
      <c r="AG2334" s="87"/>
      <c r="AH2334" s="87">
        <v>25</v>
      </c>
      <c r="AI2334" s="87"/>
      <c r="AJ2334" s="87"/>
      <c r="AK2334" s="87"/>
      <c r="AL2334" s="87"/>
      <c r="AM2334" s="87"/>
      <c r="AN2334" s="87"/>
      <c r="AO2334" s="87"/>
      <c r="AP2334" s="87"/>
      <c r="AQ2334" s="87"/>
      <c r="AR2334" s="87">
        <v>25</v>
      </c>
      <c r="AS2334" s="87"/>
      <c r="AT2334" s="87"/>
      <c r="AU2334" s="87"/>
      <c r="AV2334" s="87"/>
      <c r="AW2334" s="88" t="str">
        <f>HYPERLINK("http://www.openstreetmap.org/?mlat=34.6112&amp;mlon=43.6741&amp;zoom=12#map=12/34.6112/43.6741","Maplink1")</f>
        <v>Maplink1</v>
      </c>
      <c r="AX2334" s="88" t="str">
        <f>HYPERLINK("https://www.google.iq/maps/search/+34.6112,43.6741/@34.6112,43.6741,14z?hl=en","Maplink2")</f>
        <v>Maplink2</v>
      </c>
      <c r="AY2334" s="88" t="str">
        <f>HYPERLINK("http://www.bing.com/maps/?lvl=14&amp;sty=h&amp;cp=34.6112~43.6741&amp;sp=point.34.6112_43.6741","Maplink3")</f>
        <v>Maplink3</v>
      </c>
      <c r="AZ2334" s="76"/>
    </row>
    <row r="2335" spans="1:52" x14ac:dyDescent="0.25">
      <c r="A2335" s="86">
        <v>25949</v>
      </c>
      <c r="B2335" s="87" t="s">
        <v>26</v>
      </c>
      <c r="C2335" s="87" t="s">
        <v>4481</v>
      </c>
      <c r="D2335" s="87" t="s">
        <v>4488</v>
      </c>
      <c r="E2335" s="87" t="s">
        <v>4489</v>
      </c>
      <c r="F2335" s="87">
        <v>34.892082314</v>
      </c>
      <c r="G2335" s="87">
        <v>43.548816891800001</v>
      </c>
      <c r="H2335" s="86">
        <v>8</v>
      </c>
      <c r="I2335" s="86">
        <v>48</v>
      </c>
      <c r="J2335" s="87"/>
      <c r="K2335" s="87"/>
      <c r="L2335" s="87"/>
      <c r="M2335" s="87"/>
      <c r="N2335" s="87"/>
      <c r="O2335" s="87"/>
      <c r="P2335" s="87"/>
      <c r="Q2335" s="87"/>
      <c r="R2335" s="87">
        <v>8</v>
      </c>
      <c r="S2335" s="87"/>
      <c r="T2335" s="87"/>
      <c r="U2335" s="87"/>
      <c r="V2335" s="87"/>
      <c r="W2335" s="87"/>
      <c r="X2335" s="87"/>
      <c r="Y2335" s="87"/>
      <c r="Z2335" s="87"/>
      <c r="AA2335" s="87"/>
      <c r="AB2335" s="87"/>
      <c r="AC2335" s="87">
        <v>2</v>
      </c>
      <c r="AD2335" s="87"/>
      <c r="AE2335" s="87">
        <v>2</v>
      </c>
      <c r="AF2335" s="87"/>
      <c r="AG2335" s="87"/>
      <c r="AH2335" s="87"/>
      <c r="AI2335" s="87"/>
      <c r="AJ2335" s="87"/>
      <c r="AK2335" s="87">
        <v>4</v>
      </c>
      <c r="AL2335" s="87"/>
      <c r="AM2335" s="87"/>
      <c r="AN2335" s="87"/>
      <c r="AO2335" s="87"/>
      <c r="AP2335" s="87"/>
      <c r="AQ2335" s="87"/>
      <c r="AR2335" s="87"/>
      <c r="AS2335" s="87">
        <v>8</v>
      </c>
      <c r="AT2335" s="87"/>
      <c r="AU2335" s="87"/>
      <c r="AV2335" s="87"/>
      <c r="AW2335" s="88" t="str">
        <f>HYPERLINK("http://www.openstreetmap.org/?mlat=34.8921&amp;mlon=43.5488&amp;zoom=12#map=12/34.8921/43.5488","Maplink1")</f>
        <v>Maplink1</v>
      </c>
      <c r="AX2335" s="88" t="str">
        <f>HYPERLINK("https://www.google.iq/maps/search/+34.8921,43.5488/@34.8921,43.5488,14z?hl=en","Maplink2")</f>
        <v>Maplink2</v>
      </c>
      <c r="AY2335" s="88" t="str">
        <f>HYPERLINK("http://www.bing.com/maps/?lvl=14&amp;sty=h&amp;cp=34.8921~43.5488&amp;sp=point.34.8921_43.5488","Maplink3")</f>
        <v>Maplink3</v>
      </c>
      <c r="AZ2335" s="76"/>
    </row>
    <row r="2336" spans="1:52" x14ac:dyDescent="0.25">
      <c r="A2336" s="86">
        <v>25569</v>
      </c>
      <c r="B2336" s="87" t="s">
        <v>26</v>
      </c>
      <c r="C2336" s="87" t="s">
        <v>4481</v>
      </c>
      <c r="D2336" s="87" t="s">
        <v>4490</v>
      </c>
      <c r="E2336" s="87" t="s">
        <v>4491</v>
      </c>
      <c r="F2336" s="87">
        <v>34.704490884000002</v>
      </c>
      <c r="G2336" s="87">
        <v>43.679389426999997</v>
      </c>
      <c r="H2336" s="86">
        <v>28</v>
      </c>
      <c r="I2336" s="86">
        <v>168</v>
      </c>
      <c r="J2336" s="87"/>
      <c r="K2336" s="87"/>
      <c r="L2336" s="87"/>
      <c r="M2336" s="87"/>
      <c r="N2336" s="87"/>
      <c r="O2336" s="87"/>
      <c r="P2336" s="87"/>
      <c r="Q2336" s="87"/>
      <c r="R2336" s="87">
        <v>6</v>
      </c>
      <c r="S2336" s="87"/>
      <c r="T2336" s="87"/>
      <c r="U2336" s="87"/>
      <c r="V2336" s="87"/>
      <c r="W2336" s="87"/>
      <c r="X2336" s="87">
        <v>22</v>
      </c>
      <c r="Y2336" s="87"/>
      <c r="Z2336" s="87"/>
      <c r="AA2336" s="87"/>
      <c r="AB2336" s="87"/>
      <c r="AC2336" s="87">
        <v>20</v>
      </c>
      <c r="AD2336" s="87"/>
      <c r="AE2336" s="87">
        <v>8</v>
      </c>
      <c r="AF2336" s="87"/>
      <c r="AG2336" s="87"/>
      <c r="AH2336" s="87"/>
      <c r="AI2336" s="87"/>
      <c r="AJ2336" s="87"/>
      <c r="AK2336" s="87"/>
      <c r="AL2336" s="87"/>
      <c r="AM2336" s="87"/>
      <c r="AN2336" s="87"/>
      <c r="AO2336" s="87"/>
      <c r="AP2336" s="87"/>
      <c r="AQ2336" s="87"/>
      <c r="AR2336" s="87">
        <v>6</v>
      </c>
      <c r="AS2336" s="87">
        <v>18</v>
      </c>
      <c r="AT2336" s="87">
        <v>4</v>
      </c>
      <c r="AU2336" s="87"/>
      <c r="AV2336" s="87"/>
      <c r="AW2336" s="88" t="str">
        <f>HYPERLINK("http://www.openstreetmap.org/?mlat=34.7045&amp;mlon=43.6794&amp;zoom=12#map=12/34.7045/43.6794","Maplink1")</f>
        <v>Maplink1</v>
      </c>
      <c r="AX2336" s="88" t="str">
        <f>HYPERLINK("https://www.google.iq/maps/search/+34.7045,43.6794/@34.7045,43.6794,14z?hl=en","Maplink2")</f>
        <v>Maplink2</v>
      </c>
      <c r="AY2336" s="88" t="str">
        <f>HYPERLINK("http://www.bing.com/maps/?lvl=14&amp;sty=h&amp;cp=34.7045~43.6794&amp;sp=point.34.7045_43.6794","Maplink3")</f>
        <v>Maplink3</v>
      </c>
      <c r="AZ2336" s="76"/>
    </row>
    <row r="2337" spans="1:52" x14ac:dyDescent="0.25">
      <c r="A2337" s="86">
        <v>20642</v>
      </c>
      <c r="B2337" s="87" t="s">
        <v>26</v>
      </c>
      <c r="C2337" s="87" t="s">
        <v>4481</v>
      </c>
      <c r="D2337" s="87" t="s">
        <v>4492</v>
      </c>
      <c r="E2337" s="87" t="s">
        <v>3837</v>
      </c>
      <c r="F2337" s="87">
        <v>34.691261144599999</v>
      </c>
      <c r="G2337" s="87">
        <v>43.6255140504</v>
      </c>
      <c r="H2337" s="86">
        <v>15</v>
      </c>
      <c r="I2337" s="86">
        <v>90</v>
      </c>
      <c r="J2337" s="87"/>
      <c r="K2337" s="87"/>
      <c r="L2337" s="87"/>
      <c r="M2337" s="87"/>
      <c r="N2337" s="87"/>
      <c r="O2337" s="87"/>
      <c r="P2337" s="87"/>
      <c r="Q2337" s="87"/>
      <c r="R2337" s="87"/>
      <c r="S2337" s="87"/>
      <c r="T2337" s="87"/>
      <c r="U2337" s="87"/>
      <c r="V2337" s="87"/>
      <c r="W2337" s="87"/>
      <c r="X2337" s="87">
        <v>15</v>
      </c>
      <c r="Y2337" s="87"/>
      <c r="Z2337" s="87"/>
      <c r="AA2337" s="87"/>
      <c r="AB2337" s="87"/>
      <c r="AC2337" s="87"/>
      <c r="AD2337" s="87"/>
      <c r="AE2337" s="87"/>
      <c r="AF2337" s="87"/>
      <c r="AG2337" s="87"/>
      <c r="AH2337" s="87">
        <v>13</v>
      </c>
      <c r="AI2337" s="87"/>
      <c r="AJ2337" s="87"/>
      <c r="AK2337" s="87">
        <v>2</v>
      </c>
      <c r="AL2337" s="87"/>
      <c r="AM2337" s="87"/>
      <c r="AN2337" s="87"/>
      <c r="AO2337" s="87"/>
      <c r="AP2337" s="87"/>
      <c r="AQ2337" s="87"/>
      <c r="AR2337" s="87">
        <v>15</v>
      </c>
      <c r="AS2337" s="87"/>
      <c r="AT2337" s="87"/>
      <c r="AU2337" s="87"/>
      <c r="AV2337" s="87"/>
      <c r="AW2337" s="88" t="str">
        <f>HYPERLINK("http://www.openstreetmap.org/?mlat=34.6913&amp;mlon=43.6255&amp;zoom=12#map=12/34.6913/43.6255","Maplink1")</f>
        <v>Maplink1</v>
      </c>
      <c r="AX2337" s="88" t="str">
        <f>HYPERLINK("https://www.google.iq/maps/search/+34.6913,43.6255/@34.6913,43.6255,14z?hl=en","Maplink2")</f>
        <v>Maplink2</v>
      </c>
      <c r="AY2337" s="88" t="str">
        <f>HYPERLINK("http://www.bing.com/maps/?lvl=14&amp;sty=h&amp;cp=34.6913~43.6255&amp;sp=point.34.6913_43.6255","Maplink3")</f>
        <v>Maplink3</v>
      </c>
      <c r="AZ2337" s="76"/>
    </row>
    <row r="2338" spans="1:52" x14ac:dyDescent="0.25">
      <c r="A2338" s="86">
        <v>24212</v>
      </c>
      <c r="B2338" s="87" t="s">
        <v>26</v>
      </c>
      <c r="C2338" s="87" t="s">
        <v>4481</v>
      </c>
      <c r="D2338" s="87" t="s">
        <v>4493</v>
      </c>
      <c r="E2338" s="87" t="s">
        <v>4494</v>
      </c>
      <c r="F2338" s="87">
        <v>34.768544997200003</v>
      </c>
      <c r="G2338" s="87">
        <v>43.650857049499997</v>
      </c>
      <c r="H2338" s="86">
        <v>48</v>
      </c>
      <c r="I2338" s="86">
        <v>288</v>
      </c>
      <c r="J2338" s="87"/>
      <c r="K2338" s="87"/>
      <c r="L2338" s="87"/>
      <c r="M2338" s="87"/>
      <c r="N2338" s="87"/>
      <c r="O2338" s="87"/>
      <c r="P2338" s="87"/>
      <c r="Q2338" s="87"/>
      <c r="R2338" s="87">
        <v>12</v>
      </c>
      <c r="S2338" s="87"/>
      <c r="T2338" s="87"/>
      <c r="U2338" s="87"/>
      <c r="V2338" s="87"/>
      <c r="W2338" s="87"/>
      <c r="X2338" s="87">
        <v>36</v>
      </c>
      <c r="Y2338" s="87"/>
      <c r="Z2338" s="87"/>
      <c r="AA2338" s="87"/>
      <c r="AB2338" s="87"/>
      <c r="AC2338" s="87">
        <v>21</v>
      </c>
      <c r="AD2338" s="87"/>
      <c r="AE2338" s="87">
        <v>10</v>
      </c>
      <c r="AF2338" s="87"/>
      <c r="AG2338" s="87"/>
      <c r="AH2338" s="87"/>
      <c r="AI2338" s="87"/>
      <c r="AJ2338" s="87"/>
      <c r="AK2338" s="87">
        <v>17</v>
      </c>
      <c r="AL2338" s="87"/>
      <c r="AM2338" s="87"/>
      <c r="AN2338" s="87"/>
      <c r="AO2338" s="87"/>
      <c r="AP2338" s="87"/>
      <c r="AQ2338" s="87">
        <v>36</v>
      </c>
      <c r="AR2338" s="87">
        <v>12</v>
      </c>
      <c r="AS2338" s="87"/>
      <c r="AT2338" s="87"/>
      <c r="AU2338" s="87"/>
      <c r="AV2338" s="87"/>
      <c r="AW2338" s="88" t="str">
        <f>HYPERLINK("http://www.openstreetmap.org/?mlat=34.7685&amp;mlon=43.6509&amp;zoom=12#map=12/34.7685/43.6509","Maplink1")</f>
        <v>Maplink1</v>
      </c>
      <c r="AX2338" s="88" t="str">
        <f>HYPERLINK("https://www.google.iq/maps/search/+34.7685,43.6509/@34.7685,43.6509,14z?hl=en","Maplink2")</f>
        <v>Maplink2</v>
      </c>
      <c r="AY2338" s="88" t="str">
        <f>HYPERLINK("http://www.bing.com/maps/?lvl=14&amp;sty=h&amp;cp=34.7685~43.6509&amp;sp=point.34.7685_43.6509","Maplink3")</f>
        <v>Maplink3</v>
      </c>
      <c r="AZ2338" s="76"/>
    </row>
    <row r="2339" spans="1:52" x14ac:dyDescent="0.25">
      <c r="A2339" s="86">
        <v>26034</v>
      </c>
      <c r="B2339" s="87" t="s">
        <v>26</v>
      </c>
      <c r="C2339" s="87" t="s">
        <v>4481</v>
      </c>
      <c r="D2339" s="87" t="s">
        <v>4495</v>
      </c>
      <c r="E2339" s="87" t="s">
        <v>4496</v>
      </c>
      <c r="F2339" s="87">
        <v>34.728513491100003</v>
      </c>
      <c r="G2339" s="87">
        <v>43.640654314700001</v>
      </c>
      <c r="H2339" s="86">
        <v>24</v>
      </c>
      <c r="I2339" s="86">
        <v>144</v>
      </c>
      <c r="J2339" s="87"/>
      <c r="K2339" s="87"/>
      <c r="L2339" s="87"/>
      <c r="M2339" s="87"/>
      <c r="N2339" s="87"/>
      <c r="O2339" s="87"/>
      <c r="P2339" s="87"/>
      <c r="Q2339" s="87"/>
      <c r="R2339" s="87">
        <v>1</v>
      </c>
      <c r="S2339" s="87"/>
      <c r="T2339" s="87"/>
      <c r="U2339" s="87"/>
      <c r="V2339" s="87"/>
      <c r="W2339" s="87"/>
      <c r="X2339" s="87">
        <v>23</v>
      </c>
      <c r="Y2339" s="87"/>
      <c r="Z2339" s="87"/>
      <c r="AA2339" s="87"/>
      <c r="AB2339" s="87"/>
      <c r="AC2339" s="87"/>
      <c r="AD2339" s="87"/>
      <c r="AE2339" s="87"/>
      <c r="AF2339" s="87"/>
      <c r="AG2339" s="87"/>
      <c r="AH2339" s="87">
        <v>3</v>
      </c>
      <c r="AI2339" s="87"/>
      <c r="AJ2339" s="87"/>
      <c r="AK2339" s="87">
        <v>21</v>
      </c>
      <c r="AL2339" s="87"/>
      <c r="AM2339" s="87"/>
      <c r="AN2339" s="87"/>
      <c r="AO2339" s="87"/>
      <c r="AP2339" s="87"/>
      <c r="AQ2339" s="87"/>
      <c r="AR2339" s="87">
        <v>24</v>
      </c>
      <c r="AS2339" s="87"/>
      <c r="AT2339" s="87"/>
      <c r="AU2339" s="87"/>
      <c r="AV2339" s="87"/>
      <c r="AW2339" s="88" t="str">
        <f>HYPERLINK("http://www.openstreetmap.org/?mlat=34.7285&amp;mlon=43.6407&amp;zoom=12#map=12/34.7285/43.6407","Maplink1")</f>
        <v>Maplink1</v>
      </c>
      <c r="AX2339" s="88" t="str">
        <f>HYPERLINK("https://www.google.iq/maps/search/+34.7285,43.6407/@34.7285,43.6407,14z?hl=en","Maplink2")</f>
        <v>Maplink2</v>
      </c>
      <c r="AY2339" s="88" t="str">
        <f>HYPERLINK("http://www.bing.com/maps/?lvl=14&amp;sty=h&amp;cp=34.7285~43.6407&amp;sp=point.34.7285_43.6407","Maplink3")</f>
        <v>Maplink3</v>
      </c>
      <c r="AZ2339" s="76"/>
    </row>
    <row r="2340" spans="1:52" x14ac:dyDescent="0.25">
      <c r="A2340" s="86">
        <v>24211</v>
      </c>
      <c r="B2340" s="87" t="s">
        <v>26</v>
      </c>
      <c r="C2340" s="87" t="s">
        <v>4481</v>
      </c>
      <c r="D2340" s="87" t="s">
        <v>4497</v>
      </c>
      <c r="E2340" s="87" t="s">
        <v>4498</v>
      </c>
      <c r="F2340" s="87">
        <v>34.662637820100002</v>
      </c>
      <c r="G2340" s="87">
        <v>43.920811408799999</v>
      </c>
      <c r="H2340" s="86">
        <v>95</v>
      </c>
      <c r="I2340" s="86">
        <v>570</v>
      </c>
      <c r="J2340" s="87"/>
      <c r="K2340" s="87"/>
      <c r="L2340" s="87"/>
      <c r="M2340" s="87"/>
      <c r="N2340" s="87"/>
      <c r="O2340" s="87"/>
      <c r="P2340" s="87"/>
      <c r="Q2340" s="87"/>
      <c r="R2340" s="87">
        <v>50</v>
      </c>
      <c r="S2340" s="87"/>
      <c r="T2340" s="87"/>
      <c r="U2340" s="87"/>
      <c r="V2340" s="87"/>
      <c r="W2340" s="87"/>
      <c r="X2340" s="87">
        <v>45</v>
      </c>
      <c r="Y2340" s="87"/>
      <c r="Z2340" s="87"/>
      <c r="AA2340" s="87"/>
      <c r="AB2340" s="87"/>
      <c r="AC2340" s="87">
        <v>73</v>
      </c>
      <c r="AD2340" s="87"/>
      <c r="AE2340" s="87">
        <v>22</v>
      </c>
      <c r="AF2340" s="87"/>
      <c r="AG2340" s="87"/>
      <c r="AH2340" s="87"/>
      <c r="AI2340" s="87"/>
      <c r="AJ2340" s="87"/>
      <c r="AK2340" s="87"/>
      <c r="AL2340" s="87"/>
      <c r="AM2340" s="87"/>
      <c r="AN2340" s="87"/>
      <c r="AO2340" s="87"/>
      <c r="AP2340" s="87">
        <v>20</v>
      </c>
      <c r="AQ2340" s="87">
        <v>75</v>
      </c>
      <c r="AR2340" s="87"/>
      <c r="AS2340" s="87"/>
      <c r="AT2340" s="87"/>
      <c r="AU2340" s="87"/>
      <c r="AV2340" s="87"/>
      <c r="AW2340" s="88" t="str">
        <f>HYPERLINK("http://www.openstreetmap.org/?mlat=34.6626&amp;mlon=43.9208&amp;zoom=12#map=12/34.6626/43.9208","Maplink1")</f>
        <v>Maplink1</v>
      </c>
      <c r="AX2340" s="88" t="str">
        <f>HYPERLINK("https://www.google.iq/maps/search/+34.6626,43.9208/@34.6626,43.9208,14z?hl=en","Maplink2")</f>
        <v>Maplink2</v>
      </c>
      <c r="AY2340" s="88" t="str">
        <f>HYPERLINK("http://www.bing.com/maps/?lvl=14&amp;sty=h&amp;cp=34.6626~43.9208&amp;sp=point.34.6626_43.9208","Maplink3")</f>
        <v>Maplink3</v>
      </c>
      <c r="AZ2340" s="76"/>
    </row>
    <row r="2341" spans="1:52" x14ac:dyDescent="0.25">
      <c r="A2341" s="86">
        <v>20631</v>
      </c>
      <c r="B2341" s="87" t="s">
        <v>26</v>
      </c>
      <c r="C2341" s="87" t="s">
        <v>4481</v>
      </c>
      <c r="D2341" s="87" t="s">
        <v>4499</v>
      </c>
      <c r="E2341" s="87" t="s">
        <v>4500</v>
      </c>
      <c r="F2341" s="87">
        <v>34.693673202100001</v>
      </c>
      <c r="G2341" s="87">
        <v>43.614340431099997</v>
      </c>
      <c r="H2341" s="86">
        <v>4</v>
      </c>
      <c r="I2341" s="86">
        <v>24</v>
      </c>
      <c r="J2341" s="87"/>
      <c r="K2341" s="87"/>
      <c r="L2341" s="87"/>
      <c r="M2341" s="87"/>
      <c r="N2341" s="87"/>
      <c r="O2341" s="87"/>
      <c r="P2341" s="87"/>
      <c r="Q2341" s="87"/>
      <c r="R2341" s="87"/>
      <c r="S2341" s="87"/>
      <c r="T2341" s="87"/>
      <c r="U2341" s="87"/>
      <c r="V2341" s="87"/>
      <c r="W2341" s="87"/>
      <c r="X2341" s="87">
        <v>4</v>
      </c>
      <c r="Y2341" s="87"/>
      <c r="Z2341" s="87"/>
      <c r="AA2341" s="87"/>
      <c r="AB2341" s="87"/>
      <c r="AC2341" s="87"/>
      <c r="AD2341" s="87"/>
      <c r="AE2341" s="87"/>
      <c r="AF2341" s="87"/>
      <c r="AG2341" s="87"/>
      <c r="AH2341" s="87">
        <v>4</v>
      </c>
      <c r="AI2341" s="87"/>
      <c r="AJ2341" s="87"/>
      <c r="AK2341" s="87"/>
      <c r="AL2341" s="87"/>
      <c r="AM2341" s="87"/>
      <c r="AN2341" s="87"/>
      <c r="AO2341" s="87"/>
      <c r="AP2341" s="87"/>
      <c r="AQ2341" s="87"/>
      <c r="AR2341" s="87"/>
      <c r="AS2341" s="87">
        <v>4</v>
      </c>
      <c r="AT2341" s="87"/>
      <c r="AU2341" s="87"/>
      <c r="AV2341" s="87"/>
      <c r="AW2341" s="88" t="str">
        <f>HYPERLINK("http://www.openstreetmap.org/?mlat=34.6937&amp;mlon=43.6143&amp;zoom=12#map=12/34.6937/43.6143","Maplink1")</f>
        <v>Maplink1</v>
      </c>
      <c r="AX2341" s="88" t="str">
        <f>HYPERLINK("https://www.google.iq/maps/search/+34.6937,43.6143/@34.6937,43.6143,14z?hl=en","Maplink2")</f>
        <v>Maplink2</v>
      </c>
      <c r="AY2341" s="88" t="str">
        <f>HYPERLINK("http://www.bing.com/maps/?lvl=14&amp;sty=h&amp;cp=34.6937~43.6143&amp;sp=point.34.6937_43.6143","Maplink3")</f>
        <v>Maplink3</v>
      </c>
      <c r="AZ2341" s="76"/>
    </row>
    <row r="2342" spans="1:52" x14ac:dyDescent="0.25">
      <c r="A2342" s="86">
        <v>27231</v>
      </c>
      <c r="B2342" s="87" t="s">
        <v>26</v>
      </c>
      <c r="C2342" s="87" t="s">
        <v>4481</v>
      </c>
      <c r="D2342" s="87" t="s">
        <v>4501</v>
      </c>
      <c r="E2342" s="87" t="s">
        <v>4502</v>
      </c>
      <c r="F2342" s="87">
        <v>34.6681781168</v>
      </c>
      <c r="G2342" s="87">
        <v>43.7329189855</v>
      </c>
      <c r="H2342" s="86">
        <v>66</v>
      </c>
      <c r="I2342" s="86">
        <v>396</v>
      </c>
      <c r="J2342" s="87"/>
      <c r="K2342" s="87"/>
      <c r="L2342" s="87"/>
      <c r="M2342" s="87"/>
      <c r="N2342" s="87"/>
      <c r="O2342" s="87"/>
      <c r="P2342" s="87"/>
      <c r="Q2342" s="87"/>
      <c r="R2342" s="87">
        <v>36</v>
      </c>
      <c r="S2342" s="87"/>
      <c r="T2342" s="87"/>
      <c r="U2342" s="87"/>
      <c r="V2342" s="87"/>
      <c r="W2342" s="87"/>
      <c r="X2342" s="87">
        <v>30</v>
      </c>
      <c r="Y2342" s="87"/>
      <c r="Z2342" s="87"/>
      <c r="AA2342" s="87"/>
      <c r="AB2342" s="87"/>
      <c r="AC2342" s="87"/>
      <c r="AD2342" s="87"/>
      <c r="AE2342" s="87"/>
      <c r="AF2342" s="87"/>
      <c r="AG2342" s="87"/>
      <c r="AH2342" s="87">
        <v>38</v>
      </c>
      <c r="AI2342" s="87"/>
      <c r="AJ2342" s="87"/>
      <c r="AK2342" s="87">
        <v>28</v>
      </c>
      <c r="AL2342" s="87"/>
      <c r="AM2342" s="87"/>
      <c r="AN2342" s="87"/>
      <c r="AO2342" s="87"/>
      <c r="AP2342" s="87"/>
      <c r="AQ2342" s="87"/>
      <c r="AR2342" s="87"/>
      <c r="AS2342" s="87">
        <v>58</v>
      </c>
      <c r="AT2342" s="87">
        <v>8</v>
      </c>
      <c r="AU2342" s="87"/>
      <c r="AV2342" s="87"/>
      <c r="AW2342" s="88" t="str">
        <f>HYPERLINK("http://www.openstreetmap.org/?mlat=34.6682&amp;mlon=43.7329&amp;zoom=12#map=12/34.6682/43.7329","Maplink1")</f>
        <v>Maplink1</v>
      </c>
      <c r="AX2342" s="88" t="str">
        <f>HYPERLINK("https://www.google.iq/maps/search/+34.6682,43.7329/@34.6682,43.7329,14z?hl=en","Maplink2")</f>
        <v>Maplink2</v>
      </c>
      <c r="AY2342" s="88" t="str">
        <f>HYPERLINK("http://www.bing.com/maps/?lvl=14&amp;sty=h&amp;cp=34.6682~43.7329&amp;sp=point.34.6682_43.7329","Maplink3")</f>
        <v>Maplink3</v>
      </c>
      <c r="AZ2342" s="76"/>
    </row>
    <row r="2343" spans="1:52" x14ac:dyDescent="0.25">
      <c r="A2343" s="86">
        <v>21357</v>
      </c>
      <c r="B2343" s="87" t="s">
        <v>26</v>
      </c>
      <c r="C2343" s="87" t="s">
        <v>4481</v>
      </c>
      <c r="D2343" s="87" t="s">
        <v>4503</v>
      </c>
      <c r="E2343" s="87" t="s">
        <v>4504</v>
      </c>
      <c r="F2343" s="87">
        <v>34.45798508</v>
      </c>
      <c r="G2343" s="87">
        <v>43.726723280000002</v>
      </c>
      <c r="H2343" s="86">
        <v>110</v>
      </c>
      <c r="I2343" s="86">
        <v>660</v>
      </c>
      <c r="J2343" s="87"/>
      <c r="K2343" s="87"/>
      <c r="L2343" s="87"/>
      <c r="M2343" s="87"/>
      <c r="N2343" s="87"/>
      <c r="O2343" s="87"/>
      <c r="P2343" s="87"/>
      <c r="Q2343" s="87"/>
      <c r="R2343" s="87"/>
      <c r="S2343" s="87"/>
      <c r="T2343" s="87"/>
      <c r="U2343" s="87"/>
      <c r="V2343" s="87"/>
      <c r="W2343" s="87"/>
      <c r="X2343" s="87">
        <v>110</v>
      </c>
      <c r="Y2343" s="87"/>
      <c r="Z2343" s="87"/>
      <c r="AA2343" s="87"/>
      <c r="AB2343" s="87"/>
      <c r="AC2343" s="87">
        <v>68</v>
      </c>
      <c r="AD2343" s="87"/>
      <c r="AE2343" s="87"/>
      <c r="AF2343" s="87"/>
      <c r="AG2343" s="87"/>
      <c r="AH2343" s="87">
        <v>42</v>
      </c>
      <c r="AI2343" s="87"/>
      <c r="AJ2343" s="87"/>
      <c r="AK2343" s="87"/>
      <c r="AL2343" s="87"/>
      <c r="AM2343" s="87"/>
      <c r="AN2343" s="87"/>
      <c r="AO2343" s="87"/>
      <c r="AP2343" s="87"/>
      <c r="AQ2343" s="87">
        <v>110</v>
      </c>
      <c r="AR2343" s="87"/>
      <c r="AS2343" s="87"/>
      <c r="AT2343" s="87"/>
      <c r="AU2343" s="87"/>
      <c r="AV2343" s="87"/>
      <c r="AW2343" s="88" t="str">
        <f>HYPERLINK("http://www.openstreetmap.org/?mlat=34.458&amp;mlon=43.7267&amp;zoom=12#map=12/34.458/43.7267","Maplink1")</f>
        <v>Maplink1</v>
      </c>
      <c r="AX2343" s="88" t="str">
        <f>HYPERLINK("https://www.google.iq/maps/search/+34.458,43.7267/@34.458,43.7267,14z?hl=en","Maplink2")</f>
        <v>Maplink2</v>
      </c>
      <c r="AY2343" s="88" t="str">
        <f>HYPERLINK("http://www.bing.com/maps/?lvl=14&amp;sty=h&amp;cp=34.458~43.7267&amp;sp=point.34.458_43.7267","Maplink3")</f>
        <v>Maplink3</v>
      </c>
      <c r="AZ2343" s="76"/>
    </row>
    <row r="2344" spans="1:52" x14ac:dyDescent="0.25">
      <c r="A2344" s="86">
        <v>29589</v>
      </c>
      <c r="B2344" s="87" t="s">
        <v>26</v>
      </c>
      <c r="C2344" s="87" t="s">
        <v>4481</v>
      </c>
      <c r="D2344" s="87" t="s">
        <v>4505</v>
      </c>
      <c r="E2344" s="87" t="s">
        <v>4506</v>
      </c>
      <c r="F2344" s="87">
        <v>34.646761505900002</v>
      </c>
      <c r="G2344" s="87">
        <v>43.702411567799999</v>
      </c>
      <c r="H2344" s="86">
        <v>23</v>
      </c>
      <c r="I2344" s="86">
        <v>138</v>
      </c>
      <c r="J2344" s="87"/>
      <c r="K2344" s="87"/>
      <c r="L2344" s="87"/>
      <c r="M2344" s="87"/>
      <c r="N2344" s="87"/>
      <c r="O2344" s="87"/>
      <c r="P2344" s="87"/>
      <c r="Q2344" s="87"/>
      <c r="R2344" s="87"/>
      <c r="S2344" s="87"/>
      <c r="T2344" s="87"/>
      <c r="U2344" s="87"/>
      <c r="V2344" s="87"/>
      <c r="W2344" s="87"/>
      <c r="X2344" s="87">
        <v>23</v>
      </c>
      <c r="Y2344" s="87"/>
      <c r="Z2344" s="87"/>
      <c r="AA2344" s="87"/>
      <c r="AB2344" s="87"/>
      <c r="AC2344" s="87">
        <v>18</v>
      </c>
      <c r="AD2344" s="87"/>
      <c r="AE2344" s="87"/>
      <c r="AF2344" s="87"/>
      <c r="AG2344" s="87"/>
      <c r="AH2344" s="87">
        <v>5</v>
      </c>
      <c r="AI2344" s="87"/>
      <c r="AJ2344" s="87"/>
      <c r="AK2344" s="87"/>
      <c r="AL2344" s="87"/>
      <c r="AM2344" s="87"/>
      <c r="AN2344" s="87"/>
      <c r="AO2344" s="87"/>
      <c r="AP2344" s="87"/>
      <c r="AQ2344" s="87">
        <v>23</v>
      </c>
      <c r="AR2344" s="87"/>
      <c r="AS2344" s="87"/>
      <c r="AT2344" s="87"/>
      <c r="AU2344" s="87"/>
      <c r="AV2344" s="87"/>
      <c r="AW2344" s="88" t="str">
        <f>HYPERLINK("http://www.openstreetmap.org/?mlat=34.6468&amp;mlon=43.7024&amp;zoom=12#map=12/34.6468/43.7024","Maplink1")</f>
        <v>Maplink1</v>
      </c>
      <c r="AX2344" s="88" t="str">
        <f>HYPERLINK("https://www.google.iq/maps/search/+34.6468,43.7024/@34.6468,43.7024,14z?hl=en","Maplink2")</f>
        <v>Maplink2</v>
      </c>
      <c r="AY2344" s="88" t="str">
        <f>HYPERLINK("http://www.bing.com/maps/?lvl=14&amp;sty=h&amp;cp=34.6468~43.7024&amp;sp=point.34.6468_43.7024","Maplink3")</f>
        <v>Maplink3</v>
      </c>
      <c r="AZ2344" s="76"/>
    </row>
    <row r="2345" spans="1:52" x14ac:dyDescent="0.25">
      <c r="A2345" s="86">
        <v>23525</v>
      </c>
      <c r="B2345" s="87" t="s">
        <v>26</v>
      </c>
      <c r="C2345" s="87" t="s">
        <v>4481</v>
      </c>
      <c r="D2345" s="87" t="s">
        <v>4507</v>
      </c>
      <c r="E2345" s="87" t="s">
        <v>4508</v>
      </c>
      <c r="F2345" s="87">
        <v>34.7051066155</v>
      </c>
      <c r="G2345" s="87">
        <v>43.654714797899999</v>
      </c>
      <c r="H2345" s="86">
        <v>1</v>
      </c>
      <c r="I2345" s="86">
        <v>6</v>
      </c>
      <c r="J2345" s="87"/>
      <c r="K2345" s="87"/>
      <c r="L2345" s="87"/>
      <c r="M2345" s="87"/>
      <c r="N2345" s="87"/>
      <c r="O2345" s="87"/>
      <c r="P2345" s="87"/>
      <c r="Q2345" s="87"/>
      <c r="R2345" s="87"/>
      <c r="S2345" s="87"/>
      <c r="T2345" s="87"/>
      <c r="U2345" s="87"/>
      <c r="V2345" s="87"/>
      <c r="W2345" s="87"/>
      <c r="X2345" s="87">
        <v>1</v>
      </c>
      <c r="Y2345" s="87"/>
      <c r="Z2345" s="87"/>
      <c r="AA2345" s="87"/>
      <c r="AB2345" s="87"/>
      <c r="AC2345" s="87">
        <v>1</v>
      </c>
      <c r="AD2345" s="87"/>
      <c r="AE2345" s="87"/>
      <c r="AF2345" s="87"/>
      <c r="AG2345" s="87"/>
      <c r="AH2345" s="87"/>
      <c r="AI2345" s="87"/>
      <c r="AJ2345" s="87"/>
      <c r="AK2345" s="87"/>
      <c r="AL2345" s="87"/>
      <c r="AM2345" s="87"/>
      <c r="AN2345" s="87"/>
      <c r="AO2345" s="87"/>
      <c r="AP2345" s="87">
        <v>1</v>
      </c>
      <c r="AQ2345" s="87"/>
      <c r="AR2345" s="87"/>
      <c r="AS2345" s="87"/>
      <c r="AT2345" s="87"/>
      <c r="AU2345" s="87"/>
      <c r="AV2345" s="87"/>
      <c r="AW2345" s="88" t="str">
        <f>HYPERLINK("http://www.openstreetmap.org/?mlat=34.7051&amp;mlon=43.6547&amp;zoom=12#map=12/34.7051/43.6547","Maplink1")</f>
        <v>Maplink1</v>
      </c>
      <c r="AX2345" s="88" t="str">
        <f>HYPERLINK("https://www.google.iq/maps/search/+34.7051,43.6547/@34.7051,43.6547,14z?hl=en","Maplink2")</f>
        <v>Maplink2</v>
      </c>
      <c r="AY2345" s="88" t="str">
        <f>HYPERLINK("http://www.bing.com/maps/?lvl=14&amp;sty=h&amp;cp=34.7051~43.6547&amp;sp=point.34.7051_43.6547","Maplink3")</f>
        <v>Maplink3</v>
      </c>
      <c r="AZ2345" s="76"/>
    </row>
    <row r="2346" spans="1:52" x14ac:dyDescent="0.25">
      <c r="A2346" s="86">
        <v>28419</v>
      </c>
      <c r="B2346" s="87" t="s">
        <v>26</v>
      </c>
      <c r="C2346" s="87" t="s">
        <v>4481</v>
      </c>
      <c r="D2346" s="87" t="s">
        <v>4509</v>
      </c>
      <c r="E2346" s="87" t="s">
        <v>4510</v>
      </c>
      <c r="F2346" s="87">
        <v>34.714579395900003</v>
      </c>
      <c r="G2346" s="87">
        <v>43.618155730799998</v>
      </c>
      <c r="H2346" s="86">
        <v>75</v>
      </c>
      <c r="I2346" s="86">
        <v>450</v>
      </c>
      <c r="J2346" s="87"/>
      <c r="K2346" s="87"/>
      <c r="L2346" s="87"/>
      <c r="M2346" s="87"/>
      <c r="N2346" s="87"/>
      <c r="O2346" s="87"/>
      <c r="P2346" s="87"/>
      <c r="Q2346" s="87"/>
      <c r="R2346" s="87"/>
      <c r="S2346" s="87"/>
      <c r="T2346" s="87"/>
      <c r="U2346" s="87"/>
      <c r="V2346" s="87"/>
      <c r="W2346" s="87"/>
      <c r="X2346" s="87">
        <v>75</v>
      </c>
      <c r="Y2346" s="87"/>
      <c r="Z2346" s="87"/>
      <c r="AA2346" s="87"/>
      <c r="AB2346" s="87"/>
      <c r="AC2346" s="87">
        <v>75</v>
      </c>
      <c r="AD2346" s="87"/>
      <c r="AE2346" s="87"/>
      <c r="AF2346" s="87"/>
      <c r="AG2346" s="87"/>
      <c r="AH2346" s="87"/>
      <c r="AI2346" s="87"/>
      <c r="AJ2346" s="87"/>
      <c r="AK2346" s="87"/>
      <c r="AL2346" s="87"/>
      <c r="AM2346" s="87"/>
      <c r="AN2346" s="87"/>
      <c r="AO2346" s="87"/>
      <c r="AP2346" s="87"/>
      <c r="AQ2346" s="87"/>
      <c r="AR2346" s="87">
        <v>22</v>
      </c>
      <c r="AS2346" s="87">
        <v>53</v>
      </c>
      <c r="AT2346" s="87"/>
      <c r="AU2346" s="87"/>
      <c r="AV2346" s="87"/>
      <c r="AW2346" s="88" t="str">
        <f>HYPERLINK("http://www.openstreetmap.org/?mlat=34.7146&amp;mlon=43.6182&amp;zoom=12#map=12/34.7146/43.6182","Maplink1")</f>
        <v>Maplink1</v>
      </c>
      <c r="AX2346" s="88" t="str">
        <f>HYPERLINK("https://www.google.iq/maps/search/+34.7146,43.6182/@34.7146,43.6182,14z?hl=en","Maplink2")</f>
        <v>Maplink2</v>
      </c>
      <c r="AY2346" s="88" t="str">
        <f>HYPERLINK("http://www.bing.com/maps/?lvl=14&amp;sty=h&amp;cp=34.7146~43.6182&amp;sp=point.34.7146_43.6182","Maplink3")</f>
        <v>Maplink3</v>
      </c>
      <c r="AZ2346" s="76"/>
    </row>
    <row r="2347" spans="1:52" x14ac:dyDescent="0.25">
      <c r="A2347" s="86">
        <v>23918</v>
      </c>
      <c r="B2347" s="87" t="s">
        <v>26</v>
      </c>
      <c r="C2347" s="87" t="s">
        <v>4481</v>
      </c>
      <c r="D2347" s="87" t="s">
        <v>4511</v>
      </c>
      <c r="E2347" s="87" t="s">
        <v>4512</v>
      </c>
      <c r="F2347" s="87">
        <v>34.622505367700001</v>
      </c>
      <c r="G2347" s="87">
        <v>43.6737766396</v>
      </c>
      <c r="H2347" s="86">
        <v>31</v>
      </c>
      <c r="I2347" s="86">
        <v>186</v>
      </c>
      <c r="J2347" s="87"/>
      <c r="K2347" s="87"/>
      <c r="L2347" s="87"/>
      <c r="M2347" s="87"/>
      <c r="N2347" s="87"/>
      <c r="O2347" s="87"/>
      <c r="P2347" s="87"/>
      <c r="Q2347" s="87"/>
      <c r="R2347" s="87">
        <v>2</v>
      </c>
      <c r="S2347" s="87"/>
      <c r="T2347" s="87"/>
      <c r="U2347" s="87"/>
      <c r="V2347" s="87"/>
      <c r="W2347" s="87"/>
      <c r="X2347" s="87">
        <v>29</v>
      </c>
      <c r="Y2347" s="87"/>
      <c r="Z2347" s="87"/>
      <c r="AA2347" s="87"/>
      <c r="AB2347" s="87"/>
      <c r="AC2347" s="87"/>
      <c r="AD2347" s="87"/>
      <c r="AE2347" s="87"/>
      <c r="AF2347" s="87"/>
      <c r="AG2347" s="87"/>
      <c r="AH2347" s="87">
        <v>31</v>
      </c>
      <c r="AI2347" s="87"/>
      <c r="AJ2347" s="87"/>
      <c r="AK2347" s="87"/>
      <c r="AL2347" s="87"/>
      <c r="AM2347" s="87"/>
      <c r="AN2347" s="87"/>
      <c r="AO2347" s="87"/>
      <c r="AP2347" s="87"/>
      <c r="AQ2347" s="87">
        <v>31</v>
      </c>
      <c r="AR2347" s="87"/>
      <c r="AS2347" s="87"/>
      <c r="AT2347" s="87"/>
      <c r="AU2347" s="87"/>
      <c r="AV2347" s="87"/>
      <c r="AW2347" s="88" t="str">
        <f>HYPERLINK("http://www.openstreetmap.org/?mlat=34.6225&amp;mlon=43.6738&amp;zoom=12#map=12/34.6225/43.6738","Maplink1")</f>
        <v>Maplink1</v>
      </c>
      <c r="AX2347" s="88" t="str">
        <f>HYPERLINK("https://www.google.iq/maps/search/+34.6225,43.6738/@34.6225,43.6738,14z?hl=en","Maplink2")</f>
        <v>Maplink2</v>
      </c>
      <c r="AY2347" s="88" t="str">
        <f>HYPERLINK("http://www.bing.com/maps/?lvl=14&amp;sty=h&amp;cp=34.6225~43.6738&amp;sp=point.34.6225_43.6738","Maplink3")</f>
        <v>Maplink3</v>
      </c>
      <c r="AZ2347" s="76"/>
    </row>
    <row r="2348" spans="1:52" x14ac:dyDescent="0.25">
      <c r="A2348" s="86">
        <v>32060</v>
      </c>
      <c r="B2348" s="87" t="s">
        <v>26</v>
      </c>
      <c r="C2348" s="87" t="s">
        <v>4481</v>
      </c>
      <c r="D2348" s="87" t="s">
        <v>4513</v>
      </c>
      <c r="E2348" s="87" t="s">
        <v>4514</v>
      </c>
      <c r="F2348" s="87">
        <v>34.690283406500001</v>
      </c>
      <c r="G2348" s="87">
        <v>43.6193076801</v>
      </c>
      <c r="H2348" s="86">
        <v>205</v>
      </c>
      <c r="I2348" s="86">
        <v>1230</v>
      </c>
      <c r="J2348" s="87"/>
      <c r="K2348" s="87"/>
      <c r="L2348" s="87"/>
      <c r="M2348" s="87"/>
      <c r="N2348" s="87"/>
      <c r="O2348" s="87"/>
      <c r="P2348" s="87"/>
      <c r="Q2348" s="87"/>
      <c r="R2348" s="87"/>
      <c r="S2348" s="87"/>
      <c r="T2348" s="87"/>
      <c r="U2348" s="87"/>
      <c r="V2348" s="87">
        <v>1</v>
      </c>
      <c r="W2348" s="87"/>
      <c r="X2348" s="87">
        <v>204</v>
      </c>
      <c r="Y2348" s="87"/>
      <c r="Z2348" s="87"/>
      <c r="AA2348" s="87"/>
      <c r="AB2348" s="87">
        <v>205</v>
      </c>
      <c r="AC2348" s="87"/>
      <c r="AD2348" s="87"/>
      <c r="AE2348" s="87"/>
      <c r="AF2348" s="87"/>
      <c r="AG2348" s="87"/>
      <c r="AH2348" s="87"/>
      <c r="AI2348" s="87"/>
      <c r="AJ2348" s="87"/>
      <c r="AK2348" s="87"/>
      <c r="AL2348" s="87"/>
      <c r="AM2348" s="87"/>
      <c r="AN2348" s="87"/>
      <c r="AO2348" s="87"/>
      <c r="AP2348" s="87"/>
      <c r="AQ2348" s="87"/>
      <c r="AR2348" s="87">
        <v>205</v>
      </c>
      <c r="AS2348" s="87"/>
      <c r="AT2348" s="87"/>
      <c r="AU2348" s="87"/>
      <c r="AV2348" s="87"/>
      <c r="AW2348" s="88" t="str">
        <f>HYPERLINK("http://www.openstreetmap.org/?mlat=34.6903&amp;mlon=43.6193&amp;zoom=12#map=12/34.6903/43.6193","Maplink1")</f>
        <v>Maplink1</v>
      </c>
      <c r="AX2348" s="88" t="str">
        <f>HYPERLINK("https://www.google.iq/maps/search/+34.6903,43.6193/@34.6903,43.6193,14z?hl=en","Maplink2")</f>
        <v>Maplink2</v>
      </c>
      <c r="AY2348" s="88" t="str">
        <f>HYPERLINK("http://www.bing.com/maps/?lvl=14&amp;sty=h&amp;cp=34.6903~43.6193&amp;sp=point.34.6903_43.6193","Maplink3")</f>
        <v>Maplink3</v>
      </c>
      <c r="AZ2348" s="76"/>
    </row>
    <row r="2349" spans="1:52" x14ac:dyDescent="0.25">
      <c r="A2349" s="86">
        <v>20630</v>
      </c>
      <c r="B2349" s="87" t="s">
        <v>26</v>
      </c>
      <c r="C2349" s="87" t="s">
        <v>4481</v>
      </c>
      <c r="D2349" s="87" t="s">
        <v>4515</v>
      </c>
      <c r="E2349" s="87" t="s">
        <v>4516</v>
      </c>
      <c r="F2349" s="87">
        <v>34.695627035500003</v>
      </c>
      <c r="G2349" s="87">
        <v>43.624826466099996</v>
      </c>
      <c r="H2349" s="86">
        <v>39</v>
      </c>
      <c r="I2349" s="86">
        <v>234</v>
      </c>
      <c r="J2349" s="87"/>
      <c r="K2349" s="87"/>
      <c r="L2349" s="87"/>
      <c r="M2349" s="87"/>
      <c r="N2349" s="87"/>
      <c r="O2349" s="87"/>
      <c r="P2349" s="87"/>
      <c r="Q2349" s="87"/>
      <c r="R2349" s="87"/>
      <c r="S2349" s="87"/>
      <c r="T2349" s="87"/>
      <c r="U2349" s="87"/>
      <c r="V2349" s="87"/>
      <c r="W2349" s="87"/>
      <c r="X2349" s="87">
        <v>39</v>
      </c>
      <c r="Y2349" s="87"/>
      <c r="Z2349" s="87"/>
      <c r="AA2349" s="87"/>
      <c r="AB2349" s="87"/>
      <c r="AC2349" s="87"/>
      <c r="AD2349" s="87"/>
      <c r="AE2349" s="87"/>
      <c r="AF2349" s="87"/>
      <c r="AG2349" s="87"/>
      <c r="AH2349" s="87">
        <v>12</v>
      </c>
      <c r="AI2349" s="87">
        <v>9</v>
      </c>
      <c r="AJ2349" s="87"/>
      <c r="AK2349" s="87">
        <v>18</v>
      </c>
      <c r="AL2349" s="87"/>
      <c r="AM2349" s="87"/>
      <c r="AN2349" s="87"/>
      <c r="AO2349" s="87"/>
      <c r="AP2349" s="87"/>
      <c r="AQ2349" s="87"/>
      <c r="AR2349" s="87"/>
      <c r="AS2349" s="87">
        <v>39</v>
      </c>
      <c r="AT2349" s="87"/>
      <c r="AU2349" s="87"/>
      <c r="AV2349" s="87"/>
      <c r="AW2349" s="88" t="str">
        <f>HYPERLINK("http://www.openstreetmap.org/?mlat=34.6956&amp;mlon=43.6248&amp;zoom=12#map=12/34.6956/43.6248","Maplink1")</f>
        <v>Maplink1</v>
      </c>
      <c r="AX2349" s="88" t="str">
        <f>HYPERLINK("https://www.google.iq/maps/search/+34.6956,43.6248/@34.6956,43.6248,14z?hl=en","Maplink2")</f>
        <v>Maplink2</v>
      </c>
      <c r="AY2349" s="88" t="str">
        <f>HYPERLINK("http://www.bing.com/maps/?lvl=14&amp;sty=h&amp;cp=34.6956~43.6248&amp;sp=point.34.6956_43.6248","Maplink3")</f>
        <v>Maplink3</v>
      </c>
      <c r="AZ2349" s="76"/>
    </row>
    <row r="2350" spans="1:52" x14ac:dyDescent="0.25">
      <c r="A2350" s="86">
        <v>25984</v>
      </c>
      <c r="B2350" s="87" t="s">
        <v>26</v>
      </c>
      <c r="C2350" s="87" t="s">
        <v>4481</v>
      </c>
      <c r="D2350" s="87" t="s">
        <v>4517</v>
      </c>
      <c r="E2350" s="87" t="s">
        <v>4518</v>
      </c>
      <c r="F2350" s="87">
        <v>34.784002935700002</v>
      </c>
      <c r="G2350" s="87">
        <v>43.626301428300003</v>
      </c>
      <c r="H2350" s="86">
        <v>2</v>
      </c>
      <c r="I2350" s="86">
        <v>12</v>
      </c>
      <c r="J2350" s="87"/>
      <c r="K2350" s="87"/>
      <c r="L2350" s="87"/>
      <c r="M2350" s="87"/>
      <c r="N2350" s="87"/>
      <c r="O2350" s="87"/>
      <c r="P2350" s="87"/>
      <c r="Q2350" s="87"/>
      <c r="R2350" s="87">
        <v>2</v>
      </c>
      <c r="S2350" s="87"/>
      <c r="T2350" s="87"/>
      <c r="U2350" s="87"/>
      <c r="V2350" s="87"/>
      <c r="W2350" s="87"/>
      <c r="X2350" s="87"/>
      <c r="Y2350" s="87"/>
      <c r="Z2350" s="87"/>
      <c r="AA2350" s="87"/>
      <c r="AB2350" s="87"/>
      <c r="AC2350" s="87">
        <v>2</v>
      </c>
      <c r="AD2350" s="87"/>
      <c r="AE2350" s="87"/>
      <c r="AF2350" s="87"/>
      <c r="AG2350" s="87"/>
      <c r="AH2350" s="87"/>
      <c r="AI2350" s="87"/>
      <c r="AJ2350" s="87"/>
      <c r="AK2350" s="87"/>
      <c r="AL2350" s="87"/>
      <c r="AM2350" s="87"/>
      <c r="AN2350" s="87"/>
      <c r="AO2350" s="87"/>
      <c r="AP2350" s="87"/>
      <c r="AQ2350" s="87"/>
      <c r="AR2350" s="87"/>
      <c r="AS2350" s="87"/>
      <c r="AT2350" s="87">
        <v>2</v>
      </c>
      <c r="AU2350" s="87"/>
      <c r="AV2350" s="87"/>
      <c r="AW2350" s="88" t="str">
        <f>HYPERLINK("http://www.openstreetmap.org/?mlat=34.784&amp;mlon=43.6263&amp;zoom=12#map=12/34.784/43.6263","Maplink1")</f>
        <v>Maplink1</v>
      </c>
      <c r="AX2350" s="88" t="str">
        <f>HYPERLINK("https://www.google.iq/maps/search/+34.784,43.6263/@34.784,43.6263,14z?hl=en","Maplink2")</f>
        <v>Maplink2</v>
      </c>
      <c r="AY2350" s="88" t="str">
        <f>HYPERLINK("http://www.bing.com/maps/?lvl=14&amp;sty=h&amp;cp=34.784~43.6263&amp;sp=point.34.784_43.6263","Maplink3")</f>
        <v>Maplink3</v>
      </c>
      <c r="AZ2350" s="76"/>
    </row>
    <row r="2351" spans="1:52" x14ac:dyDescent="0.25">
      <c r="A2351" s="86">
        <v>24248</v>
      </c>
      <c r="B2351" s="87" t="s">
        <v>26</v>
      </c>
      <c r="C2351" s="87" t="s">
        <v>4481</v>
      </c>
      <c r="D2351" s="87" t="s">
        <v>4519</v>
      </c>
      <c r="E2351" s="87" t="s">
        <v>4520</v>
      </c>
      <c r="F2351" s="87">
        <v>34.6747398535</v>
      </c>
      <c r="G2351" s="87">
        <v>43.715298972299998</v>
      </c>
      <c r="H2351" s="86">
        <v>66</v>
      </c>
      <c r="I2351" s="86">
        <v>396</v>
      </c>
      <c r="J2351" s="87"/>
      <c r="K2351" s="87"/>
      <c r="L2351" s="87"/>
      <c r="M2351" s="87"/>
      <c r="N2351" s="87"/>
      <c r="O2351" s="87"/>
      <c r="P2351" s="87"/>
      <c r="Q2351" s="87"/>
      <c r="R2351" s="87">
        <v>42</v>
      </c>
      <c r="S2351" s="87"/>
      <c r="T2351" s="87"/>
      <c r="U2351" s="87"/>
      <c r="V2351" s="87"/>
      <c r="W2351" s="87"/>
      <c r="X2351" s="87">
        <v>24</v>
      </c>
      <c r="Y2351" s="87"/>
      <c r="Z2351" s="87"/>
      <c r="AA2351" s="87"/>
      <c r="AB2351" s="87"/>
      <c r="AC2351" s="87"/>
      <c r="AD2351" s="87"/>
      <c r="AE2351" s="87"/>
      <c r="AF2351" s="87"/>
      <c r="AG2351" s="87"/>
      <c r="AH2351" s="87">
        <v>50</v>
      </c>
      <c r="AI2351" s="87">
        <v>16</v>
      </c>
      <c r="AJ2351" s="87"/>
      <c r="AK2351" s="87"/>
      <c r="AL2351" s="87"/>
      <c r="AM2351" s="87"/>
      <c r="AN2351" s="87"/>
      <c r="AO2351" s="87"/>
      <c r="AP2351" s="87"/>
      <c r="AQ2351" s="87"/>
      <c r="AR2351" s="87"/>
      <c r="AS2351" s="87">
        <v>24</v>
      </c>
      <c r="AT2351" s="87">
        <v>42</v>
      </c>
      <c r="AU2351" s="87"/>
      <c r="AV2351" s="87"/>
      <c r="AW2351" s="88" t="str">
        <f>HYPERLINK("http://www.openstreetmap.org/?mlat=34.6747&amp;mlon=43.7153&amp;zoom=12#map=12/34.6747/43.7153","Maplink1")</f>
        <v>Maplink1</v>
      </c>
      <c r="AX2351" s="88" t="str">
        <f>HYPERLINK("https://www.google.iq/maps/search/+34.6747,43.7153/@34.6747,43.7153,14z?hl=en","Maplink2")</f>
        <v>Maplink2</v>
      </c>
      <c r="AY2351" s="88" t="str">
        <f>HYPERLINK("http://www.bing.com/maps/?lvl=14&amp;sty=h&amp;cp=34.6747~43.7153&amp;sp=point.34.6747_43.7153","Maplink3")</f>
        <v>Maplink3</v>
      </c>
      <c r="AZ2351" s="76"/>
    </row>
    <row r="2352" spans="1:52" x14ac:dyDescent="0.25">
      <c r="A2352" s="86">
        <v>20618</v>
      </c>
      <c r="B2352" s="87" t="s">
        <v>26</v>
      </c>
      <c r="C2352" s="87" t="s">
        <v>4481</v>
      </c>
      <c r="D2352" s="87" t="s">
        <v>4521</v>
      </c>
      <c r="E2352" s="87" t="s">
        <v>4522</v>
      </c>
      <c r="F2352" s="87">
        <v>34.6986952464</v>
      </c>
      <c r="G2352" s="87">
        <v>43.6182605224</v>
      </c>
      <c r="H2352" s="86">
        <v>67</v>
      </c>
      <c r="I2352" s="86">
        <v>402</v>
      </c>
      <c r="J2352" s="87"/>
      <c r="K2352" s="87"/>
      <c r="L2352" s="87"/>
      <c r="M2352" s="87"/>
      <c r="N2352" s="87"/>
      <c r="O2352" s="87"/>
      <c r="P2352" s="87"/>
      <c r="Q2352" s="87"/>
      <c r="R2352" s="87"/>
      <c r="S2352" s="87"/>
      <c r="T2352" s="87"/>
      <c r="U2352" s="87"/>
      <c r="V2352" s="87"/>
      <c r="W2352" s="87"/>
      <c r="X2352" s="87">
        <v>67</v>
      </c>
      <c r="Y2352" s="87"/>
      <c r="Z2352" s="87"/>
      <c r="AA2352" s="87"/>
      <c r="AB2352" s="87"/>
      <c r="AC2352" s="87"/>
      <c r="AD2352" s="87"/>
      <c r="AE2352" s="87"/>
      <c r="AF2352" s="87"/>
      <c r="AG2352" s="87"/>
      <c r="AH2352" s="87">
        <v>39</v>
      </c>
      <c r="AI2352" s="87">
        <v>20</v>
      </c>
      <c r="AJ2352" s="87">
        <v>8</v>
      </c>
      <c r="AK2352" s="87"/>
      <c r="AL2352" s="87"/>
      <c r="AM2352" s="87"/>
      <c r="AN2352" s="87"/>
      <c r="AO2352" s="87"/>
      <c r="AP2352" s="87"/>
      <c r="AQ2352" s="87"/>
      <c r="AR2352" s="87">
        <v>62</v>
      </c>
      <c r="AS2352" s="87">
        <v>5</v>
      </c>
      <c r="AT2352" s="87"/>
      <c r="AU2352" s="87"/>
      <c r="AV2352" s="87"/>
      <c r="AW2352" s="88" t="str">
        <f>HYPERLINK("http://www.openstreetmap.org/?mlat=34.6987&amp;mlon=43.6183&amp;zoom=12#map=12/34.6987/43.6183","Maplink1")</f>
        <v>Maplink1</v>
      </c>
      <c r="AX2352" s="88" t="str">
        <f>HYPERLINK("https://www.google.iq/maps/search/+34.6987,43.6183/@34.6987,43.6183,14z?hl=en","Maplink2")</f>
        <v>Maplink2</v>
      </c>
      <c r="AY2352" s="88" t="str">
        <f>HYPERLINK("http://www.bing.com/maps/?lvl=14&amp;sty=h&amp;cp=34.6987~43.6183&amp;sp=point.34.6987_43.6183","Maplink3")</f>
        <v>Maplink3</v>
      </c>
      <c r="AZ2352" s="76"/>
    </row>
    <row r="2353" spans="1:52" x14ac:dyDescent="0.25">
      <c r="A2353" s="86">
        <v>23301</v>
      </c>
      <c r="B2353" s="87" t="s">
        <v>26</v>
      </c>
      <c r="C2353" s="87" t="s">
        <v>4481</v>
      </c>
      <c r="D2353" s="87" t="s">
        <v>4523</v>
      </c>
      <c r="E2353" s="87" t="s">
        <v>4524</v>
      </c>
      <c r="F2353" s="87">
        <v>34.575039004600001</v>
      </c>
      <c r="G2353" s="87">
        <v>43.682018877200001</v>
      </c>
      <c r="H2353" s="86">
        <v>8</v>
      </c>
      <c r="I2353" s="86">
        <v>48</v>
      </c>
      <c r="J2353" s="87"/>
      <c r="K2353" s="87"/>
      <c r="L2353" s="87"/>
      <c r="M2353" s="87"/>
      <c r="N2353" s="87"/>
      <c r="O2353" s="87"/>
      <c r="P2353" s="87"/>
      <c r="Q2353" s="87"/>
      <c r="R2353" s="87"/>
      <c r="S2353" s="87"/>
      <c r="T2353" s="87"/>
      <c r="U2353" s="87"/>
      <c r="V2353" s="87"/>
      <c r="W2353" s="87"/>
      <c r="X2353" s="87">
        <v>8</v>
      </c>
      <c r="Y2353" s="87"/>
      <c r="Z2353" s="87"/>
      <c r="AA2353" s="87"/>
      <c r="AB2353" s="87"/>
      <c r="AC2353" s="87"/>
      <c r="AD2353" s="87"/>
      <c r="AE2353" s="87"/>
      <c r="AF2353" s="87"/>
      <c r="AG2353" s="87"/>
      <c r="AH2353" s="87">
        <v>8</v>
      </c>
      <c r="AI2353" s="87"/>
      <c r="AJ2353" s="87"/>
      <c r="AK2353" s="87"/>
      <c r="AL2353" s="87"/>
      <c r="AM2353" s="87"/>
      <c r="AN2353" s="87"/>
      <c r="AO2353" s="87"/>
      <c r="AP2353" s="87"/>
      <c r="AQ2353" s="87"/>
      <c r="AR2353" s="87"/>
      <c r="AS2353" s="87">
        <v>8</v>
      </c>
      <c r="AT2353" s="87"/>
      <c r="AU2353" s="87"/>
      <c r="AV2353" s="87"/>
      <c r="AW2353" s="88" t="str">
        <f>HYPERLINK("http://www.openstreetmap.org/?mlat=34.575&amp;mlon=43.682&amp;zoom=12#map=12/34.575/43.682","Maplink1")</f>
        <v>Maplink1</v>
      </c>
      <c r="AX2353" s="88" t="str">
        <f>HYPERLINK("https://www.google.iq/maps/search/+34.575,43.682/@34.575,43.682,14z?hl=en","Maplink2")</f>
        <v>Maplink2</v>
      </c>
      <c r="AY2353" s="88" t="str">
        <f>HYPERLINK("http://www.bing.com/maps/?lvl=14&amp;sty=h&amp;cp=34.575~43.682&amp;sp=point.34.575_43.682","Maplink3")</f>
        <v>Maplink3</v>
      </c>
      <c r="AZ2353" s="76"/>
    </row>
    <row r="2354" spans="1:52" x14ac:dyDescent="0.25">
      <c r="A2354" s="86">
        <v>23244</v>
      </c>
      <c r="B2354" s="87" t="s">
        <v>26</v>
      </c>
      <c r="C2354" s="87" t="s">
        <v>4481</v>
      </c>
      <c r="D2354" s="87" t="s">
        <v>4091</v>
      </c>
      <c r="E2354" s="87" t="s">
        <v>2240</v>
      </c>
      <c r="F2354" s="87">
        <v>34.688866816299999</v>
      </c>
      <c r="G2354" s="87">
        <v>43.717271047899999</v>
      </c>
      <c r="H2354" s="86">
        <v>250</v>
      </c>
      <c r="I2354" s="86">
        <v>1500</v>
      </c>
      <c r="J2354" s="87"/>
      <c r="K2354" s="87"/>
      <c r="L2354" s="87"/>
      <c r="M2354" s="87"/>
      <c r="N2354" s="87"/>
      <c r="O2354" s="87"/>
      <c r="P2354" s="87"/>
      <c r="Q2354" s="87"/>
      <c r="R2354" s="87">
        <v>205</v>
      </c>
      <c r="S2354" s="87"/>
      <c r="T2354" s="87"/>
      <c r="U2354" s="87"/>
      <c r="V2354" s="87"/>
      <c r="W2354" s="87"/>
      <c r="X2354" s="87">
        <v>45</v>
      </c>
      <c r="Y2354" s="87"/>
      <c r="Z2354" s="87"/>
      <c r="AA2354" s="87"/>
      <c r="AB2354" s="87"/>
      <c r="AC2354" s="87">
        <v>6</v>
      </c>
      <c r="AD2354" s="87"/>
      <c r="AE2354" s="87"/>
      <c r="AF2354" s="87"/>
      <c r="AG2354" s="87"/>
      <c r="AH2354" s="87">
        <v>222</v>
      </c>
      <c r="AI2354" s="87">
        <v>14</v>
      </c>
      <c r="AJ2354" s="87"/>
      <c r="AK2354" s="87">
        <v>8</v>
      </c>
      <c r="AL2354" s="87"/>
      <c r="AM2354" s="87"/>
      <c r="AN2354" s="87"/>
      <c r="AO2354" s="87"/>
      <c r="AP2354" s="87"/>
      <c r="AQ2354" s="87"/>
      <c r="AR2354" s="87">
        <v>45</v>
      </c>
      <c r="AS2354" s="87">
        <v>205</v>
      </c>
      <c r="AT2354" s="87"/>
      <c r="AU2354" s="87"/>
      <c r="AV2354" s="87"/>
      <c r="AW2354" s="88" t="str">
        <f>HYPERLINK("http://www.openstreetmap.org/?mlat=34.6889&amp;mlon=43.7173&amp;zoom=12#map=12/34.6889/43.7173","Maplink1")</f>
        <v>Maplink1</v>
      </c>
      <c r="AX2354" s="88" t="str">
        <f>HYPERLINK("https://www.google.iq/maps/search/+34.6889,43.7173/@34.6889,43.7173,14z?hl=en","Maplink2")</f>
        <v>Maplink2</v>
      </c>
      <c r="AY2354" s="88" t="str">
        <f>HYPERLINK("http://www.bing.com/maps/?lvl=14&amp;sty=h&amp;cp=34.6889~43.7173&amp;sp=point.34.6889_43.7173","Maplink3")</f>
        <v>Maplink3</v>
      </c>
      <c r="AZ2354" s="76"/>
    </row>
    <row r="2355" spans="1:52" x14ac:dyDescent="0.25">
      <c r="A2355" s="86">
        <v>23206</v>
      </c>
      <c r="B2355" s="87" t="s">
        <v>26</v>
      </c>
      <c r="C2355" s="87" t="s">
        <v>4481</v>
      </c>
      <c r="D2355" s="87" t="s">
        <v>4525</v>
      </c>
      <c r="E2355" s="87" t="s">
        <v>4526</v>
      </c>
      <c r="F2355" s="87">
        <v>34.6053898567</v>
      </c>
      <c r="G2355" s="87">
        <v>43.676170343499997</v>
      </c>
      <c r="H2355" s="86">
        <v>94</v>
      </c>
      <c r="I2355" s="86">
        <v>564</v>
      </c>
      <c r="J2355" s="87"/>
      <c r="K2355" s="87"/>
      <c r="L2355" s="87"/>
      <c r="M2355" s="87"/>
      <c r="N2355" s="87"/>
      <c r="O2355" s="87"/>
      <c r="P2355" s="87"/>
      <c r="Q2355" s="87"/>
      <c r="R2355" s="87"/>
      <c r="S2355" s="87"/>
      <c r="T2355" s="87"/>
      <c r="U2355" s="87"/>
      <c r="V2355" s="87"/>
      <c r="W2355" s="87"/>
      <c r="X2355" s="87">
        <v>94</v>
      </c>
      <c r="Y2355" s="87"/>
      <c r="Z2355" s="87"/>
      <c r="AA2355" s="87"/>
      <c r="AB2355" s="87"/>
      <c r="AC2355" s="87"/>
      <c r="AD2355" s="87"/>
      <c r="AE2355" s="87"/>
      <c r="AF2355" s="87"/>
      <c r="AG2355" s="87"/>
      <c r="AH2355" s="87">
        <v>94</v>
      </c>
      <c r="AI2355" s="87"/>
      <c r="AJ2355" s="87"/>
      <c r="AK2355" s="87"/>
      <c r="AL2355" s="87"/>
      <c r="AM2355" s="87"/>
      <c r="AN2355" s="87"/>
      <c r="AO2355" s="87"/>
      <c r="AP2355" s="87"/>
      <c r="AQ2355" s="87">
        <v>94</v>
      </c>
      <c r="AR2355" s="87"/>
      <c r="AS2355" s="87"/>
      <c r="AT2355" s="87"/>
      <c r="AU2355" s="87"/>
      <c r="AV2355" s="87"/>
      <c r="AW2355" s="88" t="str">
        <f>HYPERLINK("http://www.openstreetmap.org/?mlat=34.6054&amp;mlon=43.6762&amp;zoom=12#map=12/34.6054/43.6762","Maplink1")</f>
        <v>Maplink1</v>
      </c>
      <c r="AX2355" s="88" t="str">
        <f>HYPERLINK("https://www.google.iq/maps/search/+34.6054,43.6762/@34.6054,43.6762,14z?hl=en","Maplink2")</f>
        <v>Maplink2</v>
      </c>
      <c r="AY2355" s="88" t="str">
        <f>HYPERLINK("http://www.bing.com/maps/?lvl=14&amp;sty=h&amp;cp=34.6054~43.6762&amp;sp=point.34.6054_43.6762","Maplink3")</f>
        <v>Maplink3</v>
      </c>
      <c r="AZ2355" s="76"/>
    </row>
    <row r="2356" spans="1:52" x14ac:dyDescent="0.25">
      <c r="A2356" s="86">
        <v>24247</v>
      </c>
      <c r="B2356" s="87" t="s">
        <v>26</v>
      </c>
      <c r="C2356" s="87" t="s">
        <v>4481</v>
      </c>
      <c r="D2356" s="87" t="s">
        <v>4527</v>
      </c>
      <c r="E2356" s="87" t="s">
        <v>4528</v>
      </c>
      <c r="F2356" s="87">
        <v>34.687550088999998</v>
      </c>
      <c r="G2356" s="87">
        <v>43.717695239599998</v>
      </c>
      <c r="H2356" s="86">
        <v>176</v>
      </c>
      <c r="I2356" s="86">
        <v>1056</v>
      </c>
      <c r="J2356" s="87"/>
      <c r="K2356" s="87"/>
      <c r="L2356" s="87"/>
      <c r="M2356" s="87"/>
      <c r="N2356" s="87"/>
      <c r="O2356" s="87"/>
      <c r="P2356" s="87"/>
      <c r="Q2356" s="87"/>
      <c r="R2356" s="87">
        <v>40</v>
      </c>
      <c r="S2356" s="87"/>
      <c r="T2356" s="87"/>
      <c r="U2356" s="87"/>
      <c r="V2356" s="87"/>
      <c r="W2356" s="87"/>
      <c r="X2356" s="87">
        <v>136</v>
      </c>
      <c r="Y2356" s="87"/>
      <c r="Z2356" s="87"/>
      <c r="AA2356" s="87"/>
      <c r="AB2356" s="87"/>
      <c r="AC2356" s="87"/>
      <c r="AD2356" s="87"/>
      <c r="AE2356" s="87"/>
      <c r="AF2356" s="87"/>
      <c r="AG2356" s="87"/>
      <c r="AH2356" s="87">
        <v>72</v>
      </c>
      <c r="AI2356" s="87">
        <v>53</v>
      </c>
      <c r="AJ2356" s="87"/>
      <c r="AK2356" s="87">
        <v>51</v>
      </c>
      <c r="AL2356" s="87"/>
      <c r="AM2356" s="87"/>
      <c r="AN2356" s="87"/>
      <c r="AO2356" s="87"/>
      <c r="AP2356" s="87"/>
      <c r="AQ2356" s="87"/>
      <c r="AR2356" s="87"/>
      <c r="AS2356" s="87"/>
      <c r="AT2356" s="87">
        <v>165</v>
      </c>
      <c r="AU2356" s="87">
        <v>11</v>
      </c>
      <c r="AV2356" s="87"/>
      <c r="AW2356" s="88" t="str">
        <f>HYPERLINK("http://www.openstreetmap.org/?mlat=34.6876&amp;mlon=43.7177&amp;zoom=12#map=12/34.6876/43.7177","Maplink1")</f>
        <v>Maplink1</v>
      </c>
      <c r="AX2356" s="88" t="str">
        <f>HYPERLINK("https://www.google.iq/maps/search/+34.6876,43.7177/@34.6876,43.7177,14z?hl=en","Maplink2")</f>
        <v>Maplink2</v>
      </c>
      <c r="AY2356" s="88" t="str">
        <f>HYPERLINK("http://www.bing.com/maps/?lvl=14&amp;sty=h&amp;cp=34.6876~43.7177&amp;sp=point.34.6876_43.7177","Maplink3")</f>
        <v>Maplink3</v>
      </c>
      <c r="AZ2356" s="76"/>
    </row>
    <row r="2357" spans="1:52" x14ac:dyDescent="0.25">
      <c r="A2357" s="86">
        <v>20638</v>
      </c>
      <c r="B2357" s="87" t="s">
        <v>26</v>
      </c>
      <c r="C2357" s="87" t="s">
        <v>4481</v>
      </c>
      <c r="D2357" s="87" t="s">
        <v>427</v>
      </c>
      <c r="E2357" s="87" t="s">
        <v>428</v>
      </c>
      <c r="F2357" s="87">
        <v>34.6346683931</v>
      </c>
      <c r="G2357" s="87">
        <v>43.6702753012</v>
      </c>
      <c r="H2357" s="86">
        <v>45</v>
      </c>
      <c r="I2357" s="86">
        <v>270</v>
      </c>
      <c r="J2357" s="87"/>
      <c r="K2357" s="87"/>
      <c r="L2357" s="87"/>
      <c r="M2357" s="87"/>
      <c r="N2357" s="87"/>
      <c r="O2357" s="87"/>
      <c r="P2357" s="87"/>
      <c r="Q2357" s="87"/>
      <c r="R2357" s="87"/>
      <c r="S2357" s="87"/>
      <c r="T2357" s="87"/>
      <c r="U2357" s="87"/>
      <c r="V2357" s="87"/>
      <c r="W2357" s="87"/>
      <c r="X2357" s="87">
        <v>45</v>
      </c>
      <c r="Y2357" s="87"/>
      <c r="Z2357" s="87"/>
      <c r="AA2357" s="87"/>
      <c r="AB2357" s="87"/>
      <c r="AC2357" s="87"/>
      <c r="AD2357" s="87"/>
      <c r="AE2357" s="87"/>
      <c r="AF2357" s="87"/>
      <c r="AG2357" s="87"/>
      <c r="AH2357" s="87">
        <v>34</v>
      </c>
      <c r="AI2357" s="87"/>
      <c r="AJ2357" s="87"/>
      <c r="AK2357" s="87">
        <v>11</v>
      </c>
      <c r="AL2357" s="87"/>
      <c r="AM2357" s="87"/>
      <c r="AN2357" s="87"/>
      <c r="AO2357" s="87"/>
      <c r="AP2357" s="87"/>
      <c r="AQ2357" s="87"/>
      <c r="AR2357" s="87"/>
      <c r="AS2357" s="87">
        <v>45</v>
      </c>
      <c r="AT2357" s="87"/>
      <c r="AU2357" s="87"/>
      <c r="AV2357" s="87"/>
      <c r="AW2357" s="88" t="str">
        <f>HYPERLINK("http://www.openstreetmap.org/?mlat=34.6347&amp;mlon=43.6703&amp;zoom=12#map=12/34.6347/43.6703","Maplink1")</f>
        <v>Maplink1</v>
      </c>
      <c r="AX2357" s="88" t="str">
        <f>HYPERLINK("https://www.google.iq/maps/search/+34.6347,43.6703/@34.6347,43.6703,14z?hl=en","Maplink2")</f>
        <v>Maplink2</v>
      </c>
      <c r="AY2357" s="88" t="str">
        <f>HYPERLINK("http://www.bing.com/maps/?lvl=14&amp;sty=h&amp;cp=34.6347~43.6703&amp;sp=point.34.6347_43.6703","Maplink3")</f>
        <v>Maplink3</v>
      </c>
      <c r="AZ2357" s="76"/>
    </row>
    <row r="2358" spans="1:52" x14ac:dyDescent="0.25">
      <c r="A2358" s="86">
        <v>20608</v>
      </c>
      <c r="B2358" s="87" t="s">
        <v>26</v>
      </c>
      <c r="C2358" s="87" t="s">
        <v>4481</v>
      </c>
      <c r="D2358" s="87" t="s">
        <v>4529</v>
      </c>
      <c r="E2358" s="87" t="s">
        <v>4530</v>
      </c>
      <c r="F2358" s="87">
        <v>34.694626305100002</v>
      </c>
      <c r="G2358" s="87">
        <v>43.715220704300002</v>
      </c>
      <c r="H2358" s="86">
        <v>14</v>
      </c>
      <c r="I2358" s="86">
        <v>84</v>
      </c>
      <c r="J2358" s="87"/>
      <c r="K2358" s="87"/>
      <c r="L2358" s="87"/>
      <c r="M2358" s="87"/>
      <c r="N2358" s="87"/>
      <c r="O2358" s="87"/>
      <c r="P2358" s="87"/>
      <c r="Q2358" s="87"/>
      <c r="R2358" s="87">
        <v>12</v>
      </c>
      <c r="S2358" s="87"/>
      <c r="T2358" s="87"/>
      <c r="U2358" s="87"/>
      <c r="V2358" s="87"/>
      <c r="W2358" s="87"/>
      <c r="X2358" s="87">
        <v>2</v>
      </c>
      <c r="Y2358" s="87"/>
      <c r="Z2358" s="87"/>
      <c r="AA2358" s="87"/>
      <c r="AB2358" s="87"/>
      <c r="AC2358" s="87"/>
      <c r="AD2358" s="87"/>
      <c r="AE2358" s="87"/>
      <c r="AF2358" s="87"/>
      <c r="AG2358" s="87"/>
      <c r="AH2358" s="87">
        <v>7</v>
      </c>
      <c r="AI2358" s="87"/>
      <c r="AJ2358" s="87"/>
      <c r="AK2358" s="87">
        <v>7</v>
      </c>
      <c r="AL2358" s="87"/>
      <c r="AM2358" s="87"/>
      <c r="AN2358" s="87"/>
      <c r="AO2358" s="87"/>
      <c r="AP2358" s="87"/>
      <c r="AQ2358" s="87"/>
      <c r="AR2358" s="87">
        <v>9</v>
      </c>
      <c r="AS2358" s="87">
        <v>5</v>
      </c>
      <c r="AT2358" s="87"/>
      <c r="AU2358" s="87"/>
      <c r="AV2358" s="87"/>
      <c r="AW2358" s="88" t="str">
        <f>HYPERLINK("http://www.openstreetmap.org/?mlat=34.6946&amp;mlon=43.7152&amp;zoom=12#map=12/34.6946/43.7152","Maplink1")</f>
        <v>Maplink1</v>
      </c>
      <c r="AX2358" s="88" t="str">
        <f>HYPERLINK("https://www.google.iq/maps/search/+34.6946,43.7152/@34.6946,43.7152,14z?hl=en","Maplink2")</f>
        <v>Maplink2</v>
      </c>
      <c r="AY2358" s="88" t="str">
        <f>HYPERLINK("http://www.bing.com/maps/?lvl=14&amp;sty=h&amp;cp=34.6946~43.7152&amp;sp=point.34.6946_43.7152","Maplink3")</f>
        <v>Maplink3</v>
      </c>
      <c r="AZ2358" s="76"/>
    </row>
    <row r="2359" spans="1:52" x14ac:dyDescent="0.25">
      <c r="A2359" s="86">
        <v>22812</v>
      </c>
      <c r="B2359" s="87" t="s">
        <v>26</v>
      </c>
      <c r="C2359" s="87" t="s">
        <v>4481</v>
      </c>
      <c r="D2359" s="87" t="s">
        <v>4531</v>
      </c>
      <c r="E2359" s="87" t="s">
        <v>4532</v>
      </c>
      <c r="F2359" s="87">
        <v>34.603651282400001</v>
      </c>
      <c r="G2359" s="87">
        <v>43.674734942599997</v>
      </c>
      <c r="H2359" s="86">
        <v>30</v>
      </c>
      <c r="I2359" s="86">
        <v>180</v>
      </c>
      <c r="J2359" s="87"/>
      <c r="K2359" s="87"/>
      <c r="L2359" s="87"/>
      <c r="M2359" s="87"/>
      <c r="N2359" s="87"/>
      <c r="O2359" s="87"/>
      <c r="P2359" s="87"/>
      <c r="Q2359" s="87"/>
      <c r="R2359" s="87"/>
      <c r="S2359" s="87"/>
      <c r="T2359" s="87"/>
      <c r="U2359" s="87"/>
      <c r="V2359" s="87"/>
      <c r="W2359" s="87"/>
      <c r="X2359" s="87">
        <v>30</v>
      </c>
      <c r="Y2359" s="87"/>
      <c r="Z2359" s="87"/>
      <c r="AA2359" s="87"/>
      <c r="AB2359" s="87"/>
      <c r="AC2359" s="87"/>
      <c r="AD2359" s="87"/>
      <c r="AE2359" s="87"/>
      <c r="AF2359" s="87"/>
      <c r="AG2359" s="87"/>
      <c r="AH2359" s="87">
        <v>30</v>
      </c>
      <c r="AI2359" s="87"/>
      <c r="AJ2359" s="87"/>
      <c r="AK2359" s="87"/>
      <c r="AL2359" s="87"/>
      <c r="AM2359" s="87"/>
      <c r="AN2359" s="87"/>
      <c r="AO2359" s="87">
        <v>30</v>
      </c>
      <c r="AP2359" s="87"/>
      <c r="AQ2359" s="87"/>
      <c r="AR2359" s="87"/>
      <c r="AS2359" s="87"/>
      <c r="AT2359" s="87"/>
      <c r="AU2359" s="87"/>
      <c r="AV2359" s="87"/>
      <c r="AW2359" s="88" t="str">
        <f>HYPERLINK("http://www.openstreetmap.org/?mlat=34.6037&amp;mlon=43.6747&amp;zoom=12#map=12/34.6037/43.6747","Maplink1")</f>
        <v>Maplink1</v>
      </c>
      <c r="AX2359" s="88" t="str">
        <f>HYPERLINK("https://www.google.iq/maps/search/+34.6037,43.6747/@34.6037,43.6747,14z?hl=en","Maplink2")</f>
        <v>Maplink2</v>
      </c>
      <c r="AY2359" s="88" t="str">
        <f>HYPERLINK("http://www.bing.com/maps/?lvl=14&amp;sty=h&amp;cp=34.6037~43.6747&amp;sp=point.34.6037_43.6747","Maplink3")</f>
        <v>Maplink3</v>
      </c>
      <c r="AZ2359" s="76"/>
    </row>
    <row r="2360" spans="1:52" x14ac:dyDescent="0.25">
      <c r="A2360" s="86">
        <v>21592</v>
      </c>
      <c r="B2360" s="87" t="s">
        <v>26</v>
      </c>
      <c r="C2360" s="87" t="s">
        <v>4481</v>
      </c>
      <c r="D2360" s="87" t="s">
        <v>4533</v>
      </c>
      <c r="E2360" s="87" t="s">
        <v>4534</v>
      </c>
      <c r="F2360" s="87">
        <v>34.713268253800003</v>
      </c>
      <c r="G2360" s="87">
        <v>43.706691074699997</v>
      </c>
      <c r="H2360" s="86">
        <v>170</v>
      </c>
      <c r="I2360" s="86">
        <v>1020</v>
      </c>
      <c r="J2360" s="87"/>
      <c r="K2360" s="87"/>
      <c r="L2360" s="87"/>
      <c r="M2360" s="87"/>
      <c r="N2360" s="87"/>
      <c r="O2360" s="87"/>
      <c r="P2360" s="87"/>
      <c r="Q2360" s="87"/>
      <c r="R2360" s="87">
        <v>150</v>
      </c>
      <c r="S2360" s="87"/>
      <c r="T2360" s="87"/>
      <c r="U2360" s="87"/>
      <c r="V2360" s="87"/>
      <c r="W2360" s="87"/>
      <c r="X2360" s="87">
        <v>20</v>
      </c>
      <c r="Y2360" s="87"/>
      <c r="Z2360" s="87"/>
      <c r="AA2360" s="87"/>
      <c r="AB2360" s="87"/>
      <c r="AC2360" s="87"/>
      <c r="AD2360" s="87"/>
      <c r="AE2360" s="87"/>
      <c r="AF2360" s="87"/>
      <c r="AG2360" s="87"/>
      <c r="AH2360" s="87">
        <v>68</v>
      </c>
      <c r="AI2360" s="87"/>
      <c r="AJ2360" s="87"/>
      <c r="AK2360" s="87">
        <v>102</v>
      </c>
      <c r="AL2360" s="87"/>
      <c r="AM2360" s="87"/>
      <c r="AN2360" s="87"/>
      <c r="AO2360" s="87"/>
      <c r="AP2360" s="87"/>
      <c r="AQ2360" s="87"/>
      <c r="AR2360" s="87"/>
      <c r="AS2360" s="87"/>
      <c r="AT2360" s="87">
        <v>170</v>
      </c>
      <c r="AU2360" s="87"/>
      <c r="AV2360" s="87"/>
      <c r="AW2360" s="88" t="str">
        <f>HYPERLINK("http://www.openstreetmap.org/?mlat=34.7133&amp;mlon=43.7067&amp;zoom=12#map=12/34.7133/43.7067","Maplink1")</f>
        <v>Maplink1</v>
      </c>
      <c r="AX2360" s="88" t="str">
        <f>HYPERLINK("https://www.google.iq/maps/search/+34.7133,43.7067/@34.7133,43.7067,14z?hl=en","Maplink2")</f>
        <v>Maplink2</v>
      </c>
      <c r="AY2360" s="88" t="str">
        <f>HYPERLINK("http://www.bing.com/maps/?lvl=14&amp;sty=h&amp;cp=34.7133~43.7067&amp;sp=point.34.7133_43.7067","Maplink3")</f>
        <v>Maplink3</v>
      </c>
      <c r="AZ2360" s="76"/>
    </row>
    <row r="2361" spans="1:52" x14ac:dyDescent="0.25">
      <c r="A2361" s="86">
        <v>20622</v>
      </c>
      <c r="B2361" s="87" t="s">
        <v>26</v>
      </c>
      <c r="C2361" s="87" t="s">
        <v>4481</v>
      </c>
      <c r="D2361" s="87" t="s">
        <v>4535</v>
      </c>
      <c r="E2361" s="87" t="s">
        <v>4536</v>
      </c>
      <c r="F2361" s="87">
        <v>34.700964448800001</v>
      </c>
      <c r="G2361" s="87">
        <v>43.610637353800001</v>
      </c>
      <c r="H2361" s="86">
        <v>61</v>
      </c>
      <c r="I2361" s="86">
        <v>366</v>
      </c>
      <c r="J2361" s="87"/>
      <c r="K2361" s="87"/>
      <c r="L2361" s="87"/>
      <c r="M2361" s="87"/>
      <c r="N2361" s="87"/>
      <c r="O2361" s="87"/>
      <c r="P2361" s="87"/>
      <c r="Q2361" s="87"/>
      <c r="R2361" s="87"/>
      <c r="S2361" s="87"/>
      <c r="T2361" s="87"/>
      <c r="U2361" s="87"/>
      <c r="V2361" s="87"/>
      <c r="W2361" s="87"/>
      <c r="X2361" s="87">
        <v>61</v>
      </c>
      <c r="Y2361" s="87"/>
      <c r="Z2361" s="87"/>
      <c r="AA2361" s="87"/>
      <c r="AB2361" s="87"/>
      <c r="AC2361" s="87"/>
      <c r="AD2361" s="87"/>
      <c r="AE2361" s="87">
        <v>12</v>
      </c>
      <c r="AF2361" s="87"/>
      <c r="AG2361" s="87"/>
      <c r="AH2361" s="87">
        <v>45</v>
      </c>
      <c r="AI2361" s="87">
        <v>4</v>
      </c>
      <c r="AJ2361" s="87"/>
      <c r="AK2361" s="87"/>
      <c r="AL2361" s="87"/>
      <c r="AM2361" s="87"/>
      <c r="AN2361" s="87"/>
      <c r="AO2361" s="87"/>
      <c r="AP2361" s="87"/>
      <c r="AQ2361" s="87"/>
      <c r="AR2361" s="87">
        <v>50</v>
      </c>
      <c r="AS2361" s="87">
        <v>11</v>
      </c>
      <c r="AT2361" s="87"/>
      <c r="AU2361" s="87"/>
      <c r="AV2361" s="87"/>
      <c r="AW2361" s="88" t="str">
        <f>HYPERLINK("http://www.openstreetmap.org/?mlat=34.701&amp;mlon=43.6106&amp;zoom=12#map=12/34.701/43.6106","Maplink1")</f>
        <v>Maplink1</v>
      </c>
      <c r="AX2361" s="88" t="str">
        <f>HYPERLINK("https://www.google.iq/maps/search/+34.701,43.6106/@34.701,43.6106,14z?hl=en","Maplink2")</f>
        <v>Maplink2</v>
      </c>
      <c r="AY2361" s="88" t="str">
        <f>HYPERLINK("http://www.bing.com/maps/?lvl=14&amp;sty=h&amp;cp=34.701~43.6106&amp;sp=point.34.701_43.6106","Maplink3")</f>
        <v>Maplink3</v>
      </c>
      <c r="AZ2361" s="76"/>
    </row>
    <row r="2362" spans="1:52" x14ac:dyDescent="0.25">
      <c r="A2362" s="86">
        <v>22468</v>
      </c>
      <c r="B2362" s="87" t="s">
        <v>26</v>
      </c>
      <c r="C2362" s="87" t="s">
        <v>4481</v>
      </c>
      <c r="D2362" s="87" t="s">
        <v>4537</v>
      </c>
      <c r="E2362" s="87" t="s">
        <v>4538</v>
      </c>
      <c r="F2362" s="87">
        <v>34.590604122199998</v>
      </c>
      <c r="G2362" s="87">
        <v>43.672378590900003</v>
      </c>
      <c r="H2362" s="86">
        <v>222</v>
      </c>
      <c r="I2362" s="86">
        <v>1332</v>
      </c>
      <c r="J2362" s="87"/>
      <c r="K2362" s="87"/>
      <c r="L2362" s="87"/>
      <c r="M2362" s="87"/>
      <c r="N2362" s="87"/>
      <c r="O2362" s="87"/>
      <c r="P2362" s="87"/>
      <c r="Q2362" s="87"/>
      <c r="R2362" s="87">
        <v>5</v>
      </c>
      <c r="S2362" s="87"/>
      <c r="T2362" s="87"/>
      <c r="U2362" s="87"/>
      <c r="V2362" s="87">
        <v>6</v>
      </c>
      <c r="W2362" s="87"/>
      <c r="X2362" s="87">
        <v>211</v>
      </c>
      <c r="Y2362" s="87"/>
      <c r="Z2362" s="87"/>
      <c r="AA2362" s="87"/>
      <c r="AB2362" s="87"/>
      <c r="AC2362" s="87"/>
      <c r="AD2362" s="87"/>
      <c r="AE2362" s="87"/>
      <c r="AF2362" s="87"/>
      <c r="AG2362" s="87"/>
      <c r="AH2362" s="87">
        <v>205</v>
      </c>
      <c r="AI2362" s="87"/>
      <c r="AJ2362" s="87">
        <v>17</v>
      </c>
      <c r="AK2362" s="87"/>
      <c r="AL2362" s="87"/>
      <c r="AM2362" s="87"/>
      <c r="AN2362" s="87"/>
      <c r="AO2362" s="87"/>
      <c r="AP2362" s="87">
        <v>134</v>
      </c>
      <c r="AQ2362" s="87">
        <v>88</v>
      </c>
      <c r="AR2362" s="87"/>
      <c r="AS2362" s="87"/>
      <c r="AT2362" s="87"/>
      <c r="AU2362" s="87"/>
      <c r="AV2362" s="87"/>
      <c r="AW2362" s="88" t="str">
        <f>HYPERLINK("http://www.openstreetmap.org/?mlat=34.5906&amp;mlon=43.6724&amp;zoom=12#map=12/34.5906/43.6724","Maplink1")</f>
        <v>Maplink1</v>
      </c>
      <c r="AX2362" s="88" t="str">
        <f>HYPERLINK("https://www.google.iq/maps/search/+34.5906,43.6724/@34.5906,43.6724,14z?hl=en","Maplink2")</f>
        <v>Maplink2</v>
      </c>
      <c r="AY2362" s="88" t="str">
        <f>HYPERLINK("http://www.bing.com/maps/?lvl=14&amp;sty=h&amp;cp=34.5906~43.6724&amp;sp=point.34.5906_43.6724","Maplink3")</f>
        <v>Maplink3</v>
      </c>
      <c r="AZ2362" s="76"/>
    </row>
    <row r="2363" spans="1:52" x14ac:dyDescent="0.25">
      <c r="A2363" s="86">
        <v>28412</v>
      </c>
      <c r="B2363" s="87" t="s">
        <v>26</v>
      </c>
      <c r="C2363" s="87" t="s">
        <v>4481</v>
      </c>
      <c r="D2363" s="87" t="s">
        <v>4539</v>
      </c>
      <c r="E2363" s="87" t="s">
        <v>4540</v>
      </c>
      <c r="F2363" s="87">
        <v>34.6012128323</v>
      </c>
      <c r="G2363" s="87">
        <v>43.672534106599997</v>
      </c>
      <c r="H2363" s="86">
        <v>14</v>
      </c>
      <c r="I2363" s="86">
        <v>84</v>
      </c>
      <c r="J2363" s="87"/>
      <c r="K2363" s="87"/>
      <c r="L2363" s="87"/>
      <c r="M2363" s="87"/>
      <c r="N2363" s="87"/>
      <c r="O2363" s="87"/>
      <c r="P2363" s="87"/>
      <c r="Q2363" s="87"/>
      <c r="R2363" s="87"/>
      <c r="S2363" s="87"/>
      <c r="T2363" s="87"/>
      <c r="U2363" s="87"/>
      <c r="V2363" s="87">
        <v>6</v>
      </c>
      <c r="W2363" s="87"/>
      <c r="X2363" s="87">
        <v>8</v>
      </c>
      <c r="Y2363" s="87"/>
      <c r="Z2363" s="87"/>
      <c r="AA2363" s="87"/>
      <c r="AB2363" s="87"/>
      <c r="AC2363" s="87"/>
      <c r="AD2363" s="87"/>
      <c r="AE2363" s="87"/>
      <c r="AF2363" s="87"/>
      <c r="AG2363" s="87"/>
      <c r="AH2363" s="87"/>
      <c r="AI2363" s="87">
        <v>14</v>
      </c>
      <c r="AJ2363" s="87"/>
      <c r="AK2363" s="87"/>
      <c r="AL2363" s="87"/>
      <c r="AM2363" s="87"/>
      <c r="AN2363" s="87"/>
      <c r="AO2363" s="87"/>
      <c r="AP2363" s="87"/>
      <c r="AQ2363" s="87"/>
      <c r="AR2363" s="87">
        <v>8</v>
      </c>
      <c r="AS2363" s="87">
        <v>6</v>
      </c>
      <c r="AT2363" s="87"/>
      <c r="AU2363" s="87"/>
      <c r="AV2363" s="87"/>
      <c r="AW2363" s="88" t="str">
        <f>HYPERLINK("http://www.openstreetmap.org/?mlat=34.6012&amp;mlon=43.6725&amp;zoom=12#map=12/34.6012/43.6725","Maplink1")</f>
        <v>Maplink1</v>
      </c>
      <c r="AX2363" s="88" t="str">
        <f>HYPERLINK("https://www.google.iq/maps/search/+34.6012,43.6725/@34.6012,43.6725,14z?hl=en","Maplink2")</f>
        <v>Maplink2</v>
      </c>
      <c r="AY2363" s="88" t="str">
        <f>HYPERLINK("http://www.bing.com/maps/?lvl=14&amp;sty=h&amp;cp=34.6012~43.6725&amp;sp=point.34.6012_43.6725","Maplink3")</f>
        <v>Maplink3</v>
      </c>
      <c r="AZ2363" s="76"/>
    </row>
    <row r="2364" spans="1:52" x14ac:dyDescent="0.25">
      <c r="A2364" s="86">
        <v>28478</v>
      </c>
      <c r="B2364" s="87" t="s">
        <v>26</v>
      </c>
      <c r="C2364" s="87" t="s">
        <v>4481</v>
      </c>
      <c r="D2364" s="87" t="s">
        <v>4541</v>
      </c>
      <c r="E2364" s="87" t="s">
        <v>3239</v>
      </c>
      <c r="F2364" s="87">
        <v>34.596828872899998</v>
      </c>
      <c r="G2364" s="87">
        <v>43.675137832099999</v>
      </c>
      <c r="H2364" s="86">
        <v>11</v>
      </c>
      <c r="I2364" s="86">
        <v>66</v>
      </c>
      <c r="J2364" s="87"/>
      <c r="K2364" s="87"/>
      <c r="L2364" s="87"/>
      <c r="M2364" s="87"/>
      <c r="N2364" s="87"/>
      <c r="O2364" s="87"/>
      <c r="P2364" s="87"/>
      <c r="Q2364" s="87"/>
      <c r="R2364" s="87"/>
      <c r="S2364" s="87"/>
      <c r="T2364" s="87"/>
      <c r="U2364" s="87"/>
      <c r="V2364" s="87"/>
      <c r="W2364" s="87"/>
      <c r="X2364" s="87">
        <v>11</v>
      </c>
      <c r="Y2364" s="87"/>
      <c r="Z2364" s="87"/>
      <c r="AA2364" s="87"/>
      <c r="AB2364" s="87"/>
      <c r="AC2364" s="87"/>
      <c r="AD2364" s="87"/>
      <c r="AE2364" s="87"/>
      <c r="AF2364" s="87"/>
      <c r="AG2364" s="87"/>
      <c r="AH2364" s="87">
        <v>11</v>
      </c>
      <c r="AI2364" s="87"/>
      <c r="AJ2364" s="87"/>
      <c r="AK2364" s="87"/>
      <c r="AL2364" s="87"/>
      <c r="AM2364" s="87"/>
      <c r="AN2364" s="87"/>
      <c r="AO2364" s="87"/>
      <c r="AP2364" s="87"/>
      <c r="AQ2364" s="87"/>
      <c r="AR2364" s="87">
        <v>11</v>
      </c>
      <c r="AS2364" s="87"/>
      <c r="AT2364" s="87"/>
      <c r="AU2364" s="87"/>
      <c r="AV2364" s="87"/>
      <c r="AW2364" s="88" t="str">
        <f>HYPERLINK("http://www.openstreetmap.org/?mlat=34.5968&amp;mlon=43.6751&amp;zoom=12#map=12/34.5968/43.6751","Maplink1")</f>
        <v>Maplink1</v>
      </c>
      <c r="AX2364" s="88" t="str">
        <f>HYPERLINK("https://www.google.iq/maps/search/+34.5968,43.6751/@34.5968,43.6751,14z?hl=en","Maplink2")</f>
        <v>Maplink2</v>
      </c>
      <c r="AY2364" s="88" t="str">
        <f>HYPERLINK("http://www.bing.com/maps/?lvl=14&amp;sty=h&amp;cp=34.5968~43.6751&amp;sp=point.34.5968_43.6751","Maplink3")</f>
        <v>Maplink3</v>
      </c>
      <c r="AZ2364" s="76"/>
    </row>
    <row r="2365" spans="1:52" x14ac:dyDescent="0.25">
      <c r="A2365" s="86">
        <v>20663</v>
      </c>
      <c r="B2365" s="87" t="s">
        <v>26</v>
      </c>
      <c r="C2365" s="87" t="s">
        <v>4481</v>
      </c>
      <c r="D2365" s="87" t="s">
        <v>4542</v>
      </c>
      <c r="E2365" s="87" t="s">
        <v>4543</v>
      </c>
      <c r="F2365" s="87">
        <v>34.580094656</v>
      </c>
      <c r="G2365" s="87">
        <v>43.681505927800004</v>
      </c>
      <c r="H2365" s="86">
        <v>25</v>
      </c>
      <c r="I2365" s="86">
        <v>150</v>
      </c>
      <c r="J2365" s="87"/>
      <c r="K2365" s="87"/>
      <c r="L2365" s="87"/>
      <c r="M2365" s="87"/>
      <c r="N2365" s="87"/>
      <c r="O2365" s="87"/>
      <c r="P2365" s="87"/>
      <c r="Q2365" s="87"/>
      <c r="R2365" s="87"/>
      <c r="S2365" s="87"/>
      <c r="T2365" s="87"/>
      <c r="U2365" s="87"/>
      <c r="V2365" s="87"/>
      <c r="W2365" s="87"/>
      <c r="X2365" s="87">
        <v>25</v>
      </c>
      <c r="Y2365" s="87"/>
      <c r="Z2365" s="87"/>
      <c r="AA2365" s="87"/>
      <c r="AB2365" s="87"/>
      <c r="AC2365" s="87"/>
      <c r="AD2365" s="87"/>
      <c r="AE2365" s="87"/>
      <c r="AF2365" s="87"/>
      <c r="AG2365" s="87"/>
      <c r="AH2365" s="87">
        <v>8</v>
      </c>
      <c r="AI2365" s="87"/>
      <c r="AJ2365" s="87">
        <v>17</v>
      </c>
      <c r="AK2365" s="87"/>
      <c r="AL2365" s="87"/>
      <c r="AM2365" s="87"/>
      <c r="AN2365" s="87"/>
      <c r="AO2365" s="87"/>
      <c r="AP2365" s="87"/>
      <c r="AQ2365" s="87">
        <v>25</v>
      </c>
      <c r="AR2365" s="87"/>
      <c r="AS2365" s="87"/>
      <c r="AT2365" s="87"/>
      <c r="AU2365" s="87"/>
      <c r="AV2365" s="87"/>
      <c r="AW2365" s="88" t="str">
        <f>HYPERLINK("http://www.openstreetmap.org/?mlat=34.5801&amp;mlon=43.6815&amp;zoom=12#map=12/34.5801/43.6815","Maplink1")</f>
        <v>Maplink1</v>
      </c>
      <c r="AX2365" s="88" t="str">
        <f>HYPERLINK("https://www.google.iq/maps/search/+34.5801,43.6815/@34.5801,43.6815,14z?hl=en","Maplink2")</f>
        <v>Maplink2</v>
      </c>
      <c r="AY2365" s="88" t="str">
        <f>HYPERLINK("http://www.bing.com/maps/?lvl=14&amp;sty=h&amp;cp=34.5801~43.6815&amp;sp=point.34.5801_43.6815","Maplink3")</f>
        <v>Maplink3</v>
      </c>
      <c r="AZ2365" s="76"/>
    </row>
    <row r="2366" spans="1:52" x14ac:dyDescent="0.25">
      <c r="A2366" s="86">
        <v>25961</v>
      </c>
      <c r="B2366" s="87" t="s">
        <v>26</v>
      </c>
      <c r="C2366" s="87" t="s">
        <v>4481</v>
      </c>
      <c r="D2366" s="87" t="s">
        <v>4544</v>
      </c>
      <c r="E2366" s="87" t="s">
        <v>4545</v>
      </c>
      <c r="F2366" s="87">
        <v>34.594812146400002</v>
      </c>
      <c r="G2366" s="87">
        <v>43.676827149499999</v>
      </c>
      <c r="H2366" s="86">
        <v>15</v>
      </c>
      <c r="I2366" s="86">
        <v>90</v>
      </c>
      <c r="J2366" s="87"/>
      <c r="K2366" s="87"/>
      <c r="L2366" s="87"/>
      <c r="M2366" s="87"/>
      <c r="N2366" s="87"/>
      <c r="O2366" s="87"/>
      <c r="P2366" s="87"/>
      <c r="Q2366" s="87"/>
      <c r="R2366" s="87"/>
      <c r="S2366" s="87"/>
      <c r="T2366" s="87"/>
      <c r="U2366" s="87"/>
      <c r="V2366" s="87"/>
      <c r="W2366" s="87"/>
      <c r="X2366" s="87">
        <v>15</v>
      </c>
      <c r="Y2366" s="87"/>
      <c r="Z2366" s="87"/>
      <c r="AA2366" s="87"/>
      <c r="AB2366" s="87"/>
      <c r="AC2366" s="87"/>
      <c r="AD2366" s="87"/>
      <c r="AE2366" s="87"/>
      <c r="AF2366" s="87"/>
      <c r="AG2366" s="87"/>
      <c r="AH2366" s="87">
        <v>15</v>
      </c>
      <c r="AI2366" s="87"/>
      <c r="AJ2366" s="87"/>
      <c r="AK2366" s="87"/>
      <c r="AL2366" s="87"/>
      <c r="AM2366" s="87"/>
      <c r="AN2366" s="87"/>
      <c r="AO2366" s="87"/>
      <c r="AP2366" s="87"/>
      <c r="AQ2366" s="87">
        <v>15</v>
      </c>
      <c r="AR2366" s="87"/>
      <c r="AS2366" s="87"/>
      <c r="AT2366" s="87"/>
      <c r="AU2366" s="87"/>
      <c r="AV2366" s="87"/>
      <c r="AW2366" s="88" t="str">
        <f>HYPERLINK("http://www.openstreetmap.org/?mlat=34.5948&amp;mlon=43.6768&amp;zoom=12#map=12/34.5948/43.6768","Maplink1")</f>
        <v>Maplink1</v>
      </c>
      <c r="AX2366" s="88" t="str">
        <f>HYPERLINK("https://www.google.iq/maps/search/+34.5948,43.6768/@34.5948,43.6768,14z?hl=en","Maplink2")</f>
        <v>Maplink2</v>
      </c>
      <c r="AY2366" s="88" t="str">
        <f>HYPERLINK("http://www.bing.com/maps/?lvl=14&amp;sty=h&amp;cp=34.5948~43.6768&amp;sp=point.34.5948_43.6768","Maplink3")</f>
        <v>Maplink3</v>
      </c>
      <c r="AZ2366" s="76"/>
    </row>
    <row r="2367" spans="1:52" x14ac:dyDescent="0.25">
      <c r="A2367" s="86">
        <v>22058</v>
      </c>
      <c r="B2367" s="87" t="s">
        <v>26</v>
      </c>
      <c r="C2367" s="87" t="s">
        <v>4481</v>
      </c>
      <c r="D2367" s="87" t="s">
        <v>4546</v>
      </c>
      <c r="E2367" s="87" t="s">
        <v>4547</v>
      </c>
      <c r="F2367" s="87">
        <v>34.596180617800002</v>
      </c>
      <c r="G2367" s="87">
        <v>43.655220363300003</v>
      </c>
      <c r="H2367" s="86">
        <v>125</v>
      </c>
      <c r="I2367" s="86">
        <v>750</v>
      </c>
      <c r="J2367" s="87"/>
      <c r="K2367" s="87"/>
      <c r="L2367" s="87"/>
      <c r="M2367" s="87"/>
      <c r="N2367" s="87"/>
      <c r="O2367" s="87"/>
      <c r="P2367" s="87"/>
      <c r="Q2367" s="87"/>
      <c r="R2367" s="87">
        <v>32</v>
      </c>
      <c r="S2367" s="87"/>
      <c r="T2367" s="87"/>
      <c r="U2367" s="87"/>
      <c r="V2367" s="87">
        <v>2</v>
      </c>
      <c r="W2367" s="87"/>
      <c r="X2367" s="87">
        <v>91</v>
      </c>
      <c r="Y2367" s="87"/>
      <c r="Z2367" s="87"/>
      <c r="AA2367" s="87"/>
      <c r="AB2367" s="87"/>
      <c r="AC2367" s="87"/>
      <c r="AD2367" s="87"/>
      <c r="AE2367" s="87">
        <v>17</v>
      </c>
      <c r="AF2367" s="87"/>
      <c r="AG2367" s="87"/>
      <c r="AH2367" s="87">
        <v>58</v>
      </c>
      <c r="AI2367" s="87"/>
      <c r="AJ2367" s="87"/>
      <c r="AK2367" s="87">
        <v>50</v>
      </c>
      <c r="AL2367" s="87"/>
      <c r="AM2367" s="87"/>
      <c r="AN2367" s="87"/>
      <c r="AO2367" s="87"/>
      <c r="AP2367" s="87"/>
      <c r="AQ2367" s="87">
        <v>91</v>
      </c>
      <c r="AR2367" s="87"/>
      <c r="AS2367" s="87">
        <v>34</v>
      </c>
      <c r="AT2367" s="87"/>
      <c r="AU2367" s="87"/>
      <c r="AV2367" s="87"/>
      <c r="AW2367" s="88" t="str">
        <f>HYPERLINK("http://www.openstreetmap.org/?mlat=34.5962&amp;mlon=43.6552&amp;zoom=12#map=12/34.5962/43.6552","Maplink1")</f>
        <v>Maplink1</v>
      </c>
      <c r="AX2367" s="88" t="str">
        <f>HYPERLINK("https://www.google.iq/maps/search/+34.5962,43.6552/@34.5962,43.6552,14z?hl=en","Maplink2")</f>
        <v>Maplink2</v>
      </c>
      <c r="AY2367" s="88" t="str">
        <f>HYPERLINK("http://www.bing.com/maps/?lvl=14&amp;sty=h&amp;cp=34.5962~43.6552&amp;sp=point.34.5962_43.6552","Maplink3")</f>
        <v>Maplink3</v>
      </c>
      <c r="AZ2367" s="76"/>
    </row>
    <row r="2368" spans="1:52" x14ac:dyDescent="0.25">
      <c r="A2368" s="86">
        <v>27369</v>
      </c>
      <c r="B2368" s="87" t="s">
        <v>26</v>
      </c>
      <c r="C2368" s="87" t="s">
        <v>4481</v>
      </c>
      <c r="D2368" s="87" t="s">
        <v>4548</v>
      </c>
      <c r="E2368" s="87" t="s">
        <v>4549</v>
      </c>
      <c r="F2368" s="87">
        <v>34.594373940499999</v>
      </c>
      <c r="G2368" s="87">
        <v>43.665869990399997</v>
      </c>
      <c r="H2368" s="86">
        <v>244</v>
      </c>
      <c r="I2368" s="86">
        <v>1464</v>
      </c>
      <c r="J2368" s="87"/>
      <c r="K2368" s="87"/>
      <c r="L2368" s="87"/>
      <c r="M2368" s="87"/>
      <c r="N2368" s="87"/>
      <c r="O2368" s="87"/>
      <c r="P2368" s="87"/>
      <c r="Q2368" s="87"/>
      <c r="R2368" s="87"/>
      <c r="S2368" s="87"/>
      <c r="T2368" s="87"/>
      <c r="U2368" s="87"/>
      <c r="V2368" s="87"/>
      <c r="W2368" s="87"/>
      <c r="X2368" s="87">
        <v>244</v>
      </c>
      <c r="Y2368" s="87"/>
      <c r="Z2368" s="87"/>
      <c r="AA2368" s="87"/>
      <c r="AB2368" s="87"/>
      <c r="AC2368" s="87"/>
      <c r="AD2368" s="87"/>
      <c r="AE2368" s="87"/>
      <c r="AF2368" s="87"/>
      <c r="AG2368" s="87"/>
      <c r="AH2368" s="87">
        <v>71</v>
      </c>
      <c r="AI2368" s="87">
        <v>34</v>
      </c>
      <c r="AJ2368" s="87"/>
      <c r="AK2368" s="87">
        <v>139</v>
      </c>
      <c r="AL2368" s="87"/>
      <c r="AM2368" s="87"/>
      <c r="AN2368" s="87"/>
      <c r="AO2368" s="87"/>
      <c r="AP2368" s="87"/>
      <c r="AQ2368" s="87">
        <v>100</v>
      </c>
      <c r="AR2368" s="87">
        <v>144</v>
      </c>
      <c r="AS2368" s="87"/>
      <c r="AT2368" s="87"/>
      <c r="AU2368" s="87"/>
      <c r="AV2368" s="87"/>
      <c r="AW2368" s="88" t="str">
        <f>HYPERLINK("http://www.openstreetmap.org/?mlat=34.5944&amp;mlon=43.6659&amp;zoom=12#map=12/34.5944/43.6659","Maplink1")</f>
        <v>Maplink1</v>
      </c>
      <c r="AX2368" s="88" t="str">
        <f>HYPERLINK("https://www.google.iq/maps/search/+34.5944,43.6659/@34.5944,43.6659,14z?hl=en","Maplink2")</f>
        <v>Maplink2</v>
      </c>
      <c r="AY2368" s="88" t="str">
        <f>HYPERLINK("http://www.bing.com/maps/?lvl=14&amp;sty=h&amp;cp=34.5944~43.6659&amp;sp=point.34.5944_43.6659","Maplink3")</f>
        <v>Maplink3</v>
      </c>
      <c r="AZ2368" s="76"/>
    </row>
    <row r="2369" spans="1:52" x14ac:dyDescent="0.25">
      <c r="A2369" s="86">
        <v>25960</v>
      </c>
      <c r="B2369" s="87" t="s">
        <v>26</v>
      </c>
      <c r="C2369" s="87" t="s">
        <v>4481</v>
      </c>
      <c r="D2369" s="87" t="s">
        <v>4550</v>
      </c>
      <c r="E2369" s="87" t="s">
        <v>4551</v>
      </c>
      <c r="F2369" s="87">
        <v>34.592996918899999</v>
      </c>
      <c r="G2369" s="87">
        <v>43.674105273199999</v>
      </c>
      <c r="H2369" s="86">
        <v>34</v>
      </c>
      <c r="I2369" s="86">
        <v>204</v>
      </c>
      <c r="J2369" s="87"/>
      <c r="K2369" s="87"/>
      <c r="L2369" s="87"/>
      <c r="M2369" s="87"/>
      <c r="N2369" s="87"/>
      <c r="O2369" s="87"/>
      <c r="P2369" s="87"/>
      <c r="Q2369" s="87"/>
      <c r="R2369" s="87"/>
      <c r="S2369" s="87"/>
      <c r="T2369" s="87"/>
      <c r="U2369" s="87"/>
      <c r="V2369" s="87"/>
      <c r="W2369" s="87"/>
      <c r="X2369" s="87">
        <v>34</v>
      </c>
      <c r="Y2369" s="87"/>
      <c r="Z2369" s="87"/>
      <c r="AA2369" s="87"/>
      <c r="AB2369" s="87"/>
      <c r="AC2369" s="87"/>
      <c r="AD2369" s="87"/>
      <c r="AE2369" s="87"/>
      <c r="AF2369" s="87"/>
      <c r="AG2369" s="87"/>
      <c r="AH2369" s="87">
        <v>34</v>
      </c>
      <c r="AI2369" s="87"/>
      <c r="AJ2369" s="87"/>
      <c r="AK2369" s="87"/>
      <c r="AL2369" s="87"/>
      <c r="AM2369" s="87"/>
      <c r="AN2369" s="87"/>
      <c r="AO2369" s="87"/>
      <c r="AP2369" s="87"/>
      <c r="AQ2369" s="87"/>
      <c r="AR2369" s="87">
        <v>34</v>
      </c>
      <c r="AS2369" s="87"/>
      <c r="AT2369" s="87"/>
      <c r="AU2369" s="87"/>
      <c r="AV2369" s="87"/>
      <c r="AW2369" s="88" t="str">
        <f>HYPERLINK("http://www.openstreetmap.org/?mlat=34.593&amp;mlon=43.6741&amp;zoom=12#map=12/34.593/43.6741","Maplink1")</f>
        <v>Maplink1</v>
      </c>
      <c r="AX2369" s="88" t="str">
        <f>HYPERLINK("https://www.google.iq/maps/search/+34.593,43.6741/@34.593,43.6741,14z?hl=en","Maplink2")</f>
        <v>Maplink2</v>
      </c>
      <c r="AY2369" s="88" t="str">
        <f>HYPERLINK("http://www.bing.com/maps/?lvl=14&amp;sty=h&amp;cp=34.593~43.6741&amp;sp=point.34.593_43.6741","Maplink3")</f>
        <v>Maplink3</v>
      </c>
      <c r="AZ2369" s="76"/>
    </row>
    <row r="2370" spans="1:52" x14ac:dyDescent="0.25">
      <c r="A2370" s="86">
        <v>27368</v>
      </c>
      <c r="B2370" s="87" t="s">
        <v>26</v>
      </c>
      <c r="C2370" s="87" t="s">
        <v>4481</v>
      </c>
      <c r="D2370" s="87" t="s">
        <v>4552</v>
      </c>
      <c r="E2370" s="87" t="s">
        <v>4553</v>
      </c>
      <c r="F2370" s="87">
        <v>34.604072682599998</v>
      </c>
      <c r="G2370" s="87">
        <v>43.664331659699997</v>
      </c>
      <c r="H2370" s="86">
        <v>40</v>
      </c>
      <c r="I2370" s="86">
        <v>240</v>
      </c>
      <c r="J2370" s="87"/>
      <c r="K2370" s="87"/>
      <c r="L2370" s="87"/>
      <c r="M2370" s="87"/>
      <c r="N2370" s="87"/>
      <c r="O2370" s="87"/>
      <c r="P2370" s="87"/>
      <c r="Q2370" s="87"/>
      <c r="R2370" s="87"/>
      <c r="S2370" s="87"/>
      <c r="T2370" s="87"/>
      <c r="U2370" s="87"/>
      <c r="V2370" s="87"/>
      <c r="W2370" s="87"/>
      <c r="X2370" s="87">
        <v>40</v>
      </c>
      <c r="Y2370" s="87"/>
      <c r="Z2370" s="87"/>
      <c r="AA2370" s="87"/>
      <c r="AB2370" s="87"/>
      <c r="AC2370" s="87"/>
      <c r="AD2370" s="87"/>
      <c r="AE2370" s="87"/>
      <c r="AF2370" s="87"/>
      <c r="AG2370" s="87"/>
      <c r="AH2370" s="87">
        <v>10</v>
      </c>
      <c r="AI2370" s="87"/>
      <c r="AJ2370" s="87"/>
      <c r="AK2370" s="87">
        <v>30</v>
      </c>
      <c r="AL2370" s="87"/>
      <c r="AM2370" s="87"/>
      <c r="AN2370" s="87"/>
      <c r="AO2370" s="87"/>
      <c r="AP2370" s="87"/>
      <c r="AQ2370" s="87"/>
      <c r="AR2370" s="87">
        <v>40</v>
      </c>
      <c r="AS2370" s="87"/>
      <c r="AT2370" s="87"/>
      <c r="AU2370" s="87"/>
      <c r="AV2370" s="87"/>
      <c r="AW2370" s="88" t="str">
        <f>HYPERLINK("http://www.openstreetmap.org/?mlat=34.6041&amp;mlon=43.6643&amp;zoom=12#map=12/34.6041/43.6643","Maplink1")</f>
        <v>Maplink1</v>
      </c>
      <c r="AX2370" s="88" t="str">
        <f>HYPERLINK("https://www.google.iq/maps/search/+34.6041,43.6643/@34.6041,43.6643,14z?hl=en","Maplink2")</f>
        <v>Maplink2</v>
      </c>
      <c r="AY2370" s="88" t="str">
        <f>HYPERLINK("http://www.bing.com/maps/?lvl=14&amp;sty=h&amp;cp=34.6041~43.6643&amp;sp=point.34.6041_43.6643","Maplink3")</f>
        <v>Maplink3</v>
      </c>
      <c r="AZ2370" s="76"/>
    </row>
    <row r="2371" spans="1:52" x14ac:dyDescent="0.25">
      <c r="A2371" s="86">
        <v>22965</v>
      </c>
      <c r="B2371" s="87" t="s">
        <v>26</v>
      </c>
      <c r="C2371" s="87" t="s">
        <v>4481</v>
      </c>
      <c r="D2371" s="87" t="s">
        <v>4554</v>
      </c>
      <c r="E2371" s="87" t="s">
        <v>4555</v>
      </c>
      <c r="F2371" s="87">
        <v>34.603648683999999</v>
      </c>
      <c r="G2371" s="87">
        <v>43.689968129599997</v>
      </c>
      <c r="H2371" s="86">
        <v>270</v>
      </c>
      <c r="I2371" s="86">
        <v>1620</v>
      </c>
      <c r="J2371" s="87"/>
      <c r="K2371" s="87"/>
      <c r="L2371" s="87"/>
      <c r="M2371" s="87"/>
      <c r="N2371" s="87"/>
      <c r="O2371" s="87"/>
      <c r="P2371" s="87"/>
      <c r="Q2371" s="87"/>
      <c r="R2371" s="87"/>
      <c r="S2371" s="87"/>
      <c r="T2371" s="87"/>
      <c r="U2371" s="87"/>
      <c r="V2371" s="87"/>
      <c r="W2371" s="87"/>
      <c r="X2371" s="87">
        <v>270</v>
      </c>
      <c r="Y2371" s="87"/>
      <c r="Z2371" s="87"/>
      <c r="AA2371" s="87"/>
      <c r="AB2371" s="87"/>
      <c r="AC2371" s="87"/>
      <c r="AD2371" s="87"/>
      <c r="AE2371" s="87"/>
      <c r="AF2371" s="87"/>
      <c r="AG2371" s="87"/>
      <c r="AH2371" s="87">
        <v>71</v>
      </c>
      <c r="AI2371" s="87">
        <v>150</v>
      </c>
      <c r="AJ2371" s="87"/>
      <c r="AK2371" s="87">
        <v>49</v>
      </c>
      <c r="AL2371" s="87"/>
      <c r="AM2371" s="87"/>
      <c r="AN2371" s="87"/>
      <c r="AO2371" s="87"/>
      <c r="AP2371" s="87">
        <v>130</v>
      </c>
      <c r="AQ2371" s="87">
        <v>140</v>
      </c>
      <c r="AR2371" s="87"/>
      <c r="AS2371" s="87"/>
      <c r="AT2371" s="87"/>
      <c r="AU2371" s="87"/>
      <c r="AV2371" s="87"/>
      <c r="AW2371" s="88" t="str">
        <f>HYPERLINK("http://www.openstreetmap.org/?mlat=34.6036&amp;mlon=43.69&amp;zoom=12#map=12/34.6036/43.69","Maplink1")</f>
        <v>Maplink1</v>
      </c>
      <c r="AX2371" s="88" t="str">
        <f>HYPERLINK("https://www.google.iq/maps/search/+34.6036,43.69/@34.6036,43.69,14z?hl=en","Maplink2")</f>
        <v>Maplink2</v>
      </c>
      <c r="AY2371" s="88" t="str">
        <f>HYPERLINK("http://www.bing.com/maps/?lvl=14&amp;sty=h&amp;cp=34.6036~43.69&amp;sp=point.34.6036_43.69","Maplink3")</f>
        <v>Maplink3</v>
      </c>
      <c r="AZ2371" s="76"/>
    </row>
    <row r="2372" spans="1:52" x14ac:dyDescent="0.25">
      <c r="A2372" s="86">
        <v>27367</v>
      </c>
      <c r="B2372" s="87" t="s">
        <v>26</v>
      </c>
      <c r="C2372" s="87" t="s">
        <v>4481</v>
      </c>
      <c r="D2372" s="87" t="s">
        <v>4556</v>
      </c>
      <c r="E2372" s="87" t="s">
        <v>2620</v>
      </c>
      <c r="F2372" s="87">
        <v>34.584634210899999</v>
      </c>
      <c r="G2372" s="87">
        <v>43.682551737899999</v>
      </c>
      <c r="H2372" s="86">
        <v>30</v>
      </c>
      <c r="I2372" s="86">
        <v>180</v>
      </c>
      <c r="J2372" s="87"/>
      <c r="K2372" s="87"/>
      <c r="L2372" s="87"/>
      <c r="M2372" s="87"/>
      <c r="N2372" s="87"/>
      <c r="O2372" s="87"/>
      <c r="P2372" s="87"/>
      <c r="Q2372" s="87"/>
      <c r="R2372" s="87"/>
      <c r="S2372" s="87"/>
      <c r="T2372" s="87"/>
      <c r="U2372" s="87"/>
      <c r="V2372" s="87"/>
      <c r="W2372" s="87"/>
      <c r="X2372" s="87">
        <v>30</v>
      </c>
      <c r="Y2372" s="87"/>
      <c r="Z2372" s="87"/>
      <c r="AA2372" s="87"/>
      <c r="AB2372" s="87"/>
      <c r="AC2372" s="87"/>
      <c r="AD2372" s="87"/>
      <c r="AE2372" s="87"/>
      <c r="AF2372" s="87"/>
      <c r="AG2372" s="87"/>
      <c r="AH2372" s="87">
        <v>30</v>
      </c>
      <c r="AI2372" s="87"/>
      <c r="AJ2372" s="87"/>
      <c r="AK2372" s="87"/>
      <c r="AL2372" s="87"/>
      <c r="AM2372" s="87"/>
      <c r="AN2372" s="87"/>
      <c r="AO2372" s="87"/>
      <c r="AP2372" s="87"/>
      <c r="AQ2372" s="87"/>
      <c r="AR2372" s="87">
        <v>30</v>
      </c>
      <c r="AS2372" s="87"/>
      <c r="AT2372" s="87"/>
      <c r="AU2372" s="87"/>
      <c r="AV2372" s="87"/>
      <c r="AW2372" s="88" t="str">
        <f>HYPERLINK("http://www.openstreetmap.org/?mlat=34.5846&amp;mlon=43.6826&amp;zoom=12#map=12/34.5846/43.6826","Maplink1")</f>
        <v>Maplink1</v>
      </c>
      <c r="AX2372" s="88" t="str">
        <f>HYPERLINK("https://www.google.iq/maps/search/+34.5846,43.6826/@34.5846,43.6826,14z?hl=en","Maplink2")</f>
        <v>Maplink2</v>
      </c>
      <c r="AY2372" s="88" t="str">
        <f>HYPERLINK("http://www.bing.com/maps/?lvl=14&amp;sty=h&amp;cp=34.5846~43.6826&amp;sp=point.34.5846_43.6826","Maplink3")</f>
        <v>Maplink3</v>
      </c>
      <c r="AZ2372" s="76"/>
    </row>
    <row r="2373" spans="1:52" x14ac:dyDescent="0.25">
      <c r="A2373" s="86">
        <v>25962</v>
      </c>
      <c r="B2373" s="87" t="s">
        <v>26</v>
      </c>
      <c r="C2373" s="87" t="s">
        <v>4481</v>
      </c>
      <c r="D2373" s="87" t="s">
        <v>4557</v>
      </c>
      <c r="E2373" s="87" t="s">
        <v>4558</v>
      </c>
      <c r="F2373" s="87">
        <v>34.6097445069</v>
      </c>
      <c r="G2373" s="87">
        <v>43.680821713100002</v>
      </c>
      <c r="H2373" s="86">
        <v>29</v>
      </c>
      <c r="I2373" s="86">
        <v>174</v>
      </c>
      <c r="J2373" s="87"/>
      <c r="K2373" s="87"/>
      <c r="L2373" s="87"/>
      <c r="M2373" s="87"/>
      <c r="N2373" s="87"/>
      <c r="O2373" s="87"/>
      <c r="P2373" s="87"/>
      <c r="Q2373" s="87"/>
      <c r="R2373" s="87"/>
      <c r="S2373" s="87"/>
      <c r="T2373" s="87"/>
      <c r="U2373" s="87"/>
      <c r="V2373" s="87"/>
      <c r="W2373" s="87"/>
      <c r="X2373" s="87">
        <v>29</v>
      </c>
      <c r="Y2373" s="87"/>
      <c r="Z2373" s="87"/>
      <c r="AA2373" s="87"/>
      <c r="AB2373" s="87"/>
      <c r="AC2373" s="87"/>
      <c r="AD2373" s="87"/>
      <c r="AE2373" s="87"/>
      <c r="AF2373" s="87"/>
      <c r="AG2373" s="87"/>
      <c r="AH2373" s="87">
        <v>29</v>
      </c>
      <c r="AI2373" s="87"/>
      <c r="AJ2373" s="87"/>
      <c r="AK2373" s="87"/>
      <c r="AL2373" s="87"/>
      <c r="AM2373" s="87"/>
      <c r="AN2373" s="87"/>
      <c r="AO2373" s="87"/>
      <c r="AP2373" s="87"/>
      <c r="AQ2373" s="87">
        <v>29</v>
      </c>
      <c r="AR2373" s="87"/>
      <c r="AS2373" s="87"/>
      <c r="AT2373" s="87"/>
      <c r="AU2373" s="87"/>
      <c r="AV2373" s="87"/>
      <c r="AW2373" s="88" t="str">
        <f>HYPERLINK("http://www.openstreetmap.org/?mlat=34.6097&amp;mlon=43.6808&amp;zoom=12#map=12/34.6097/43.6808","Maplink1")</f>
        <v>Maplink1</v>
      </c>
      <c r="AX2373" s="88" t="str">
        <f>HYPERLINK("https://www.google.iq/maps/search/+34.6097,43.6808/@34.6097,43.6808,14z?hl=en","Maplink2")</f>
        <v>Maplink2</v>
      </c>
      <c r="AY2373" s="88" t="str">
        <f>HYPERLINK("http://www.bing.com/maps/?lvl=14&amp;sty=h&amp;cp=34.6097~43.6808&amp;sp=point.34.6097_43.6808","Maplink3")</f>
        <v>Maplink3</v>
      </c>
      <c r="AZ2373" s="76"/>
    </row>
    <row r="2374" spans="1:52" x14ac:dyDescent="0.25">
      <c r="A2374" s="86">
        <v>22966</v>
      </c>
      <c r="B2374" s="87" t="s">
        <v>26</v>
      </c>
      <c r="C2374" s="87" t="s">
        <v>4481</v>
      </c>
      <c r="D2374" s="87" t="s">
        <v>4559</v>
      </c>
      <c r="E2374" s="87" t="s">
        <v>4560</v>
      </c>
      <c r="F2374" s="87">
        <v>34.592954507100004</v>
      </c>
      <c r="G2374" s="87">
        <v>43.681806251399998</v>
      </c>
      <c r="H2374" s="86">
        <v>36</v>
      </c>
      <c r="I2374" s="86">
        <v>216</v>
      </c>
      <c r="J2374" s="87"/>
      <c r="K2374" s="87"/>
      <c r="L2374" s="87"/>
      <c r="M2374" s="87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  <c r="X2374" s="87">
        <v>36</v>
      </c>
      <c r="Y2374" s="87"/>
      <c r="Z2374" s="87"/>
      <c r="AA2374" s="87"/>
      <c r="AB2374" s="87"/>
      <c r="AC2374" s="87"/>
      <c r="AD2374" s="87"/>
      <c r="AE2374" s="87"/>
      <c r="AF2374" s="87"/>
      <c r="AG2374" s="87"/>
      <c r="AH2374" s="87">
        <v>16</v>
      </c>
      <c r="AI2374" s="87"/>
      <c r="AJ2374" s="87"/>
      <c r="AK2374" s="87">
        <v>20</v>
      </c>
      <c r="AL2374" s="87"/>
      <c r="AM2374" s="87"/>
      <c r="AN2374" s="87"/>
      <c r="AO2374" s="87"/>
      <c r="AP2374" s="87"/>
      <c r="AQ2374" s="87">
        <v>36</v>
      </c>
      <c r="AR2374" s="87"/>
      <c r="AS2374" s="87"/>
      <c r="AT2374" s="87"/>
      <c r="AU2374" s="87"/>
      <c r="AV2374" s="87"/>
      <c r="AW2374" s="88" t="str">
        <f>HYPERLINK("http://www.openstreetmap.org/?mlat=34.593&amp;mlon=43.6818&amp;zoom=12#map=12/34.593/43.6818","Maplink1")</f>
        <v>Maplink1</v>
      </c>
      <c r="AX2374" s="88" t="str">
        <f>HYPERLINK("https://www.google.iq/maps/search/+34.593,43.6818/@34.593,43.6818,14z?hl=en","Maplink2")</f>
        <v>Maplink2</v>
      </c>
      <c r="AY2374" s="88" t="str">
        <f>HYPERLINK("http://www.bing.com/maps/?lvl=14&amp;sty=h&amp;cp=34.593~43.6818&amp;sp=point.34.593_43.6818","Maplink3")</f>
        <v>Maplink3</v>
      </c>
      <c r="AZ2374" s="76"/>
    </row>
    <row r="2375" spans="1:52" x14ac:dyDescent="0.25">
      <c r="A2375" s="86">
        <v>28449</v>
      </c>
      <c r="B2375" s="87" t="s">
        <v>26</v>
      </c>
      <c r="C2375" s="87" t="s">
        <v>4481</v>
      </c>
      <c r="D2375" s="87" t="s">
        <v>4561</v>
      </c>
      <c r="E2375" s="87" t="s">
        <v>4562</v>
      </c>
      <c r="F2375" s="87">
        <v>34.701810639599998</v>
      </c>
      <c r="G2375" s="87">
        <v>43.715754889700001</v>
      </c>
      <c r="H2375" s="86">
        <v>220</v>
      </c>
      <c r="I2375" s="86">
        <v>1320</v>
      </c>
      <c r="J2375" s="87"/>
      <c r="K2375" s="87"/>
      <c r="L2375" s="87"/>
      <c r="M2375" s="87"/>
      <c r="N2375" s="87"/>
      <c r="O2375" s="87"/>
      <c r="P2375" s="87"/>
      <c r="Q2375" s="87"/>
      <c r="R2375" s="87">
        <v>220</v>
      </c>
      <c r="S2375" s="87"/>
      <c r="T2375" s="87"/>
      <c r="U2375" s="87"/>
      <c r="V2375" s="87"/>
      <c r="W2375" s="87"/>
      <c r="X2375" s="87"/>
      <c r="Y2375" s="87"/>
      <c r="Z2375" s="87"/>
      <c r="AA2375" s="87"/>
      <c r="AB2375" s="87"/>
      <c r="AC2375" s="87"/>
      <c r="AD2375" s="87"/>
      <c r="AE2375" s="87"/>
      <c r="AF2375" s="87"/>
      <c r="AG2375" s="87"/>
      <c r="AH2375" s="87">
        <v>90</v>
      </c>
      <c r="AI2375" s="87">
        <v>21</v>
      </c>
      <c r="AJ2375" s="87"/>
      <c r="AK2375" s="87">
        <v>109</v>
      </c>
      <c r="AL2375" s="87"/>
      <c r="AM2375" s="87"/>
      <c r="AN2375" s="87"/>
      <c r="AO2375" s="87"/>
      <c r="AP2375" s="87"/>
      <c r="AQ2375" s="87"/>
      <c r="AR2375" s="87"/>
      <c r="AS2375" s="87"/>
      <c r="AT2375" s="87">
        <v>207</v>
      </c>
      <c r="AU2375" s="87">
        <v>13</v>
      </c>
      <c r="AV2375" s="87"/>
      <c r="AW2375" s="88" t="str">
        <f>HYPERLINK("http://www.openstreetmap.org/?mlat=34.7018&amp;mlon=43.7158&amp;zoom=12#map=12/34.7018/43.7158","Maplink1")</f>
        <v>Maplink1</v>
      </c>
      <c r="AX2375" s="88" t="str">
        <f>HYPERLINK("https://www.google.iq/maps/search/+34.7018,43.7158/@34.7018,43.7158,14z?hl=en","Maplink2")</f>
        <v>Maplink2</v>
      </c>
      <c r="AY2375" s="88" t="str">
        <f>HYPERLINK("http://www.bing.com/maps/?lvl=14&amp;sty=h&amp;cp=34.7018~43.7158&amp;sp=point.34.7018_43.7158","Maplink3")</f>
        <v>Maplink3</v>
      </c>
      <c r="AZ2375" s="76"/>
    </row>
    <row r="2376" spans="1:52" x14ac:dyDescent="0.25">
      <c r="A2376" s="86">
        <v>22470</v>
      </c>
      <c r="B2376" s="87" t="s">
        <v>26</v>
      </c>
      <c r="C2376" s="87" t="s">
        <v>4481</v>
      </c>
      <c r="D2376" s="87" t="s">
        <v>4563</v>
      </c>
      <c r="E2376" s="87" t="s">
        <v>4564</v>
      </c>
      <c r="F2376" s="87">
        <v>34.690555857200003</v>
      </c>
      <c r="G2376" s="87">
        <v>43.714430377699998</v>
      </c>
      <c r="H2376" s="86">
        <v>16</v>
      </c>
      <c r="I2376" s="86">
        <v>96</v>
      </c>
      <c r="J2376" s="87"/>
      <c r="K2376" s="87"/>
      <c r="L2376" s="87"/>
      <c r="M2376" s="87"/>
      <c r="N2376" s="87"/>
      <c r="O2376" s="87"/>
      <c r="P2376" s="87"/>
      <c r="Q2376" s="87"/>
      <c r="R2376" s="87">
        <v>16</v>
      </c>
      <c r="S2376" s="87"/>
      <c r="T2376" s="87"/>
      <c r="U2376" s="87"/>
      <c r="V2376" s="87"/>
      <c r="W2376" s="87"/>
      <c r="X2376" s="87"/>
      <c r="Y2376" s="87"/>
      <c r="Z2376" s="87"/>
      <c r="AA2376" s="87"/>
      <c r="AB2376" s="87"/>
      <c r="AC2376" s="87"/>
      <c r="AD2376" s="87"/>
      <c r="AE2376" s="87"/>
      <c r="AF2376" s="87"/>
      <c r="AG2376" s="87"/>
      <c r="AH2376" s="87">
        <v>12</v>
      </c>
      <c r="AI2376" s="87"/>
      <c r="AJ2376" s="87"/>
      <c r="AK2376" s="87">
        <v>4</v>
      </c>
      <c r="AL2376" s="87"/>
      <c r="AM2376" s="87"/>
      <c r="AN2376" s="87"/>
      <c r="AO2376" s="87"/>
      <c r="AP2376" s="87"/>
      <c r="AQ2376" s="87"/>
      <c r="AR2376" s="87"/>
      <c r="AS2376" s="87"/>
      <c r="AT2376" s="87">
        <v>16</v>
      </c>
      <c r="AU2376" s="87"/>
      <c r="AV2376" s="87"/>
      <c r="AW2376" s="88" t="str">
        <f>HYPERLINK("http://www.openstreetmap.org/?mlat=34.6906&amp;mlon=43.7144&amp;zoom=12#map=12/34.6906/43.7144","Maplink1")</f>
        <v>Maplink1</v>
      </c>
      <c r="AX2376" s="88" t="str">
        <f>HYPERLINK("https://www.google.iq/maps/search/+34.6906,43.7144/@34.6906,43.7144,14z?hl=en","Maplink2")</f>
        <v>Maplink2</v>
      </c>
      <c r="AY2376" s="88" t="str">
        <f>HYPERLINK("http://www.bing.com/maps/?lvl=14&amp;sty=h&amp;cp=34.6906~43.7144&amp;sp=point.34.6906_43.7144","Maplink3")</f>
        <v>Maplink3</v>
      </c>
      <c r="AZ2376" s="76"/>
    </row>
    <row r="2377" spans="1:52" x14ac:dyDescent="0.25">
      <c r="A2377" s="86">
        <v>25922</v>
      </c>
      <c r="B2377" s="87" t="s">
        <v>26</v>
      </c>
      <c r="C2377" s="87" t="s">
        <v>4481</v>
      </c>
      <c r="D2377" s="87" t="s">
        <v>4565</v>
      </c>
      <c r="E2377" s="87" t="s">
        <v>4566</v>
      </c>
      <c r="F2377" s="87">
        <v>34.645780885199997</v>
      </c>
      <c r="G2377" s="87">
        <v>43.6660867266</v>
      </c>
      <c r="H2377" s="86">
        <v>75</v>
      </c>
      <c r="I2377" s="86">
        <v>450</v>
      </c>
      <c r="J2377" s="87"/>
      <c r="K2377" s="87"/>
      <c r="L2377" s="87"/>
      <c r="M2377" s="87"/>
      <c r="N2377" s="87"/>
      <c r="O2377" s="87"/>
      <c r="P2377" s="87"/>
      <c r="Q2377" s="87"/>
      <c r="R2377" s="87"/>
      <c r="S2377" s="87"/>
      <c r="T2377" s="87"/>
      <c r="U2377" s="87"/>
      <c r="V2377" s="87"/>
      <c r="W2377" s="87"/>
      <c r="X2377" s="87">
        <v>75</v>
      </c>
      <c r="Y2377" s="87"/>
      <c r="Z2377" s="87"/>
      <c r="AA2377" s="87"/>
      <c r="AB2377" s="87"/>
      <c r="AC2377" s="87"/>
      <c r="AD2377" s="87"/>
      <c r="AE2377" s="87"/>
      <c r="AF2377" s="87"/>
      <c r="AG2377" s="87"/>
      <c r="AH2377" s="87">
        <v>62</v>
      </c>
      <c r="AI2377" s="87"/>
      <c r="AJ2377" s="87"/>
      <c r="AK2377" s="87">
        <v>13</v>
      </c>
      <c r="AL2377" s="87"/>
      <c r="AM2377" s="87"/>
      <c r="AN2377" s="87"/>
      <c r="AO2377" s="87"/>
      <c r="AP2377" s="87"/>
      <c r="AQ2377" s="87"/>
      <c r="AR2377" s="87">
        <v>75</v>
      </c>
      <c r="AS2377" s="87"/>
      <c r="AT2377" s="87"/>
      <c r="AU2377" s="87"/>
      <c r="AV2377" s="87"/>
      <c r="AW2377" s="88" t="str">
        <f>HYPERLINK("http://www.openstreetmap.org/?mlat=34.6458&amp;mlon=43.6661&amp;zoom=12#map=12/34.6458/43.6661","Maplink1")</f>
        <v>Maplink1</v>
      </c>
      <c r="AX2377" s="88" t="str">
        <f>HYPERLINK("https://www.google.iq/maps/search/+34.6458,43.6661/@34.6458,43.6661,14z?hl=en","Maplink2")</f>
        <v>Maplink2</v>
      </c>
      <c r="AY2377" s="88" t="str">
        <f>HYPERLINK("http://www.bing.com/maps/?lvl=14&amp;sty=h&amp;cp=34.6458~43.6661&amp;sp=point.34.6458_43.6661","Maplink3")</f>
        <v>Maplink3</v>
      </c>
      <c r="AZ2377" s="76"/>
    </row>
    <row r="2378" spans="1:52" x14ac:dyDescent="0.25">
      <c r="A2378" s="86">
        <v>23702</v>
      </c>
      <c r="B2378" s="87" t="s">
        <v>26</v>
      </c>
      <c r="C2378" s="87" t="s">
        <v>4481</v>
      </c>
      <c r="D2378" s="87" t="s">
        <v>4567</v>
      </c>
      <c r="E2378" s="87" t="s">
        <v>4568</v>
      </c>
      <c r="F2378" s="87">
        <v>34.650852159700001</v>
      </c>
      <c r="G2378" s="87">
        <v>43.648403682400001</v>
      </c>
      <c r="H2378" s="86">
        <v>182</v>
      </c>
      <c r="I2378" s="86">
        <v>1092</v>
      </c>
      <c r="J2378" s="87"/>
      <c r="K2378" s="87"/>
      <c r="L2378" s="87"/>
      <c r="M2378" s="87"/>
      <c r="N2378" s="87"/>
      <c r="O2378" s="87"/>
      <c r="P2378" s="87"/>
      <c r="Q2378" s="87"/>
      <c r="R2378" s="87">
        <v>1</v>
      </c>
      <c r="S2378" s="87"/>
      <c r="T2378" s="87"/>
      <c r="U2378" s="87"/>
      <c r="V2378" s="87"/>
      <c r="W2378" s="87"/>
      <c r="X2378" s="87">
        <v>181</v>
      </c>
      <c r="Y2378" s="87"/>
      <c r="Z2378" s="87"/>
      <c r="AA2378" s="87"/>
      <c r="AB2378" s="87"/>
      <c r="AC2378" s="87"/>
      <c r="AD2378" s="87"/>
      <c r="AE2378" s="87"/>
      <c r="AF2378" s="87"/>
      <c r="AG2378" s="87"/>
      <c r="AH2378" s="87">
        <v>146</v>
      </c>
      <c r="AI2378" s="87">
        <v>36</v>
      </c>
      <c r="AJ2378" s="87"/>
      <c r="AK2378" s="87"/>
      <c r="AL2378" s="87"/>
      <c r="AM2378" s="87"/>
      <c r="AN2378" s="87"/>
      <c r="AO2378" s="87"/>
      <c r="AP2378" s="87"/>
      <c r="AQ2378" s="87"/>
      <c r="AR2378" s="87">
        <v>70</v>
      </c>
      <c r="AS2378" s="87">
        <v>112</v>
      </c>
      <c r="AT2378" s="87"/>
      <c r="AU2378" s="87"/>
      <c r="AV2378" s="87"/>
      <c r="AW2378" s="88" t="str">
        <f>HYPERLINK("http://www.openstreetmap.org/?mlat=34.6509&amp;mlon=43.6484&amp;zoom=12#map=12/34.6509/43.6484","Maplink1")</f>
        <v>Maplink1</v>
      </c>
      <c r="AX2378" s="88" t="str">
        <f>HYPERLINK("https://www.google.iq/maps/search/+34.6509,43.6484/@34.6509,43.6484,14z?hl=en","Maplink2")</f>
        <v>Maplink2</v>
      </c>
      <c r="AY2378" s="88" t="str">
        <f>HYPERLINK("http://www.bing.com/maps/?lvl=14&amp;sty=h&amp;cp=34.6509~43.6484&amp;sp=point.34.6509_43.6484","Maplink3")</f>
        <v>Maplink3</v>
      </c>
      <c r="AZ2378" s="76"/>
    </row>
    <row r="2379" spans="1:52" x14ac:dyDescent="0.25">
      <c r="A2379" s="86">
        <v>25923</v>
      </c>
      <c r="B2379" s="87" t="s">
        <v>26</v>
      </c>
      <c r="C2379" s="87" t="s">
        <v>4481</v>
      </c>
      <c r="D2379" s="87" t="s">
        <v>4569</v>
      </c>
      <c r="E2379" s="87" t="s">
        <v>4570</v>
      </c>
      <c r="F2379" s="87">
        <v>34.649042665099998</v>
      </c>
      <c r="G2379" s="87">
        <v>43.6629112169</v>
      </c>
      <c r="H2379" s="86">
        <v>155</v>
      </c>
      <c r="I2379" s="86">
        <v>930</v>
      </c>
      <c r="J2379" s="87"/>
      <c r="K2379" s="87"/>
      <c r="L2379" s="87"/>
      <c r="M2379" s="87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  <c r="X2379" s="87">
        <v>155</v>
      </c>
      <c r="Y2379" s="87"/>
      <c r="Z2379" s="87"/>
      <c r="AA2379" s="87"/>
      <c r="AB2379" s="87"/>
      <c r="AC2379" s="87"/>
      <c r="AD2379" s="87"/>
      <c r="AE2379" s="87"/>
      <c r="AF2379" s="87"/>
      <c r="AG2379" s="87"/>
      <c r="AH2379" s="87">
        <v>138</v>
      </c>
      <c r="AI2379" s="87">
        <v>5</v>
      </c>
      <c r="AJ2379" s="87"/>
      <c r="AK2379" s="87">
        <v>12</v>
      </c>
      <c r="AL2379" s="87"/>
      <c r="AM2379" s="87"/>
      <c r="AN2379" s="87"/>
      <c r="AO2379" s="87"/>
      <c r="AP2379" s="87"/>
      <c r="AQ2379" s="87"/>
      <c r="AR2379" s="87">
        <v>55</v>
      </c>
      <c r="AS2379" s="87">
        <v>100</v>
      </c>
      <c r="AT2379" s="87"/>
      <c r="AU2379" s="87"/>
      <c r="AV2379" s="87"/>
      <c r="AW2379" s="88" t="str">
        <f>HYPERLINK("http://www.openstreetmap.org/?mlat=34.649&amp;mlon=43.6629&amp;zoom=12#map=12/34.649/43.6629","Maplink1")</f>
        <v>Maplink1</v>
      </c>
      <c r="AX2379" s="88" t="str">
        <f>HYPERLINK("https://www.google.iq/maps/search/+34.649,43.6629/@34.649,43.6629,14z?hl=en","Maplink2")</f>
        <v>Maplink2</v>
      </c>
      <c r="AY2379" s="88" t="str">
        <f>HYPERLINK("http://www.bing.com/maps/?lvl=14&amp;sty=h&amp;cp=34.649~43.6629&amp;sp=point.34.649_43.6629","Maplink3")</f>
        <v>Maplink3</v>
      </c>
      <c r="AZ2379" s="76"/>
    </row>
    <row r="2380" spans="1:52" x14ac:dyDescent="0.25">
      <c r="A2380" s="86">
        <v>22059</v>
      </c>
      <c r="B2380" s="87" t="s">
        <v>26</v>
      </c>
      <c r="C2380" s="87" t="s">
        <v>4481</v>
      </c>
      <c r="D2380" s="87" t="s">
        <v>4571</v>
      </c>
      <c r="E2380" s="87" t="s">
        <v>4572</v>
      </c>
      <c r="F2380" s="87">
        <v>34.793275546499999</v>
      </c>
      <c r="G2380" s="87">
        <v>43.604259388700001</v>
      </c>
      <c r="H2380" s="86">
        <v>74</v>
      </c>
      <c r="I2380" s="86">
        <v>444</v>
      </c>
      <c r="J2380" s="87"/>
      <c r="K2380" s="87"/>
      <c r="L2380" s="87"/>
      <c r="M2380" s="87"/>
      <c r="N2380" s="87"/>
      <c r="O2380" s="87"/>
      <c r="P2380" s="87"/>
      <c r="Q2380" s="87"/>
      <c r="R2380" s="87">
        <v>55</v>
      </c>
      <c r="S2380" s="87"/>
      <c r="T2380" s="87"/>
      <c r="U2380" s="87"/>
      <c r="V2380" s="87"/>
      <c r="W2380" s="87"/>
      <c r="X2380" s="87">
        <v>19</v>
      </c>
      <c r="Y2380" s="87"/>
      <c r="Z2380" s="87"/>
      <c r="AA2380" s="87"/>
      <c r="AB2380" s="87"/>
      <c r="AC2380" s="87">
        <v>12</v>
      </c>
      <c r="AD2380" s="87"/>
      <c r="AE2380" s="87">
        <v>9</v>
      </c>
      <c r="AF2380" s="87"/>
      <c r="AG2380" s="87"/>
      <c r="AH2380" s="87">
        <v>10</v>
      </c>
      <c r="AI2380" s="87">
        <v>8</v>
      </c>
      <c r="AJ2380" s="87"/>
      <c r="AK2380" s="87">
        <v>35</v>
      </c>
      <c r="AL2380" s="87"/>
      <c r="AM2380" s="87"/>
      <c r="AN2380" s="87"/>
      <c r="AO2380" s="87"/>
      <c r="AP2380" s="87"/>
      <c r="AQ2380" s="87"/>
      <c r="AR2380" s="87"/>
      <c r="AS2380" s="87"/>
      <c r="AT2380" s="87">
        <v>74</v>
      </c>
      <c r="AU2380" s="87"/>
      <c r="AV2380" s="87"/>
      <c r="AW2380" s="88" t="str">
        <f>HYPERLINK("http://www.openstreetmap.org/?mlat=34.7933&amp;mlon=43.6043&amp;zoom=12#map=12/34.7933/43.6043","Maplink1")</f>
        <v>Maplink1</v>
      </c>
      <c r="AX2380" s="88" t="str">
        <f>HYPERLINK("https://www.google.iq/maps/search/+34.7933,43.6043/@34.7933,43.6043,14z?hl=en","Maplink2")</f>
        <v>Maplink2</v>
      </c>
      <c r="AY2380" s="88" t="str">
        <f>HYPERLINK("http://www.bing.com/maps/?lvl=14&amp;sty=h&amp;cp=34.7933~43.6043&amp;sp=point.34.7933_43.6043","Maplink3")</f>
        <v>Maplink3</v>
      </c>
      <c r="AZ2380" s="76"/>
    </row>
    <row r="2381" spans="1:52" x14ac:dyDescent="0.25">
      <c r="A2381" s="86">
        <v>20612</v>
      </c>
      <c r="B2381" s="87" t="s">
        <v>26</v>
      </c>
      <c r="C2381" s="87" t="s">
        <v>4481</v>
      </c>
      <c r="D2381" s="87" t="s">
        <v>4573</v>
      </c>
      <c r="E2381" s="87" t="s">
        <v>4574</v>
      </c>
      <c r="F2381" s="87">
        <v>34.755675650699999</v>
      </c>
      <c r="G2381" s="87">
        <v>43.669097506</v>
      </c>
      <c r="H2381" s="86">
        <v>46</v>
      </c>
      <c r="I2381" s="86">
        <v>276</v>
      </c>
      <c r="J2381" s="87"/>
      <c r="K2381" s="87"/>
      <c r="L2381" s="87"/>
      <c r="M2381" s="87"/>
      <c r="N2381" s="87"/>
      <c r="O2381" s="87"/>
      <c r="P2381" s="87"/>
      <c r="Q2381" s="87"/>
      <c r="R2381" s="87">
        <v>40</v>
      </c>
      <c r="S2381" s="87"/>
      <c r="T2381" s="87"/>
      <c r="U2381" s="87"/>
      <c r="V2381" s="87"/>
      <c r="W2381" s="87"/>
      <c r="X2381" s="87">
        <v>6</v>
      </c>
      <c r="Y2381" s="87"/>
      <c r="Z2381" s="87"/>
      <c r="AA2381" s="87"/>
      <c r="AB2381" s="87"/>
      <c r="AC2381" s="87"/>
      <c r="AD2381" s="87"/>
      <c r="AE2381" s="87"/>
      <c r="AF2381" s="87"/>
      <c r="AG2381" s="87"/>
      <c r="AH2381" s="87">
        <v>8</v>
      </c>
      <c r="AI2381" s="87">
        <v>6</v>
      </c>
      <c r="AJ2381" s="87"/>
      <c r="AK2381" s="87">
        <v>32</v>
      </c>
      <c r="AL2381" s="87"/>
      <c r="AM2381" s="87"/>
      <c r="AN2381" s="87"/>
      <c r="AO2381" s="87"/>
      <c r="AP2381" s="87"/>
      <c r="AQ2381" s="87"/>
      <c r="AR2381" s="87">
        <v>46</v>
      </c>
      <c r="AS2381" s="87"/>
      <c r="AT2381" s="87"/>
      <c r="AU2381" s="87"/>
      <c r="AV2381" s="87"/>
      <c r="AW2381" s="88" t="str">
        <f>HYPERLINK("http://www.openstreetmap.org/?mlat=34.7557&amp;mlon=43.6691&amp;zoom=12#map=12/34.7557/43.6691","Maplink1")</f>
        <v>Maplink1</v>
      </c>
      <c r="AX2381" s="88" t="str">
        <f>HYPERLINK("https://www.google.iq/maps/search/+34.7557,43.6691/@34.7557,43.6691,14z?hl=en","Maplink2")</f>
        <v>Maplink2</v>
      </c>
      <c r="AY2381" s="88" t="str">
        <f>HYPERLINK("http://www.bing.com/maps/?lvl=14&amp;sty=h&amp;cp=34.7557~43.6691&amp;sp=point.34.7557_43.6691","Maplink3")</f>
        <v>Maplink3</v>
      </c>
      <c r="AZ2381" s="76"/>
    </row>
    <row r="2382" spans="1:52" x14ac:dyDescent="0.25">
      <c r="A2382" s="86">
        <v>25950</v>
      </c>
      <c r="B2382" s="87" t="s">
        <v>26</v>
      </c>
      <c r="C2382" s="87" t="s">
        <v>4481</v>
      </c>
      <c r="D2382" s="87" t="s">
        <v>4575</v>
      </c>
      <c r="E2382" s="87" t="s">
        <v>4576</v>
      </c>
      <c r="F2382" s="87">
        <v>34.819690840699998</v>
      </c>
      <c r="G2382" s="87">
        <v>43.5777288906</v>
      </c>
      <c r="H2382" s="86">
        <v>258</v>
      </c>
      <c r="I2382" s="86">
        <v>1548</v>
      </c>
      <c r="J2382" s="87"/>
      <c r="K2382" s="87"/>
      <c r="L2382" s="87"/>
      <c r="M2382" s="87"/>
      <c r="N2382" s="87"/>
      <c r="O2382" s="87"/>
      <c r="P2382" s="87"/>
      <c r="Q2382" s="87"/>
      <c r="R2382" s="87">
        <v>230</v>
      </c>
      <c r="S2382" s="87"/>
      <c r="T2382" s="87"/>
      <c r="U2382" s="87"/>
      <c r="V2382" s="87"/>
      <c r="W2382" s="87"/>
      <c r="X2382" s="87">
        <v>28</v>
      </c>
      <c r="Y2382" s="87"/>
      <c r="Z2382" s="87"/>
      <c r="AA2382" s="87"/>
      <c r="AB2382" s="87"/>
      <c r="AC2382" s="87"/>
      <c r="AD2382" s="87"/>
      <c r="AE2382" s="87"/>
      <c r="AF2382" s="87"/>
      <c r="AG2382" s="87"/>
      <c r="AH2382" s="87">
        <v>200</v>
      </c>
      <c r="AI2382" s="87">
        <v>39</v>
      </c>
      <c r="AJ2382" s="87"/>
      <c r="AK2382" s="87">
        <v>19</v>
      </c>
      <c r="AL2382" s="87"/>
      <c r="AM2382" s="87"/>
      <c r="AN2382" s="87"/>
      <c r="AO2382" s="87"/>
      <c r="AP2382" s="87"/>
      <c r="AQ2382" s="87"/>
      <c r="AR2382" s="87"/>
      <c r="AS2382" s="87"/>
      <c r="AT2382" s="87">
        <v>258</v>
      </c>
      <c r="AU2382" s="87"/>
      <c r="AV2382" s="87"/>
      <c r="AW2382" s="88" t="str">
        <f>HYPERLINK("http://www.openstreetmap.org/?mlat=34.8197&amp;mlon=43.5777&amp;zoom=12#map=12/34.8197/43.5777","Maplink1")</f>
        <v>Maplink1</v>
      </c>
      <c r="AX2382" s="88" t="str">
        <f>HYPERLINK("https://www.google.iq/maps/search/+34.8197,43.5777/@34.8197,43.5777,14z?hl=en","Maplink2")</f>
        <v>Maplink2</v>
      </c>
      <c r="AY2382" s="88" t="str">
        <f>HYPERLINK("http://www.bing.com/maps/?lvl=14&amp;sty=h&amp;cp=34.8197~43.5777&amp;sp=point.34.8197_43.5777","Maplink3")</f>
        <v>Maplink3</v>
      </c>
      <c r="AZ2382" s="76"/>
    </row>
    <row r="2383" spans="1:52" x14ac:dyDescent="0.25">
      <c r="A2383" s="86">
        <v>20666</v>
      </c>
      <c r="B2383" s="87" t="s">
        <v>26</v>
      </c>
      <c r="C2383" s="87" t="s">
        <v>4481</v>
      </c>
      <c r="D2383" s="87" t="s">
        <v>4577</v>
      </c>
      <c r="E2383" s="87" t="s">
        <v>4578</v>
      </c>
      <c r="F2383" s="87">
        <v>34.471379922899999</v>
      </c>
      <c r="G2383" s="87">
        <v>43.7353503848</v>
      </c>
      <c r="H2383" s="86">
        <v>1</v>
      </c>
      <c r="I2383" s="86">
        <v>6</v>
      </c>
      <c r="J2383" s="87"/>
      <c r="K2383" s="87"/>
      <c r="L2383" s="87"/>
      <c r="M2383" s="87"/>
      <c r="N2383" s="87"/>
      <c r="O2383" s="87"/>
      <c r="P2383" s="87"/>
      <c r="Q2383" s="87"/>
      <c r="R2383" s="87"/>
      <c r="S2383" s="87"/>
      <c r="T2383" s="87"/>
      <c r="U2383" s="87"/>
      <c r="V2383" s="87"/>
      <c r="W2383" s="87"/>
      <c r="X2383" s="87">
        <v>1</v>
      </c>
      <c r="Y2383" s="87"/>
      <c r="Z2383" s="87"/>
      <c r="AA2383" s="87"/>
      <c r="AB2383" s="87"/>
      <c r="AC2383" s="87"/>
      <c r="AD2383" s="87"/>
      <c r="AE2383" s="87"/>
      <c r="AF2383" s="87"/>
      <c r="AG2383" s="87"/>
      <c r="AH2383" s="87">
        <v>1</v>
      </c>
      <c r="AI2383" s="87"/>
      <c r="AJ2383" s="87"/>
      <c r="AK2383" s="87"/>
      <c r="AL2383" s="87"/>
      <c r="AM2383" s="87"/>
      <c r="AN2383" s="87"/>
      <c r="AO2383" s="87"/>
      <c r="AP2383" s="87"/>
      <c r="AQ2383" s="87">
        <v>1</v>
      </c>
      <c r="AR2383" s="87"/>
      <c r="AS2383" s="87"/>
      <c r="AT2383" s="87"/>
      <c r="AU2383" s="87"/>
      <c r="AV2383" s="87"/>
      <c r="AW2383" s="88" t="str">
        <f>HYPERLINK("http://www.openstreetmap.org/?mlat=34.4714&amp;mlon=43.7354&amp;zoom=12#map=12/34.4714/43.7354","Maplink1")</f>
        <v>Maplink1</v>
      </c>
      <c r="AX2383" s="88" t="str">
        <f>HYPERLINK("https://www.google.iq/maps/search/+34.4714,43.7354/@34.4714,43.7354,14z?hl=en","Maplink2")</f>
        <v>Maplink2</v>
      </c>
      <c r="AY2383" s="88" t="str">
        <f>HYPERLINK("http://www.bing.com/maps/?lvl=14&amp;sty=h&amp;cp=34.4714~43.7354&amp;sp=point.34.4714_43.7354","Maplink3")</f>
        <v>Maplink3</v>
      </c>
      <c r="AZ2383" s="76"/>
    </row>
    <row r="2384" spans="1:52" x14ac:dyDescent="0.25">
      <c r="A2384" s="86">
        <v>20505</v>
      </c>
      <c r="B2384" s="87" t="s">
        <v>26</v>
      </c>
      <c r="C2384" s="87" t="s">
        <v>4579</v>
      </c>
      <c r="D2384" s="87" t="s">
        <v>4580</v>
      </c>
      <c r="E2384" s="87" t="s">
        <v>4581</v>
      </c>
      <c r="F2384" s="87">
        <v>34.913407749900003</v>
      </c>
      <c r="G2384" s="87">
        <v>44.791107472999997</v>
      </c>
      <c r="H2384" s="86">
        <v>3</v>
      </c>
      <c r="I2384" s="86">
        <v>18</v>
      </c>
      <c r="J2384" s="87"/>
      <c r="K2384" s="87"/>
      <c r="L2384" s="87"/>
      <c r="M2384" s="87"/>
      <c r="N2384" s="87"/>
      <c r="O2384" s="87"/>
      <c r="P2384" s="87"/>
      <c r="Q2384" s="87"/>
      <c r="R2384" s="87"/>
      <c r="S2384" s="87"/>
      <c r="T2384" s="87"/>
      <c r="U2384" s="87"/>
      <c r="V2384" s="87"/>
      <c r="W2384" s="87"/>
      <c r="X2384" s="87">
        <v>3</v>
      </c>
      <c r="Y2384" s="87"/>
      <c r="Z2384" s="87"/>
      <c r="AA2384" s="87"/>
      <c r="AB2384" s="87"/>
      <c r="AC2384" s="87">
        <v>3</v>
      </c>
      <c r="AD2384" s="87"/>
      <c r="AE2384" s="87"/>
      <c r="AF2384" s="87"/>
      <c r="AG2384" s="87"/>
      <c r="AH2384" s="87"/>
      <c r="AI2384" s="87"/>
      <c r="AJ2384" s="87"/>
      <c r="AK2384" s="87"/>
      <c r="AL2384" s="87"/>
      <c r="AM2384" s="87"/>
      <c r="AN2384" s="87"/>
      <c r="AO2384" s="87"/>
      <c r="AP2384" s="87"/>
      <c r="AQ2384" s="87"/>
      <c r="AR2384" s="87"/>
      <c r="AS2384" s="87"/>
      <c r="AT2384" s="87"/>
      <c r="AU2384" s="87">
        <v>3</v>
      </c>
      <c r="AV2384" s="87"/>
      <c r="AW2384" s="88" t="str">
        <f>HYPERLINK("http://www.openstreetmap.org/?mlat=34.9134&amp;mlon=44.7911&amp;zoom=12#map=12/34.9134/44.7911","Maplink1")</f>
        <v>Maplink1</v>
      </c>
      <c r="AX2384" s="88" t="str">
        <f>HYPERLINK("https://www.google.iq/maps/search/+34.9134,44.7911/@34.9134,44.7911,14z?hl=en","Maplink2")</f>
        <v>Maplink2</v>
      </c>
      <c r="AY2384" s="88" t="str">
        <f>HYPERLINK("http://www.bing.com/maps/?lvl=14&amp;sty=h&amp;cp=34.9134~44.7911&amp;sp=point.34.9134_44.7911","Maplink3")</f>
        <v>Maplink3</v>
      </c>
      <c r="AZ2384" s="76"/>
    </row>
    <row r="2385" spans="1:52" x14ac:dyDescent="0.25">
      <c r="A2385" s="86">
        <v>20553</v>
      </c>
      <c r="B2385" s="87" t="s">
        <v>26</v>
      </c>
      <c r="C2385" s="87" t="s">
        <v>4579</v>
      </c>
      <c r="D2385" s="87" t="s">
        <v>4582</v>
      </c>
      <c r="E2385" s="87" t="s">
        <v>4583</v>
      </c>
      <c r="F2385" s="87">
        <v>34.918698658399997</v>
      </c>
      <c r="G2385" s="87">
        <v>44.766299715599999</v>
      </c>
      <c r="H2385" s="86">
        <v>4</v>
      </c>
      <c r="I2385" s="86">
        <v>24</v>
      </c>
      <c r="J2385" s="87"/>
      <c r="K2385" s="87"/>
      <c r="L2385" s="87"/>
      <c r="M2385" s="87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  <c r="X2385" s="87">
        <v>4</v>
      </c>
      <c r="Y2385" s="87"/>
      <c r="Z2385" s="87"/>
      <c r="AA2385" s="87"/>
      <c r="AB2385" s="87"/>
      <c r="AC2385" s="87">
        <v>4</v>
      </c>
      <c r="AD2385" s="87"/>
      <c r="AE2385" s="87"/>
      <c r="AF2385" s="87"/>
      <c r="AG2385" s="87"/>
      <c r="AH2385" s="87"/>
      <c r="AI2385" s="87"/>
      <c r="AJ2385" s="87"/>
      <c r="AK2385" s="87"/>
      <c r="AL2385" s="87"/>
      <c r="AM2385" s="87"/>
      <c r="AN2385" s="87"/>
      <c r="AO2385" s="87"/>
      <c r="AP2385" s="87"/>
      <c r="AQ2385" s="87"/>
      <c r="AR2385" s="87"/>
      <c r="AS2385" s="87"/>
      <c r="AT2385" s="87"/>
      <c r="AU2385" s="87">
        <v>4</v>
      </c>
      <c r="AV2385" s="87"/>
      <c r="AW2385" s="88" t="str">
        <f>HYPERLINK("http://www.openstreetmap.org/?mlat=34.9187&amp;mlon=44.7663&amp;zoom=12#map=12/34.9187/44.7663","Maplink1")</f>
        <v>Maplink1</v>
      </c>
      <c r="AX2385" s="88" t="str">
        <f>HYPERLINK("https://www.google.iq/maps/search/+34.9187,44.7663/@34.9187,44.7663,14z?hl=en","Maplink2")</f>
        <v>Maplink2</v>
      </c>
      <c r="AY2385" s="88" t="str">
        <f>HYPERLINK("http://www.bing.com/maps/?lvl=14&amp;sty=h&amp;cp=34.9187~44.7663&amp;sp=point.34.9187_44.7663","Maplink3")</f>
        <v>Maplink3</v>
      </c>
      <c r="AZ2385" s="76"/>
    </row>
    <row r="2386" spans="1:52" x14ac:dyDescent="0.25">
      <c r="A2386" s="86">
        <v>33141</v>
      </c>
      <c r="B2386" s="87" t="s">
        <v>26</v>
      </c>
      <c r="C2386" s="87" t="s">
        <v>4579</v>
      </c>
      <c r="D2386" s="87" t="s">
        <v>4584</v>
      </c>
      <c r="E2386" s="87" t="s">
        <v>4585</v>
      </c>
      <c r="F2386" s="87">
        <v>34.9452</v>
      </c>
      <c r="G2386" s="87">
        <v>44.902850000000001</v>
      </c>
      <c r="H2386" s="86">
        <v>4</v>
      </c>
      <c r="I2386" s="86">
        <v>24</v>
      </c>
      <c r="J2386" s="87"/>
      <c r="K2386" s="87"/>
      <c r="L2386" s="87"/>
      <c r="M2386" s="87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  <c r="X2386" s="87">
        <v>4</v>
      </c>
      <c r="Y2386" s="87"/>
      <c r="Z2386" s="87"/>
      <c r="AA2386" s="87"/>
      <c r="AB2386" s="87"/>
      <c r="AC2386" s="87">
        <v>4</v>
      </c>
      <c r="AD2386" s="87"/>
      <c r="AE2386" s="87"/>
      <c r="AF2386" s="87"/>
      <c r="AG2386" s="87"/>
      <c r="AH2386" s="87"/>
      <c r="AI2386" s="87"/>
      <c r="AJ2386" s="87"/>
      <c r="AK2386" s="87"/>
      <c r="AL2386" s="87"/>
      <c r="AM2386" s="87"/>
      <c r="AN2386" s="87"/>
      <c r="AO2386" s="87"/>
      <c r="AP2386" s="87"/>
      <c r="AQ2386" s="87"/>
      <c r="AR2386" s="87"/>
      <c r="AS2386" s="87"/>
      <c r="AT2386" s="87"/>
      <c r="AU2386" s="87">
        <v>4</v>
      </c>
      <c r="AV2386" s="87"/>
      <c r="AW2386" s="88" t="str">
        <f>HYPERLINK("http://www.openstreetmap.org/?mlat=34.9452&amp;mlon=44.9029&amp;zoom=12#map=12/34.9452/44.9029","Maplink1")</f>
        <v>Maplink1</v>
      </c>
      <c r="AX2386" s="88" t="str">
        <f>HYPERLINK("https://www.google.iq/maps/search/+34.9452,44.9029/@34.9452,44.9029,14z?hl=en","Maplink2")</f>
        <v>Maplink2</v>
      </c>
      <c r="AY2386" s="88" t="str">
        <f>HYPERLINK("http://www.bing.com/maps/?lvl=14&amp;sty=h&amp;cp=34.9452~44.9029&amp;sp=point.34.9452_44.9029","Maplink3")</f>
        <v>Maplink3</v>
      </c>
      <c r="AZ2386" s="76"/>
    </row>
    <row r="2387" spans="1:52" x14ac:dyDescent="0.25">
      <c r="A2387" s="86">
        <v>20420</v>
      </c>
      <c r="B2387" s="87" t="s">
        <v>26</v>
      </c>
      <c r="C2387" s="87" t="s">
        <v>4579</v>
      </c>
      <c r="D2387" s="87" t="s">
        <v>4586</v>
      </c>
      <c r="E2387" s="87" t="s">
        <v>4587</v>
      </c>
      <c r="F2387" s="87">
        <v>35.001208773400002</v>
      </c>
      <c r="G2387" s="87">
        <v>44.862541452599999</v>
      </c>
      <c r="H2387" s="86">
        <v>7</v>
      </c>
      <c r="I2387" s="86">
        <v>42</v>
      </c>
      <c r="J2387" s="87"/>
      <c r="K2387" s="87"/>
      <c r="L2387" s="87"/>
      <c r="M2387" s="87"/>
      <c r="N2387" s="87"/>
      <c r="O2387" s="87">
        <v>3</v>
      </c>
      <c r="P2387" s="87"/>
      <c r="Q2387" s="87"/>
      <c r="R2387" s="87"/>
      <c r="S2387" s="87"/>
      <c r="T2387" s="87"/>
      <c r="U2387" s="87"/>
      <c r="V2387" s="87"/>
      <c r="W2387" s="87"/>
      <c r="X2387" s="87">
        <v>4</v>
      </c>
      <c r="Y2387" s="87"/>
      <c r="Z2387" s="87"/>
      <c r="AA2387" s="87"/>
      <c r="AB2387" s="87"/>
      <c r="AC2387" s="87">
        <v>7</v>
      </c>
      <c r="AD2387" s="87"/>
      <c r="AE2387" s="87"/>
      <c r="AF2387" s="87"/>
      <c r="AG2387" s="87"/>
      <c r="AH2387" s="87"/>
      <c r="AI2387" s="87"/>
      <c r="AJ2387" s="87"/>
      <c r="AK2387" s="87"/>
      <c r="AL2387" s="87"/>
      <c r="AM2387" s="87"/>
      <c r="AN2387" s="87"/>
      <c r="AO2387" s="87"/>
      <c r="AP2387" s="87">
        <v>3</v>
      </c>
      <c r="AQ2387" s="87"/>
      <c r="AR2387" s="87"/>
      <c r="AS2387" s="87"/>
      <c r="AT2387" s="87"/>
      <c r="AU2387" s="87">
        <v>4</v>
      </c>
      <c r="AV2387" s="87"/>
      <c r="AW2387" s="88" t="str">
        <f>HYPERLINK("http://www.openstreetmap.org/?mlat=35.0012&amp;mlon=44.8625&amp;zoom=12#map=12/35.0012/44.8625","Maplink1")</f>
        <v>Maplink1</v>
      </c>
      <c r="AX2387" s="88" t="str">
        <f>HYPERLINK("https://www.google.iq/maps/search/+35.0012,44.8625/@35.0012,44.8625,14z?hl=en","Maplink2")</f>
        <v>Maplink2</v>
      </c>
      <c r="AY2387" s="88" t="str">
        <f>HYPERLINK("http://www.bing.com/maps/?lvl=14&amp;sty=h&amp;cp=35.0012~44.8625&amp;sp=point.35.0012_44.8625","Maplink3")</f>
        <v>Maplink3</v>
      </c>
      <c r="AZ2387" s="76"/>
    </row>
    <row r="2388" spans="1:52" x14ac:dyDescent="0.25">
      <c r="A2388" s="86">
        <v>21846</v>
      </c>
      <c r="B2388" s="87" t="s">
        <v>26</v>
      </c>
      <c r="C2388" s="87" t="s">
        <v>4579</v>
      </c>
      <c r="D2388" s="87" t="s">
        <v>4588</v>
      </c>
      <c r="E2388" s="87" t="s">
        <v>4460</v>
      </c>
      <c r="F2388" s="87">
        <v>34.886060260299999</v>
      </c>
      <c r="G2388" s="87">
        <v>44.613053001300003</v>
      </c>
      <c r="H2388" s="86">
        <v>130</v>
      </c>
      <c r="I2388" s="86">
        <v>780</v>
      </c>
      <c r="J2388" s="87"/>
      <c r="K2388" s="87"/>
      <c r="L2388" s="87"/>
      <c r="M2388" s="87"/>
      <c r="N2388" s="87"/>
      <c r="O2388" s="87">
        <v>4</v>
      </c>
      <c r="P2388" s="87"/>
      <c r="Q2388" s="87"/>
      <c r="R2388" s="87"/>
      <c r="S2388" s="87"/>
      <c r="T2388" s="87"/>
      <c r="U2388" s="87"/>
      <c r="V2388" s="87">
        <v>4</v>
      </c>
      <c r="W2388" s="87"/>
      <c r="X2388" s="87">
        <v>122</v>
      </c>
      <c r="Y2388" s="87"/>
      <c r="Z2388" s="87"/>
      <c r="AA2388" s="87"/>
      <c r="AB2388" s="87"/>
      <c r="AC2388" s="87">
        <v>26</v>
      </c>
      <c r="AD2388" s="87"/>
      <c r="AE2388" s="87"/>
      <c r="AF2388" s="87"/>
      <c r="AG2388" s="87"/>
      <c r="AH2388" s="87">
        <v>95</v>
      </c>
      <c r="AI2388" s="87">
        <v>9</v>
      </c>
      <c r="AJ2388" s="87"/>
      <c r="AK2388" s="87"/>
      <c r="AL2388" s="87"/>
      <c r="AM2388" s="87"/>
      <c r="AN2388" s="87">
        <v>9</v>
      </c>
      <c r="AO2388" s="87">
        <v>99</v>
      </c>
      <c r="AP2388" s="87">
        <v>12</v>
      </c>
      <c r="AQ2388" s="87"/>
      <c r="AR2388" s="87">
        <v>10</v>
      </c>
      <c r="AS2388" s="87"/>
      <c r="AT2388" s="87"/>
      <c r="AU2388" s="87"/>
      <c r="AV2388" s="87"/>
      <c r="AW2388" s="88" t="str">
        <f>HYPERLINK("http://www.openstreetmap.org/?mlat=34.8861&amp;mlon=44.6131&amp;zoom=12#map=12/34.8861/44.6131","Maplink1")</f>
        <v>Maplink1</v>
      </c>
      <c r="AX2388" s="88" t="str">
        <f>HYPERLINK("https://www.google.iq/maps/search/+34.8861,44.6131/@34.8861,44.6131,14z?hl=en","Maplink2")</f>
        <v>Maplink2</v>
      </c>
      <c r="AY2388" s="88" t="str">
        <f>HYPERLINK("http://www.bing.com/maps/?lvl=14&amp;sty=h&amp;cp=34.8861~44.6131&amp;sp=point.34.8861_44.6131","Maplink3")</f>
        <v>Maplink3</v>
      </c>
      <c r="AZ2388" s="76"/>
    </row>
    <row r="2389" spans="1:52" x14ac:dyDescent="0.25">
      <c r="A2389" s="86">
        <v>25865</v>
      </c>
      <c r="B2389" s="87" t="s">
        <v>26</v>
      </c>
      <c r="C2389" s="87" t="s">
        <v>4579</v>
      </c>
      <c r="D2389" s="87" t="s">
        <v>4589</v>
      </c>
      <c r="E2389" s="87" t="s">
        <v>4590</v>
      </c>
      <c r="F2389" s="87">
        <v>34.899664401400003</v>
      </c>
      <c r="G2389" s="87">
        <v>44.626141735899999</v>
      </c>
      <c r="H2389" s="86">
        <v>73</v>
      </c>
      <c r="I2389" s="86">
        <v>438</v>
      </c>
      <c r="J2389" s="87"/>
      <c r="K2389" s="87"/>
      <c r="L2389" s="87"/>
      <c r="M2389" s="87"/>
      <c r="N2389" s="87"/>
      <c r="O2389" s="87">
        <v>5</v>
      </c>
      <c r="P2389" s="87"/>
      <c r="Q2389" s="87"/>
      <c r="R2389" s="87"/>
      <c r="S2389" s="87"/>
      <c r="T2389" s="87"/>
      <c r="U2389" s="87"/>
      <c r="V2389" s="87"/>
      <c r="W2389" s="87"/>
      <c r="X2389" s="87">
        <v>68</v>
      </c>
      <c r="Y2389" s="87"/>
      <c r="Z2389" s="87"/>
      <c r="AA2389" s="87"/>
      <c r="AB2389" s="87"/>
      <c r="AC2389" s="87">
        <v>19</v>
      </c>
      <c r="AD2389" s="87"/>
      <c r="AE2389" s="87"/>
      <c r="AF2389" s="87"/>
      <c r="AG2389" s="87"/>
      <c r="AH2389" s="87">
        <v>49</v>
      </c>
      <c r="AI2389" s="87">
        <v>5</v>
      </c>
      <c r="AJ2389" s="87"/>
      <c r="AK2389" s="87"/>
      <c r="AL2389" s="87"/>
      <c r="AM2389" s="87"/>
      <c r="AN2389" s="87"/>
      <c r="AO2389" s="87">
        <v>15</v>
      </c>
      <c r="AP2389" s="87">
        <v>58</v>
      </c>
      <c r="AQ2389" s="87"/>
      <c r="AR2389" s="87"/>
      <c r="AS2389" s="87"/>
      <c r="AT2389" s="87"/>
      <c r="AU2389" s="87"/>
      <c r="AV2389" s="87"/>
      <c r="AW2389" s="88" t="str">
        <f>HYPERLINK("http://www.openstreetmap.org/?mlat=34.8997&amp;mlon=44.6261&amp;zoom=12#map=12/34.8997/44.6261","Maplink1")</f>
        <v>Maplink1</v>
      </c>
      <c r="AX2389" s="88" t="str">
        <f>HYPERLINK("https://www.google.iq/maps/search/+34.8997,44.6261/@34.8997,44.6261,14z?hl=en","Maplink2")</f>
        <v>Maplink2</v>
      </c>
      <c r="AY2389" s="88" t="str">
        <f>HYPERLINK("http://www.bing.com/maps/?lvl=14&amp;sty=h&amp;cp=34.8997~44.6261&amp;sp=point.34.8997_44.6261","Maplink3")</f>
        <v>Maplink3</v>
      </c>
      <c r="AZ2389" s="76"/>
    </row>
    <row r="2390" spans="1:52" x14ac:dyDescent="0.25">
      <c r="A2390" s="86">
        <v>25866</v>
      </c>
      <c r="B2390" s="87" t="s">
        <v>26</v>
      </c>
      <c r="C2390" s="87" t="s">
        <v>4579</v>
      </c>
      <c r="D2390" s="87" t="s">
        <v>4591</v>
      </c>
      <c r="E2390" s="87" t="s">
        <v>4592</v>
      </c>
      <c r="F2390" s="87">
        <v>34.8963111574</v>
      </c>
      <c r="G2390" s="87">
        <v>44.626185619600001</v>
      </c>
      <c r="H2390" s="86">
        <v>834</v>
      </c>
      <c r="I2390" s="86">
        <v>5004</v>
      </c>
      <c r="J2390" s="87">
        <v>53</v>
      </c>
      <c r="K2390" s="87"/>
      <c r="L2390" s="87"/>
      <c r="M2390" s="87"/>
      <c r="N2390" s="87"/>
      <c r="O2390" s="87">
        <v>91</v>
      </c>
      <c r="P2390" s="87"/>
      <c r="Q2390" s="87"/>
      <c r="R2390" s="87"/>
      <c r="S2390" s="87"/>
      <c r="T2390" s="87"/>
      <c r="U2390" s="87"/>
      <c r="V2390" s="87">
        <v>10</v>
      </c>
      <c r="W2390" s="87"/>
      <c r="X2390" s="87">
        <v>680</v>
      </c>
      <c r="Y2390" s="87"/>
      <c r="Z2390" s="87"/>
      <c r="AA2390" s="87"/>
      <c r="AB2390" s="87"/>
      <c r="AC2390" s="87">
        <v>75</v>
      </c>
      <c r="AD2390" s="87"/>
      <c r="AE2390" s="87">
        <v>50</v>
      </c>
      <c r="AF2390" s="87"/>
      <c r="AG2390" s="87"/>
      <c r="AH2390" s="87">
        <v>614</v>
      </c>
      <c r="AI2390" s="87">
        <v>95</v>
      </c>
      <c r="AJ2390" s="87"/>
      <c r="AK2390" s="87"/>
      <c r="AL2390" s="87"/>
      <c r="AM2390" s="87"/>
      <c r="AN2390" s="87"/>
      <c r="AO2390" s="87">
        <v>140</v>
      </c>
      <c r="AP2390" s="87">
        <v>574</v>
      </c>
      <c r="AQ2390" s="87"/>
      <c r="AR2390" s="87">
        <v>105</v>
      </c>
      <c r="AS2390" s="87"/>
      <c r="AT2390" s="87">
        <v>15</v>
      </c>
      <c r="AU2390" s="87"/>
      <c r="AV2390" s="87"/>
      <c r="AW2390" s="88" t="str">
        <f>HYPERLINK("http://www.openstreetmap.org/?mlat=34.8963&amp;mlon=44.6262&amp;zoom=12#map=12/34.8963/44.6262","Maplink1")</f>
        <v>Maplink1</v>
      </c>
      <c r="AX2390" s="88" t="str">
        <f>HYPERLINK("https://www.google.iq/maps/search/+34.8963,44.6262/@34.8963,44.6262,14z?hl=en","Maplink2")</f>
        <v>Maplink2</v>
      </c>
      <c r="AY2390" s="88" t="str">
        <f>HYPERLINK("http://www.bing.com/maps/?lvl=14&amp;sty=h&amp;cp=34.8963~44.6262&amp;sp=point.34.8963_44.6262","Maplink3")</f>
        <v>Maplink3</v>
      </c>
      <c r="AZ2390" s="76"/>
    </row>
    <row r="2391" spans="1:52" x14ac:dyDescent="0.25">
      <c r="A2391" s="86">
        <v>25868</v>
      </c>
      <c r="B2391" s="87" t="s">
        <v>26</v>
      </c>
      <c r="C2391" s="87" t="s">
        <v>4579</v>
      </c>
      <c r="D2391" s="87" t="s">
        <v>4593</v>
      </c>
      <c r="E2391" s="87" t="s">
        <v>4594</v>
      </c>
      <c r="F2391" s="87">
        <v>34.886701491499998</v>
      </c>
      <c r="G2391" s="87">
        <v>44.641148671899998</v>
      </c>
      <c r="H2391" s="86">
        <v>313</v>
      </c>
      <c r="I2391" s="86">
        <v>1878</v>
      </c>
      <c r="J2391" s="87"/>
      <c r="K2391" s="87"/>
      <c r="L2391" s="87"/>
      <c r="M2391" s="87"/>
      <c r="N2391" s="87"/>
      <c r="O2391" s="87"/>
      <c r="P2391" s="87"/>
      <c r="Q2391" s="87"/>
      <c r="R2391" s="87"/>
      <c r="S2391" s="87"/>
      <c r="T2391" s="87"/>
      <c r="U2391" s="87"/>
      <c r="V2391" s="87">
        <v>11</v>
      </c>
      <c r="W2391" s="87"/>
      <c r="X2391" s="87">
        <v>302</v>
      </c>
      <c r="Y2391" s="87"/>
      <c r="Z2391" s="87"/>
      <c r="AA2391" s="87"/>
      <c r="AB2391" s="87"/>
      <c r="AC2391" s="87">
        <v>5</v>
      </c>
      <c r="AD2391" s="87"/>
      <c r="AE2391" s="87"/>
      <c r="AF2391" s="87"/>
      <c r="AG2391" s="87"/>
      <c r="AH2391" s="87">
        <v>296</v>
      </c>
      <c r="AI2391" s="87">
        <v>12</v>
      </c>
      <c r="AJ2391" s="87"/>
      <c r="AK2391" s="87"/>
      <c r="AL2391" s="87"/>
      <c r="AM2391" s="87"/>
      <c r="AN2391" s="87"/>
      <c r="AO2391" s="87">
        <v>10</v>
      </c>
      <c r="AP2391" s="87">
        <v>257</v>
      </c>
      <c r="AQ2391" s="87">
        <v>35</v>
      </c>
      <c r="AR2391" s="87"/>
      <c r="AS2391" s="87"/>
      <c r="AT2391" s="87">
        <v>11</v>
      </c>
      <c r="AU2391" s="87"/>
      <c r="AV2391" s="87"/>
      <c r="AW2391" s="88" t="str">
        <f>HYPERLINK("http://www.openstreetmap.org/?mlat=34.8867&amp;mlon=44.6411&amp;zoom=12#map=12/34.8867/44.6411","Maplink1")</f>
        <v>Maplink1</v>
      </c>
      <c r="AX2391" s="88" t="str">
        <f>HYPERLINK("https://www.google.iq/maps/search/+34.8867,44.6411/@34.8867,44.6411,14z?hl=en","Maplink2")</f>
        <v>Maplink2</v>
      </c>
      <c r="AY2391" s="88" t="str">
        <f>HYPERLINK("http://www.bing.com/maps/?lvl=14&amp;sty=h&amp;cp=34.8867~44.6411&amp;sp=point.34.8867_44.6411","Maplink3")</f>
        <v>Maplink3</v>
      </c>
      <c r="AZ2391" s="76"/>
    </row>
    <row r="2392" spans="1:52" x14ac:dyDescent="0.25">
      <c r="A2392" s="86">
        <v>25869</v>
      </c>
      <c r="B2392" s="87" t="s">
        <v>26</v>
      </c>
      <c r="C2392" s="87" t="s">
        <v>4579</v>
      </c>
      <c r="D2392" s="87" t="s">
        <v>4595</v>
      </c>
      <c r="E2392" s="87" t="s">
        <v>4596</v>
      </c>
      <c r="F2392" s="87">
        <v>35.0732398297</v>
      </c>
      <c r="G2392" s="87">
        <v>44.502807377099998</v>
      </c>
      <c r="H2392" s="86">
        <v>32</v>
      </c>
      <c r="I2392" s="86">
        <v>192</v>
      </c>
      <c r="J2392" s="87"/>
      <c r="K2392" s="87"/>
      <c r="L2392" s="87"/>
      <c r="M2392" s="87"/>
      <c r="N2392" s="87"/>
      <c r="O2392" s="87"/>
      <c r="P2392" s="87"/>
      <c r="Q2392" s="87"/>
      <c r="R2392" s="87">
        <v>27</v>
      </c>
      <c r="S2392" s="87"/>
      <c r="T2392" s="87"/>
      <c r="U2392" s="87"/>
      <c r="V2392" s="87"/>
      <c r="W2392" s="87"/>
      <c r="X2392" s="87">
        <v>5</v>
      </c>
      <c r="Y2392" s="87"/>
      <c r="Z2392" s="87"/>
      <c r="AA2392" s="87"/>
      <c r="AB2392" s="87"/>
      <c r="AC2392" s="87">
        <v>22</v>
      </c>
      <c r="AD2392" s="87"/>
      <c r="AE2392" s="87"/>
      <c r="AF2392" s="87"/>
      <c r="AG2392" s="87"/>
      <c r="AH2392" s="87"/>
      <c r="AI2392" s="87"/>
      <c r="AJ2392" s="87"/>
      <c r="AK2392" s="87">
        <v>10</v>
      </c>
      <c r="AL2392" s="87"/>
      <c r="AM2392" s="87"/>
      <c r="AN2392" s="87"/>
      <c r="AO2392" s="87">
        <v>12</v>
      </c>
      <c r="AP2392" s="87">
        <v>20</v>
      </c>
      <c r="AQ2392" s="87"/>
      <c r="AR2392" s="87"/>
      <c r="AS2392" s="87"/>
      <c r="AT2392" s="87"/>
      <c r="AU2392" s="87"/>
      <c r="AV2392" s="87"/>
      <c r="AW2392" s="88" t="str">
        <f>HYPERLINK("http://www.openstreetmap.org/?mlat=35.0732&amp;mlon=44.5028&amp;zoom=12#map=12/35.0732/44.5028","Maplink1")</f>
        <v>Maplink1</v>
      </c>
      <c r="AX2392" s="88" t="str">
        <f>HYPERLINK("https://www.google.iq/maps/search/+35.0732,44.5028/@35.0732,44.5028,14z?hl=en","Maplink2")</f>
        <v>Maplink2</v>
      </c>
      <c r="AY2392" s="88" t="str">
        <f>HYPERLINK("http://www.bing.com/maps/?lvl=14&amp;sty=h&amp;cp=35.0732~44.5028&amp;sp=point.35.0732_44.5028","Maplink3")</f>
        <v>Maplink3</v>
      </c>
      <c r="AZ2392" s="76"/>
    </row>
    <row r="2393" spans="1:52" x14ac:dyDescent="0.25">
      <c r="A2393" s="86">
        <v>20485</v>
      </c>
      <c r="B2393" s="87" t="s">
        <v>26</v>
      </c>
      <c r="C2393" s="87" t="s">
        <v>4579</v>
      </c>
      <c r="D2393" s="87" t="s">
        <v>4597</v>
      </c>
      <c r="E2393" s="87" t="s">
        <v>4598</v>
      </c>
      <c r="F2393" s="87">
        <v>34.894396121600003</v>
      </c>
      <c r="G2393" s="87">
        <v>44.822699269099999</v>
      </c>
      <c r="H2393" s="86">
        <v>18</v>
      </c>
      <c r="I2393" s="86">
        <v>108</v>
      </c>
      <c r="J2393" s="87"/>
      <c r="K2393" s="87"/>
      <c r="L2393" s="87"/>
      <c r="M2393" s="87"/>
      <c r="N2393" s="87"/>
      <c r="O2393" s="87">
        <v>4</v>
      </c>
      <c r="P2393" s="87"/>
      <c r="Q2393" s="87"/>
      <c r="R2393" s="87"/>
      <c r="S2393" s="87"/>
      <c r="T2393" s="87"/>
      <c r="U2393" s="87"/>
      <c r="V2393" s="87"/>
      <c r="W2393" s="87"/>
      <c r="X2393" s="87">
        <v>14</v>
      </c>
      <c r="Y2393" s="87"/>
      <c r="Z2393" s="87"/>
      <c r="AA2393" s="87"/>
      <c r="AB2393" s="87"/>
      <c r="AC2393" s="87">
        <v>18</v>
      </c>
      <c r="AD2393" s="87"/>
      <c r="AE2393" s="87"/>
      <c r="AF2393" s="87"/>
      <c r="AG2393" s="87"/>
      <c r="AH2393" s="87"/>
      <c r="AI2393" s="87"/>
      <c r="AJ2393" s="87"/>
      <c r="AK2393" s="87"/>
      <c r="AL2393" s="87"/>
      <c r="AM2393" s="87"/>
      <c r="AN2393" s="87"/>
      <c r="AO2393" s="87"/>
      <c r="AP2393" s="87">
        <v>10</v>
      </c>
      <c r="AQ2393" s="87"/>
      <c r="AR2393" s="87"/>
      <c r="AS2393" s="87"/>
      <c r="AT2393" s="87"/>
      <c r="AU2393" s="87">
        <v>8</v>
      </c>
      <c r="AV2393" s="87"/>
      <c r="AW2393" s="88" t="str">
        <f>HYPERLINK("http://www.openstreetmap.org/?mlat=34.8944&amp;mlon=44.8227&amp;zoom=12#map=12/34.8944/44.8227","Maplink1")</f>
        <v>Maplink1</v>
      </c>
      <c r="AX2393" s="88" t="str">
        <f>HYPERLINK("https://www.google.iq/maps/search/+34.8944,44.8227/@34.8944,44.8227,14z?hl=en","Maplink2")</f>
        <v>Maplink2</v>
      </c>
      <c r="AY2393" s="88" t="str">
        <f>HYPERLINK("http://www.bing.com/maps/?lvl=14&amp;sty=h&amp;cp=34.8944~44.8227&amp;sp=point.34.8944_44.8227","Maplink3")</f>
        <v>Maplink3</v>
      </c>
      <c r="AZ2393" s="76"/>
    </row>
    <row r="2394" spans="1:52" x14ac:dyDescent="0.25">
      <c r="A2394" s="86">
        <v>20554</v>
      </c>
      <c r="B2394" s="87" t="s">
        <v>26</v>
      </c>
      <c r="C2394" s="87" t="s">
        <v>4579</v>
      </c>
      <c r="D2394" s="87" t="s">
        <v>4599</v>
      </c>
      <c r="E2394" s="87" t="s">
        <v>4600</v>
      </c>
      <c r="F2394" s="87">
        <v>35.001073944399998</v>
      </c>
      <c r="G2394" s="87">
        <v>44.676966806999999</v>
      </c>
      <c r="H2394" s="86">
        <v>6</v>
      </c>
      <c r="I2394" s="86">
        <v>36</v>
      </c>
      <c r="J2394" s="87"/>
      <c r="K2394" s="87"/>
      <c r="L2394" s="87"/>
      <c r="M2394" s="87"/>
      <c r="N2394" s="87"/>
      <c r="O2394" s="87"/>
      <c r="P2394" s="87"/>
      <c r="Q2394" s="87"/>
      <c r="R2394" s="87"/>
      <c r="S2394" s="87"/>
      <c r="T2394" s="87"/>
      <c r="U2394" s="87"/>
      <c r="V2394" s="87"/>
      <c r="W2394" s="87"/>
      <c r="X2394" s="87">
        <v>6</v>
      </c>
      <c r="Y2394" s="87"/>
      <c r="Z2394" s="87"/>
      <c r="AA2394" s="87"/>
      <c r="AB2394" s="87"/>
      <c r="AC2394" s="87">
        <v>6</v>
      </c>
      <c r="AD2394" s="87"/>
      <c r="AE2394" s="87"/>
      <c r="AF2394" s="87"/>
      <c r="AG2394" s="87"/>
      <c r="AH2394" s="87"/>
      <c r="AI2394" s="87"/>
      <c r="AJ2394" s="87"/>
      <c r="AK2394" s="87"/>
      <c r="AL2394" s="87"/>
      <c r="AM2394" s="87"/>
      <c r="AN2394" s="87"/>
      <c r="AO2394" s="87"/>
      <c r="AP2394" s="87">
        <v>1</v>
      </c>
      <c r="AQ2394" s="87"/>
      <c r="AR2394" s="87"/>
      <c r="AS2394" s="87"/>
      <c r="AT2394" s="87"/>
      <c r="AU2394" s="87">
        <v>5</v>
      </c>
      <c r="AV2394" s="87"/>
      <c r="AW2394" s="88" t="str">
        <f>HYPERLINK("http://www.openstreetmap.org/?mlat=35.0011&amp;mlon=44.677&amp;zoom=12#map=12/35.0011/44.677","Maplink1")</f>
        <v>Maplink1</v>
      </c>
      <c r="AX2394" s="88" t="str">
        <f>HYPERLINK("https://www.google.iq/maps/search/+35.0011,44.677/@35.0011,44.677,14z?hl=en","Maplink2")</f>
        <v>Maplink2</v>
      </c>
      <c r="AY2394" s="88" t="str">
        <f>HYPERLINK("http://www.bing.com/maps/?lvl=14&amp;sty=h&amp;cp=35.0011~44.677&amp;sp=point.35.0011_44.677","Maplink3")</f>
        <v>Maplink3</v>
      </c>
      <c r="AZ2394" s="76"/>
    </row>
    <row r="2395" spans="1:52" x14ac:dyDescent="0.25">
      <c r="A2395" s="86">
        <v>20555</v>
      </c>
      <c r="B2395" s="87" t="s">
        <v>26</v>
      </c>
      <c r="C2395" s="87" t="s">
        <v>4579</v>
      </c>
      <c r="D2395" s="87" t="s">
        <v>4601</v>
      </c>
      <c r="E2395" s="87" t="s">
        <v>4602</v>
      </c>
      <c r="F2395" s="87">
        <v>34.911177399499998</v>
      </c>
      <c r="G2395" s="87">
        <v>44.826129843799997</v>
      </c>
      <c r="H2395" s="86">
        <v>6</v>
      </c>
      <c r="I2395" s="86">
        <v>36</v>
      </c>
      <c r="J2395" s="87"/>
      <c r="K2395" s="87"/>
      <c r="L2395" s="87"/>
      <c r="M2395" s="87"/>
      <c r="N2395" s="87"/>
      <c r="O2395" s="87"/>
      <c r="P2395" s="87"/>
      <c r="Q2395" s="87"/>
      <c r="R2395" s="87"/>
      <c r="S2395" s="87"/>
      <c r="T2395" s="87"/>
      <c r="U2395" s="87"/>
      <c r="V2395" s="87"/>
      <c r="W2395" s="87"/>
      <c r="X2395" s="87">
        <v>6</v>
      </c>
      <c r="Y2395" s="87"/>
      <c r="Z2395" s="87"/>
      <c r="AA2395" s="87"/>
      <c r="AB2395" s="87"/>
      <c r="AC2395" s="87">
        <v>6</v>
      </c>
      <c r="AD2395" s="87"/>
      <c r="AE2395" s="87"/>
      <c r="AF2395" s="87"/>
      <c r="AG2395" s="87"/>
      <c r="AH2395" s="87"/>
      <c r="AI2395" s="87"/>
      <c r="AJ2395" s="87"/>
      <c r="AK2395" s="87"/>
      <c r="AL2395" s="87"/>
      <c r="AM2395" s="87"/>
      <c r="AN2395" s="87"/>
      <c r="AO2395" s="87">
        <v>2</v>
      </c>
      <c r="AP2395" s="87"/>
      <c r="AQ2395" s="87"/>
      <c r="AR2395" s="87"/>
      <c r="AS2395" s="87"/>
      <c r="AT2395" s="87"/>
      <c r="AU2395" s="87">
        <v>4</v>
      </c>
      <c r="AV2395" s="87"/>
      <c r="AW2395" s="88" t="str">
        <f>HYPERLINK("http://www.openstreetmap.org/?mlat=34.9112&amp;mlon=44.8261&amp;zoom=12#map=12/34.9112/44.8261","Maplink1")</f>
        <v>Maplink1</v>
      </c>
      <c r="AX2395" s="88" t="str">
        <f>HYPERLINK("https://www.google.iq/maps/search/+34.9112,44.8261/@34.9112,44.8261,14z?hl=en","Maplink2")</f>
        <v>Maplink2</v>
      </c>
      <c r="AY2395" s="88" t="str">
        <f>HYPERLINK("http://www.bing.com/maps/?lvl=14&amp;sty=h&amp;cp=34.9112~44.8261&amp;sp=point.34.9112_44.8261","Maplink3")</f>
        <v>Maplink3</v>
      </c>
      <c r="AZ2395" s="76"/>
    </row>
    <row r="2396" spans="1:52" x14ac:dyDescent="0.25">
      <c r="A2396" s="86">
        <v>25754</v>
      </c>
      <c r="B2396" s="87" t="s">
        <v>26</v>
      </c>
      <c r="C2396" s="87" t="s">
        <v>4579</v>
      </c>
      <c r="D2396" s="87" t="s">
        <v>4603</v>
      </c>
      <c r="E2396" s="87" t="s">
        <v>55</v>
      </c>
      <c r="F2396" s="87">
        <v>34.878933833300003</v>
      </c>
      <c r="G2396" s="87">
        <v>44.615644740299999</v>
      </c>
      <c r="H2396" s="86">
        <v>567</v>
      </c>
      <c r="I2396" s="86">
        <v>3402</v>
      </c>
      <c r="J2396" s="87">
        <v>3</v>
      </c>
      <c r="K2396" s="87"/>
      <c r="L2396" s="87"/>
      <c r="M2396" s="87"/>
      <c r="N2396" s="87"/>
      <c r="O2396" s="87"/>
      <c r="P2396" s="87"/>
      <c r="Q2396" s="87"/>
      <c r="R2396" s="87"/>
      <c r="S2396" s="87"/>
      <c r="T2396" s="87"/>
      <c r="U2396" s="87"/>
      <c r="V2396" s="87"/>
      <c r="W2396" s="87"/>
      <c r="X2396" s="87">
        <v>564</v>
      </c>
      <c r="Y2396" s="87"/>
      <c r="Z2396" s="87"/>
      <c r="AA2396" s="87"/>
      <c r="AB2396" s="87"/>
      <c r="AC2396" s="87">
        <v>87</v>
      </c>
      <c r="AD2396" s="87"/>
      <c r="AE2396" s="87"/>
      <c r="AF2396" s="87"/>
      <c r="AG2396" s="87"/>
      <c r="AH2396" s="87">
        <v>480</v>
      </c>
      <c r="AI2396" s="87"/>
      <c r="AJ2396" s="87"/>
      <c r="AK2396" s="87"/>
      <c r="AL2396" s="87"/>
      <c r="AM2396" s="87"/>
      <c r="AN2396" s="87"/>
      <c r="AO2396" s="87">
        <v>117</v>
      </c>
      <c r="AP2396" s="87">
        <v>450</v>
      </c>
      <c r="AQ2396" s="87"/>
      <c r="AR2396" s="87"/>
      <c r="AS2396" s="87"/>
      <c r="AT2396" s="87"/>
      <c r="AU2396" s="87"/>
      <c r="AV2396" s="87"/>
      <c r="AW2396" s="88" t="str">
        <f>HYPERLINK("http://www.openstreetmap.org/?mlat=34.8789&amp;mlon=44.6156&amp;zoom=12#map=12/34.8789/44.6156","Maplink1")</f>
        <v>Maplink1</v>
      </c>
      <c r="AX2396" s="88" t="str">
        <f>HYPERLINK("https://www.google.iq/maps/search/+34.8789,44.6156/@34.8789,44.6156,14z?hl=en","Maplink2")</f>
        <v>Maplink2</v>
      </c>
      <c r="AY2396" s="88" t="str">
        <f>HYPERLINK("http://www.bing.com/maps/?lvl=14&amp;sty=h&amp;cp=34.8789~44.6156&amp;sp=point.34.8789_44.6156","Maplink3")</f>
        <v>Maplink3</v>
      </c>
      <c r="AZ2396" s="76"/>
    </row>
    <row r="2397" spans="1:52" x14ac:dyDescent="0.25">
      <c r="A2397" s="86">
        <v>25752</v>
      </c>
      <c r="B2397" s="87" t="s">
        <v>26</v>
      </c>
      <c r="C2397" s="87" t="s">
        <v>4579</v>
      </c>
      <c r="D2397" s="87" t="s">
        <v>4604</v>
      </c>
      <c r="E2397" s="87" t="s">
        <v>4605</v>
      </c>
      <c r="F2397" s="87">
        <v>34.902158120199999</v>
      </c>
      <c r="G2397" s="87">
        <v>44.620488321400003</v>
      </c>
      <c r="H2397" s="86">
        <v>735</v>
      </c>
      <c r="I2397" s="86">
        <v>4410</v>
      </c>
      <c r="J2397" s="87"/>
      <c r="K2397" s="87"/>
      <c r="L2397" s="87"/>
      <c r="M2397" s="87"/>
      <c r="N2397" s="87"/>
      <c r="O2397" s="87">
        <v>22</v>
      </c>
      <c r="P2397" s="87"/>
      <c r="Q2397" s="87"/>
      <c r="R2397" s="87"/>
      <c r="S2397" s="87"/>
      <c r="T2397" s="87"/>
      <c r="U2397" s="87"/>
      <c r="V2397" s="87"/>
      <c r="W2397" s="87"/>
      <c r="X2397" s="87">
        <v>713</v>
      </c>
      <c r="Y2397" s="87"/>
      <c r="Z2397" s="87"/>
      <c r="AA2397" s="87"/>
      <c r="AB2397" s="87"/>
      <c r="AC2397" s="87">
        <v>198</v>
      </c>
      <c r="AD2397" s="87"/>
      <c r="AE2397" s="87"/>
      <c r="AF2397" s="87"/>
      <c r="AG2397" s="87"/>
      <c r="AH2397" s="87">
        <v>512</v>
      </c>
      <c r="AI2397" s="87">
        <v>25</v>
      </c>
      <c r="AJ2397" s="87"/>
      <c r="AK2397" s="87"/>
      <c r="AL2397" s="87"/>
      <c r="AM2397" s="87"/>
      <c r="AN2397" s="87"/>
      <c r="AO2397" s="87">
        <v>110</v>
      </c>
      <c r="AP2397" s="87">
        <v>625</v>
      </c>
      <c r="AQ2397" s="87"/>
      <c r="AR2397" s="87"/>
      <c r="AS2397" s="87"/>
      <c r="AT2397" s="87"/>
      <c r="AU2397" s="87"/>
      <c r="AV2397" s="87"/>
      <c r="AW2397" s="88" t="str">
        <f>HYPERLINK("http://www.openstreetmap.org/?mlat=34.9022&amp;mlon=44.6205&amp;zoom=12#map=12/34.9022/44.6205","Maplink1")</f>
        <v>Maplink1</v>
      </c>
      <c r="AX2397" s="88" t="str">
        <f>HYPERLINK("https://www.google.iq/maps/search/+34.9022,44.6205/@34.9022,44.6205,14z?hl=en","Maplink2")</f>
        <v>Maplink2</v>
      </c>
      <c r="AY2397" s="88" t="str">
        <f>HYPERLINK("http://www.bing.com/maps/?lvl=14&amp;sty=h&amp;cp=34.9022~44.6205&amp;sp=point.34.9022_44.6205","Maplink3")</f>
        <v>Maplink3</v>
      </c>
      <c r="AZ2397" s="76"/>
    </row>
    <row r="2398" spans="1:52" x14ac:dyDescent="0.25">
      <c r="A2398" s="86">
        <v>25750</v>
      </c>
      <c r="B2398" s="87" t="s">
        <v>26</v>
      </c>
      <c r="C2398" s="87" t="s">
        <v>4579</v>
      </c>
      <c r="D2398" s="87" t="s">
        <v>4606</v>
      </c>
      <c r="E2398" s="87" t="s">
        <v>4607</v>
      </c>
      <c r="F2398" s="87">
        <v>34.905082507899998</v>
      </c>
      <c r="G2398" s="87">
        <v>44.6092061477</v>
      </c>
      <c r="H2398" s="86">
        <v>371</v>
      </c>
      <c r="I2398" s="86">
        <v>2226</v>
      </c>
      <c r="J2398" s="87"/>
      <c r="K2398" s="87"/>
      <c r="L2398" s="87"/>
      <c r="M2398" s="87"/>
      <c r="N2398" s="87"/>
      <c r="O2398" s="87">
        <v>14</v>
      </c>
      <c r="P2398" s="87"/>
      <c r="Q2398" s="87"/>
      <c r="R2398" s="87">
        <v>32</v>
      </c>
      <c r="S2398" s="87"/>
      <c r="T2398" s="87"/>
      <c r="U2398" s="87"/>
      <c r="V2398" s="87">
        <v>22</v>
      </c>
      <c r="W2398" s="87"/>
      <c r="X2398" s="87">
        <v>303</v>
      </c>
      <c r="Y2398" s="87"/>
      <c r="Z2398" s="87"/>
      <c r="AA2398" s="87"/>
      <c r="AB2398" s="87"/>
      <c r="AC2398" s="87">
        <v>55</v>
      </c>
      <c r="AD2398" s="87"/>
      <c r="AE2398" s="87"/>
      <c r="AF2398" s="87"/>
      <c r="AG2398" s="87"/>
      <c r="AH2398" s="87">
        <v>305</v>
      </c>
      <c r="AI2398" s="87">
        <v>11</v>
      </c>
      <c r="AJ2398" s="87"/>
      <c r="AK2398" s="87"/>
      <c r="AL2398" s="87"/>
      <c r="AM2398" s="87"/>
      <c r="AN2398" s="87">
        <v>5</v>
      </c>
      <c r="AO2398" s="87">
        <v>21</v>
      </c>
      <c r="AP2398" s="87">
        <v>235</v>
      </c>
      <c r="AQ2398" s="87"/>
      <c r="AR2398" s="87">
        <v>87</v>
      </c>
      <c r="AS2398" s="87"/>
      <c r="AT2398" s="87">
        <v>23</v>
      </c>
      <c r="AU2398" s="87"/>
      <c r="AV2398" s="87"/>
      <c r="AW2398" s="88" t="str">
        <f>HYPERLINK("http://www.openstreetmap.org/?mlat=34.9051&amp;mlon=44.6092&amp;zoom=12#map=12/34.9051/44.6092","Maplink1")</f>
        <v>Maplink1</v>
      </c>
      <c r="AX2398" s="88" t="str">
        <f>HYPERLINK("https://www.google.iq/maps/search/+34.9051,44.6092/@34.9051,44.6092,14z?hl=en","Maplink2")</f>
        <v>Maplink2</v>
      </c>
      <c r="AY2398" s="88" t="str">
        <f>HYPERLINK("http://www.bing.com/maps/?lvl=14&amp;sty=h&amp;cp=34.9051~44.6092&amp;sp=point.34.9051_44.6092","Maplink3")</f>
        <v>Maplink3</v>
      </c>
      <c r="AZ2398" s="76"/>
    </row>
    <row r="2399" spans="1:52" x14ac:dyDescent="0.25">
      <c r="A2399" s="86">
        <v>25748</v>
      </c>
      <c r="B2399" s="87" t="s">
        <v>26</v>
      </c>
      <c r="C2399" s="87" t="s">
        <v>4579</v>
      </c>
      <c r="D2399" s="87" t="s">
        <v>4608</v>
      </c>
      <c r="E2399" s="87" t="s">
        <v>4609</v>
      </c>
      <c r="F2399" s="87">
        <v>34.951071212700001</v>
      </c>
      <c r="G2399" s="87">
        <v>44.594551729499997</v>
      </c>
      <c r="H2399" s="86">
        <v>60</v>
      </c>
      <c r="I2399" s="86">
        <v>360</v>
      </c>
      <c r="J2399" s="87"/>
      <c r="K2399" s="87"/>
      <c r="L2399" s="87"/>
      <c r="M2399" s="87"/>
      <c r="N2399" s="87"/>
      <c r="O2399" s="87"/>
      <c r="P2399" s="87"/>
      <c r="Q2399" s="87"/>
      <c r="R2399" s="87"/>
      <c r="S2399" s="87"/>
      <c r="T2399" s="87"/>
      <c r="U2399" s="87"/>
      <c r="V2399" s="87"/>
      <c r="W2399" s="87"/>
      <c r="X2399" s="87">
        <v>60</v>
      </c>
      <c r="Y2399" s="87"/>
      <c r="Z2399" s="87"/>
      <c r="AA2399" s="87"/>
      <c r="AB2399" s="87"/>
      <c r="AC2399" s="87">
        <v>20</v>
      </c>
      <c r="AD2399" s="87"/>
      <c r="AE2399" s="87">
        <v>10</v>
      </c>
      <c r="AF2399" s="87"/>
      <c r="AG2399" s="87"/>
      <c r="AH2399" s="87">
        <v>30</v>
      </c>
      <c r="AI2399" s="87"/>
      <c r="AJ2399" s="87"/>
      <c r="AK2399" s="87"/>
      <c r="AL2399" s="87"/>
      <c r="AM2399" s="87"/>
      <c r="AN2399" s="87"/>
      <c r="AO2399" s="87">
        <v>8</v>
      </c>
      <c r="AP2399" s="87">
        <v>12</v>
      </c>
      <c r="AQ2399" s="87">
        <v>30</v>
      </c>
      <c r="AR2399" s="87"/>
      <c r="AS2399" s="87"/>
      <c r="AT2399" s="87"/>
      <c r="AU2399" s="87">
        <v>10</v>
      </c>
      <c r="AV2399" s="87"/>
      <c r="AW2399" s="88" t="str">
        <f>HYPERLINK("http://www.openstreetmap.org/?mlat=34.9511&amp;mlon=44.5946&amp;zoom=12#map=12/34.9511/44.5946","Maplink1")</f>
        <v>Maplink1</v>
      </c>
      <c r="AX2399" s="88" t="str">
        <f>HYPERLINK("https://www.google.iq/maps/search/+34.9511,44.5946/@34.9511,44.5946,14z?hl=en","Maplink2")</f>
        <v>Maplink2</v>
      </c>
      <c r="AY2399" s="88" t="str">
        <f>HYPERLINK("http://www.bing.com/maps/?lvl=14&amp;sty=h&amp;cp=34.9511~44.5946&amp;sp=point.34.9511_44.5946","Maplink3")</f>
        <v>Maplink3</v>
      </c>
      <c r="AZ2399" s="76"/>
    </row>
    <row r="2400" spans="1:52" x14ac:dyDescent="0.25">
      <c r="A2400" s="86">
        <v>20358</v>
      </c>
      <c r="B2400" s="87" t="s">
        <v>26</v>
      </c>
      <c r="C2400" s="87" t="s">
        <v>4579</v>
      </c>
      <c r="D2400" s="87" t="s">
        <v>4610</v>
      </c>
      <c r="E2400" s="87" t="s">
        <v>4611</v>
      </c>
      <c r="F2400" s="87">
        <v>35.068003996599998</v>
      </c>
      <c r="G2400" s="87">
        <v>44.716763056799998</v>
      </c>
      <c r="H2400" s="86">
        <v>6</v>
      </c>
      <c r="I2400" s="86">
        <v>36</v>
      </c>
      <c r="J2400" s="87"/>
      <c r="K2400" s="87"/>
      <c r="L2400" s="87"/>
      <c r="M2400" s="87"/>
      <c r="N2400" s="87"/>
      <c r="O2400" s="87"/>
      <c r="P2400" s="87"/>
      <c r="Q2400" s="87"/>
      <c r="R2400" s="87"/>
      <c r="S2400" s="87"/>
      <c r="T2400" s="87"/>
      <c r="U2400" s="87"/>
      <c r="V2400" s="87"/>
      <c r="W2400" s="87"/>
      <c r="X2400" s="87">
        <v>6</v>
      </c>
      <c r="Y2400" s="87"/>
      <c r="Z2400" s="87"/>
      <c r="AA2400" s="87"/>
      <c r="AB2400" s="87"/>
      <c r="AC2400" s="87">
        <v>6</v>
      </c>
      <c r="AD2400" s="87"/>
      <c r="AE2400" s="87"/>
      <c r="AF2400" s="87"/>
      <c r="AG2400" s="87"/>
      <c r="AH2400" s="87"/>
      <c r="AI2400" s="87"/>
      <c r="AJ2400" s="87"/>
      <c r="AK2400" s="87"/>
      <c r="AL2400" s="87"/>
      <c r="AM2400" s="87"/>
      <c r="AN2400" s="87"/>
      <c r="AO2400" s="87"/>
      <c r="AP2400" s="87"/>
      <c r="AQ2400" s="87"/>
      <c r="AR2400" s="87"/>
      <c r="AS2400" s="87"/>
      <c r="AT2400" s="87"/>
      <c r="AU2400" s="87">
        <v>6</v>
      </c>
      <c r="AV2400" s="87"/>
      <c r="AW2400" s="88" t="str">
        <f>HYPERLINK("http://www.openstreetmap.org/?mlat=35.068&amp;mlon=44.7168&amp;zoom=12#map=12/35.068/44.7168","Maplink1")</f>
        <v>Maplink1</v>
      </c>
      <c r="AX2400" s="88" t="str">
        <f>HYPERLINK("https://www.google.iq/maps/search/+35.068,44.7168/@35.068,44.7168,14z?hl=en","Maplink2")</f>
        <v>Maplink2</v>
      </c>
      <c r="AY2400" s="88" t="str">
        <f>HYPERLINK("http://www.bing.com/maps/?lvl=14&amp;sty=h&amp;cp=35.068~44.7168&amp;sp=point.35.068_44.7168","Maplink3")</f>
        <v>Maplink3</v>
      </c>
      <c r="AZ2400" s="76"/>
    </row>
    <row r="2401" spans="1:52" x14ac:dyDescent="0.25">
      <c r="A2401" s="86">
        <v>20561</v>
      </c>
      <c r="B2401" s="87" t="s">
        <v>26</v>
      </c>
      <c r="C2401" s="87" t="s">
        <v>4579</v>
      </c>
      <c r="D2401" s="87" t="s">
        <v>4612</v>
      </c>
      <c r="E2401" s="87" t="s">
        <v>4613</v>
      </c>
      <c r="F2401" s="87">
        <v>34.922445774899998</v>
      </c>
      <c r="G2401" s="87">
        <v>44.758220196099998</v>
      </c>
      <c r="H2401" s="86">
        <v>3</v>
      </c>
      <c r="I2401" s="86">
        <v>18</v>
      </c>
      <c r="J2401" s="87"/>
      <c r="K2401" s="87"/>
      <c r="L2401" s="87"/>
      <c r="M2401" s="87"/>
      <c r="N2401" s="87"/>
      <c r="O2401" s="87"/>
      <c r="P2401" s="87"/>
      <c r="Q2401" s="87"/>
      <c r="R2401" s="87"/>
      <c r="S2401" s="87"/>
      <c r="T2401" s="87"/>
      <c r="U2401" s="87"/>
      <c r="V2401" s="87"/>
      <c r="W2401" s="87"/>
      <c r="X2401" s="87">
        <v>3</v>
      </c>
      <c r="Y2401" s="87"/>
      <c r="Z2401" s="87"/>
      <c r="AA2401" s="87"/>
      <c r="AB2401" s="87"/>
      <c r="AC2401" s="87">
        <v>3</v>
      </c>
      <c r="AD2401" s="87"/>
      <c r="AE2401" s="87"/>
      <c r="AF2401" s="87"/>
      <c r="AG2401" s="87"/>
      <c r="AH2401" s="87"/>
      <c r="AI2401" s="87"/>
      <c r="AJ2401" s="87"/>
      <c r="AK2401" s="87"/>
      <c r="AL2401" s="87"/>
      <c r="AM2401" s="87"/>
      <c r="AN2401" s="87"/>
      <c r="AO2401" s="87"/>
      <c r="AP2401" s="87"/>
      <c r="AQ2401" s="87"/>
      <c r="AR2401" s="87"/>
      <c r="AS2401" s="87"/>
      <c r="AT2401" s="87"/>
      <c r="AU2401" s="87">
        <v>3</v>
      </c>
      <c r="AV2401" s="87"/>
      <c r="AW2401" s="88" t="str">
        <f>HYPERLINK("http://www.openstreetmap.org/?mlat=34.9224&amp;mlon=44.7582&amp;zoom=12#map=12/34.9224/44.7582","Maplink1")</f>
        <v>Maplink1</v>
      </c>
      <c r="AX2401" s="88" t="str">
        <f>HYPERLINK("https://www.google.iq/maps/search/+34.9224,44.7582/@34.9224,44.7582,14z?hl=en","Maplink2")</f>
        <v>Maplink2</v>
      </c>
      <c r="AY2401" s="88" t="str">
        <f>HYPERLINK("http://www.bing.com/maps/?lvl=14&amp;sty=h&amp;cp=34.9224~44.7582&amp;sp=point.34.9224_44.7582","Maplink3")</f>
        <v>Maplink3</v>
      </c>
      <c r="AZ2401" s="76"/>
    </row>
    <row r="2402" spans="1:52" x14ac:dyDescent="0.25">
      <c r="A2402" s="86">
        <v>20430</v>
      </c>
      <c r="B2402" s="87" t="s">
        <v>26</v>
      </c>
      <c r="C2402" s="87" t="s">
        <v>4579</v>
      </c>
      <c r="D2402" s="87" t="s">
        <v>4614</v>
      </c>
      <c r="E2402" s="87" t="s">
        <v>4615</v>
      </c>
      <c r="F2402" s="87">
        <v>34.975858202799998</v>
      </c>
      <c r="G2402" s="87">
        <v>44.762414575199998</v>
      </c>
      <c r="H2402" s="86">
        <v>36</v>
      </c>
      <c r="I2402" s="86">
        <v>216</v>
      </c>
      <c r="J2402" s="87"/>
      <c r="K2402" s="87"/>
      <c r="L2402" s="87"/>
      <c r="M2402" s="87"/>
      <c r="N2402" s="87"/>
      <c r="O2402" s="87">
        <v>17</v>
      </c>
      <c r="P2402" s="87"/>
      <c r="Q2402" s="87"/>
      <c r="R2402" s="87"/>
      <c r="S2402" s="87"/>
      <c r="T2402" s="87"/>
      <c r="U2402" s="87"/>
      <c r="V2402" s="87"/>
      <c r="W2402" s="87"/>
      <c r="X2402" s="87">
        <v>19</v>
      </c>
      <c r="Y2402" s="87"/>
      <c r="Z2402" s="87"/>
      <c r="AA2402" s="87"/>
      <c r="AB2402" s="87"/>
      <c r="AC2402" s="87">
        <v>36</v>
      </c>
      <c r="AD2402" s="87"/>
      <c r="AE2402" s="87"/>
      <c r="AF2402" s="87"/>
      <c r="AG2402" s="87"/>
      <c r="AH2402" s="87"/>
      <c r="AI2402" s="87"/>
      <c r="AJ2402" s="87"/>
      <c r="AK2402" s="87"/>
      <c r="AL2402" s="87"/>
      <c r="AM2402" s="87"/>
      <c r="AN2402" s="87"/>
      <c r="AO2402" s="87">
        <v>15</v>
      </c>
      <c r="AP2402" s="87">
        <v>10</v>
      </c>
      <c r="AQ2402" s="87"/>
      <c r="AR2402" s="87"/>
      <c r="AS2402" s="87"/>
      <c r="AT2402" s="87">
        <v>11</v>
      </c>
      <c r="AU2402" s="87"/>
      <c r="AV2402" s="87"/>
      <c r="AW2402" s="88" t="str">
        <f>HYPERLINK("http://www.openstreetmap.org/?mlat=34.9759&amp;mlon=44.7624&amp;zoom=12#map=12/34.9759/44.7624","Maplink1")</f>
        <v>Maplink1</v>
      </c>
      <c r="AX2402" s="88" t="str">
        <f>HYPERLINK("https://www.google.iq/maps/search/+34.9759,44.7624/@34.9759,44.7624,14z?hl=en","Maplink2")</f>
        <v>Maplink2</v>
      </c>
      <c r="AY2402" s="88" t="str">
        <f>HYPERLINK("http://www.bing.com/maps/?lvl=14&amp;sty=h&amp;cp=34.9759~44.7624&amp;sp=point.34.9759_44.7624","Maplink3")</f>
        <v>Maplink3</v>
      </c>
      <c r="AZ2402" s="76"/>
    </row>
    <row r="2403" spans="1:52" x14ac:dyDescent="0.25">
      <c r="A2403" s="86">
        <v>33144</v>
      </c>
      <c r="B2403" s="87" t="s">
        <v>26</v>
      </c>
      <c r="C2403" s="87" t="s">
        <v>4579</v>
      </c>
      <c r="D2403" s="87" t="s">
        <v>4616</v>
      </c>
      <c r="E2403" s="87" t="s">
        <v>4617</v>
      </c>
      <c r="F2403" s="87">
        <v>34.980112960200003</v>
      </c>
      <c r="G2403" s="87">
        <v>44.767158918500002</v>
      </c>
      <c r="H2403" s="86">
        <v>3</v>
      </c>
      <c r="I2403" s="86">
        <v>18</v>
      </c>
      <c r="J2403" s="87"/>
      <c r="K2403" s="87"/>
      <c r="L2403" s="87"/>
      <c r="M2403" s="87"/>
      <c r="N2403" s="87"/>
      <c r="O2403" s="87"/>
      <c r="P2403" s="87"/>
      <c r="Q2403" s="87"/>
      <c r="R2403" s="87"/>
      <c r="S2403" s="87"/>
      <c r="T2403" s="87"/>
      <c r="U2403" s="87"/>
      <c r="V2403" s="87"/>
      <c r="W2403" s="87"/>
      <c r="X2403" s="87">
        <v>3</v>
      </c>
      <c r="Y2403" s="87"/>
      <c r="Z2403" s="87"/>
      <c r="AA2403" s="87"/>
      <c r="AB2403" s="87"/>
      <c r="AC2403" s="87">
        <v>3</v>
      </c>
      <c r="AD2403" s="87"/>
      <c r="AE2403" s="87"/>
      <c r="AF2403" s="87"/>
      <c r="AG2403" s="87"/>
      <c r="AH2403" s="87"/>
      <c r="AI2403" s="87"/>
      <c r="AJ2403" s="87"/>
      <c r="AK2403" s="87"/>
      <c r="AL2403" s="87"/>
      <c r="AM2403" s="87"/>
      <c r="AN2403" s="87"/>
      <c r="AO2403" s="87"/>
      <c r="AP2403" s="87"/>
      <c r="AQ2403" s="87"/>
      <c r="AR2403" s="87"/>
      <c r="AS2403" s="87"/>
      <c r="AT2403" s="87"/>
      <c r="AU2403" s="87">
        <v>3</v>
      </c>
      <c r="AV2403" s="87"/>
      <c r="AW2403" s="88" t="str">
        <f>HYPERLINK("http://www.openstreetmap.org/?mlat=34.9801&amp;mlon=44.7672&amp;zoom=12#map=12/34.9801/44.7672","Maplink1")</f>
        <v>Maplink1</v>
      </c>
      <c r="AX2403" s="88" t="str">
        <f>HYPERLINK("https://www.google.iq/maps/search/+34.9801,44.7672/@34.9801,44.7672,14z?hl=en","Maplink2")</f>
        <v>Maplink2</v>
      </c>
      <c r="AY2403" s="88" t="str">
        <f>HYPERLINK("http://www.bing.com/maps/?lvl=14&amp;sty=h&amp;cp=34.9801~44.7672&amp;sp=point.34.9801_44.7672","Maplink3")</f>
        <v>Maplink3</v>
      </c>
      <c r="AZ2403" s="76"/>
    </row>
    <row r="2404" spans="1:52" x14ac:dyDescent="0.25">
      <c r="A2404" s="86">
        <v>20535</v>
      </c>
      <c r="B2404" s="87" t="s">
        <v>26</v>
      </c>
      <c r="C2404" s="87" t="s">
        <v>4579</v>
      </c>
      <c r="D2404" s="87" t="s">
        <v>4618</v>
      </c>
      <c r="E2404" s="87" t="s">
        <v>4619</v>
      </c>
      <c r="F2404" s="87">
        <v>34.9699006823</v>
      </c>
      <c r="G2404" s="87">
        <v>44.825182966500002</v>
      </c>
      <c r="H2404" s="86">
        <v>10</v>
      </c>
      <c r="I2404" s="86">
        <v>60</v>
      </c>
      <c r="J2404" s="87"/>
      <c r="K2404" s="87"/>
      <c r="L2404" s="87"/>
      <c r="M2404" s="87"/>
      <c r="N2404" s="87"/>
      <c r="O2404" s="87"/>
      <c r="P2404" s="87"/>
      <c r="Q2404" s="87"/>
      <c r="R2404" s="87"/>
      <c r="S2404" s="87"/>
      <c r="T2404" s="87"/>
      <c r="U2404" s="87"/>
      <c r="V2404" s="87"/>
      <c r="W2404" s="87"/>
      <c r="X2404" s="87">
        <v>10</v>
      </c>
      <c r="Y2404" s="87"/>
      <c r="Z2404" s="87"/>
      <c r="AA2404" s="87"/>
      <c r="AB2404" s="87"/>
      <c r="AC2404" s="87">
        <v>10</v>
      </c>
      <c r="AD2404" s="87"/>
      <c r="AE2404" s="87"/>
      <c r="AF2404" s="87"/>
      <c r="AG2404" s="87"/>
      <c r="AH2404" s="87"/>
      <c r="AI2404" s="87"/>
      <c r="AJ2404" s="87"/>
      <c r="AK2404" s="87"/>
      <c r="AL2404" s="87"/>
      <c r="AM2404" s="87"/>
      <c r="AN2404" s="87"/>
      <c r="AO2404" s="87"/>
      <c r="AP2404" s="87">
        <v>4</v>
      </c>
      <c r="AQ2404" s="87"/>
      <c r="AR2404" s="87"/>
      <c r="AS2404" s="87"/>
      <c r="AT2404" s="87"/>
      <c r="AU2404" s="87">
        <v>6</v>
      </c>
      <c r="AV2404" s="87"/>
      <c r="AW2404" s="88" t="str">
        <f>HYPERLINK("http://www.openstreetmap.org/?mlat=34.9699&amp;mlon=44.8252&amp;zoom=12#map=12/34.9699/44.8252","Maplink1")</f>
        <v>Maplink1</v>
      </c>
      <c r="AX2404" s="88" t="str">
        <f>HYPERLINK("https://www.google.iq/maps/search/+34.9699,44.8252/@34.9699,44.8252,14z?hl=en","Maplink2")</f>
        <v>Maplink2</v>
      </c>
      <c r="AY2404" s="88" t="str">
        <f>HYPERLINK("http://www.bing.com/maps/?lvl=14&amp;sty=h&amp;cp=34.9699~44.8252&amp;sp=point.34.9699_44.8252","Maplink3")</f>
        <v>Maplink3</v>
      </c>
      <c r="AZ2404" s="76"/>
    </row>
    <row r="2405" spans="1:52" x14ac:dyDescent="0.25">
      <c r="A2405" s="86">
        <v>20433</v>
      </c>
      <c r="B2405" s="87" t="s">
        <v>26</v>
      </c>
      <c r="C2405" s="87" t="s">
        <v>4579</v>
      </c>
      <c r="D2405" s="87" t="s">
        <v>4620</v>
      </c>
      <c r="E2405" s="87" t="s">
        <v>2464</v>
      </c>
      <c r="F2405" s="87">
        <v>34.910322130600001</v>
      </c>
      <c r="G2405" s="87">
        <v>44.742546554100002</v>
      </c>
      <c r="H2405" s="86">
        <v>8</v>
      </c>
      <c r="I2405" s="86">
        <v>48</v>
      </c>
      <c r="J2405" s="87"/>
      <c r="K2405" s="87"/>
      <c r="L2405" s="87"/>
      <c r="M2405" s="87"/>
      <c r="N2405" s="87"/>
      <c r="O2405" s="87"/>
      <c r="P2405" s="87"/>
      <c r="Q2405" s="87"/>
      <c r="R2405" s="87"/>
      <c r="S2405" s="87"/>
      <c r="T2405" s="87"/>
      <c r="U2405" s="87"/>
      <c r="V2405" s="87"/>
      <c r="W2405" s="87"/>
      <c r="X2405" s="87">
        <v>8</v>
      </c>
      <c r="Y2405" s="87"/>
      <c r="Z2405" s="87"/>
      <c r="AA2405" s="87"/>
      <c r="AB2405" s="87"/>
      <c r="AC2405" s="87">
        <v>8</v>
      </c>
      <c r="AD2405" s="87"/>
      <c r="AE2405" s="87"/>
      <c r="AF2405" s="87"/>
      <c r="AG2405" s="87"/>
      <c r="AH2405" s="87"/>
      <c r="AI2405" s="87"/>
      <c r="AJ2405" s="87"/>
      <c r="AK2405" s="87"/>
      <c r="AL2405" s="87"/>
      <c r="AM2405" s="87"/>
      <c r="AN2405" s="87"/>
      <c r="AO2405" s="87"/>
      <c r="AP2405" s="87">
        <v>2</v>
      </c>
      <c r="AQ2405" s="87"/>
      <c r="AR2405" s="87"/>
      <c r="AS2405" s="87"/>
      <c r="AT2405" s="87"/>
      <c r="AU2405" s="87">
        <v>6</v>
      </c>
      <c r="AV2405" s="87"/>
      <c r="AW2405" s="88" t="str">
        <f>HYPERLINK("http://www.openstreetmap.org/?mlat=34.9103&amp;mlon=44.7425&amp;zoom=12#map=12/34.9103/44.7425","Maplink1")</f>
        <v>Maplink1</v>
      </c>
      <c r="AX2405" s="88" t="str">
        <f>HYPERLINK("https://www.google.iq/maps/search/+34.9103,44.7425/@34.9103,44.7425,14z?hl=en","Maplink2")</f>
        <v>Maplink2</v>
      </c>
      <c r="AY2405" s="88" t="str">
        <f>HYPERLINK("http://www.bing.com/maps/?lvl=14&amp;sty=h&amp;cp=34.9103~44.7425&amp;sp=point.34.9103_44.7425","Maplink3")</f>
        <v>Maplink3</v>
      </c>
      <c r="AZ2405" s="76"/>
    </row>
    <row r="2406" spans="1:52" x14ac:dyDescent="0.25">
      <c r="A2406" s="86">
        <v>33146</v>
      </c>
      <c r="B2406" s="87" t="s">
        <v>26</v>
      </c>
      <c r="C2406" s="87" t="s">
        <v>4579</v>
      </c>
      <c r="D2406" s="87" t="s">
        <v>4621</v>
      </c>
      <c r="E2406" s="87" t="s">
        <v>4622</v>
      </c>
      <c r="F2406" s="87">
        <v>35.110142761399999</v>
      </c>
      <c r="G2406" s="87">
        <v>44.663020916900003</v>
      </c>
      <c r="H2406" s="86">
        <v>10</v>
      </c>
      <c r="I2406" s="86">
        <v>60</v>
      </c>
      <c r="J2406" s="87"/>
      <c r="K2406" s="87"/>
      <c r="L2406" s="87"/>
      <c r="M2406" s="87"/>
      <c r="N2406" s="87"/>
      <c r="O2406" s="87"/>
      <c r="P2406" s="87"/>
      <c r="Q2406" s="87"/>
      <c r="R2406" s="87"/>
      <c r="S2406" s="87"/>
      <c r="T2406" s="87"/>
      <c r="U2406" s="87"/>
      <c r="V2406" s="87"/>
      <c r="W2406" s="87"/>
      <c r="X2406" s="87">
        <v>10</v>
      </c>
      <c r="Y2406" s="87"/>
      <c r="Z2406" s="87"/>
      <c r="AA2406" s="87"/>
      <c r="AB2406" s="87"/>
      <c r="AC2406" s="87">
        <v>10</v>
      </c>
      <c r="AD2406" s="87"/>
      <c r="AE2406" s="87"/>
      <c r="AF2406" s="87"/>
      <c r="AG2406" s="87"/>
      <c r="AH2406" s="87"/>
      <c r="AI2406" s="87"/>
      <c r="AJ2406" s="87"/>
      <c r="AK2406" s="87"/>
      <c r="AL2406" s="87"/>
      <c r="AM2406" s="87"/>
      <c r="AN2406" s="87"/>
      <c r="AO2406" s="87"/>
      <c r="AP2406" s="87">
        <v>4</v>
      </c>
      <c r="AQ2406" s="87"/>
      <c r="AR2406" s="87"/>
      <c r="AS2406" s="87"/>
      <c r="AT2406" s="87"/>
      <c r="AU2406" s="87">
        <v>6</v>
      </c>
      <c r="AV2406" s="87"/>
      <c r="AW2406" s="88" t="str">
        <f>HYPERLINK("http://www.openstreetmap.org/?mlat=35.1101&amp;mlon=44.663&amp;zoom=12#map=12/35.1101/44.663","Maplink1")</f>
        <v>Maplink1</v>
      </c>
      <c r="AX2406" s="88" t="str">
        <f>HYPERLINK("https://www.google.iq/maps/search/+35.1101,44.663/@35.1101,44.663,14z?hl=en","Maplink2")</f>
        <v>Maplink2</v>
      </c>
      <c r="AY2406" s="88" t="str">
        <f>HYPERLINK("http://www.bing.com/maps/?lvl=14&amp;sty=h&amp;cp=35.1101~44.663&amp;sp=point.35.1101_44.663","Maplink3")</f>
        <v>Maplink3</v>
      </c>
      <c r="AZ2406" s="76"/>
    </row>
    <row r="2407" spans="1:52" x14ac:dyDescent="0.25">
      <c r="A2407" s="86">
        <v>33145</v>
      </c>
      <c r="B2407" s="87" t="s">
        <v>26</v>
      </c>
      <c r="C2407" s="87" t="s">
        <v>4579</v>
      </c>
      <c r="D2407" s="87" t="s">
        <v>4623</v>
      </c>
      <c r="E2407" s="87" t="s">
        <v>4624</v>
      </c>
      <c r="F2407" s="87">
        <v>35.085825252500001</v>
      </c>
      <c r="G2407" s="87">
        <v>44.6935786588</v>
      </c>
      <c r="H2407" s="86">
        <v>6</v>
      </c>
      <c r="I2407" s="86">
        <v>36</v>
      </c>
      <c r="J2407" s="87"/>
      <c r="K2407" s="87"/>
      <c r="L2407" s="87"/>
      <c r="M2407" s="87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  <c r="X2407" s="87">
        <v>6</v>
      </c>
      <c r="Y2407" s="87"/>
      <c r="Z2407" s="87"/>
      <c r="AA2407" s="87"/>
      <c r="AB2407" s="87"/>
      <c r="AC2407" s="87">
        <v>6</v>
      </c>
      <c r="AD2407" s="87"/>
      <c r="AE2407" s="87"/>
      <c r="AF2407" s="87"/>
      <c r="AG2407" s="87"/>
      <c r="AH2407" s="87"/>
      <c r="AI2407" s="87"/>
      <c r="AJ2407" s="87"/>
      <c r="AK2407" s="87"/>
      <c r="AL2407" s="87"/>
      <c r="AM2407" s="87"/>
      <c r="AN2407" s="87"/>
      <c r="AO2407" s="87">
        <v>2</v>
      </c>
      <c r="AP2407" s="87"/>
      <c r="AQ2407" s="87"/>
      <c r="AR2407" s="87"/>
      <c r="AS2407" s="87"/>
      <c r="AT2407" s="87"/>
      <c r="AU2407" s="87">
        <v>4</v>
      </c>
      <c r="AV2407" s="87"/>
      <c r="AW2407" s="88" t="str">
        <f>HYPERLINK("http://www.openstreetmap.org/?mlat=35.0858&amp;mlon=44.6936&amp;zoom=12#map=12/35.0858/44.6936","Maplink1")</f>
        <v>Maplink1</v>
      </c>
      <c r="AX2407" s="88" t="str">
        <f>HYPERLINK("https://www.google.iq/maps/search/+35.0858,44.6936/@35.0858,44.6936,14z?hl=en","Maplink2")</f>
        <v>Maplink2</v>
      </c>
      <c r="AY2407" s="88" t="str">
        <f>HYPERLINK("http://www.bing.com/maps/?lvl=14&amp;sty=h&amp;cp=35.0858~44.6936&amp;sp=point.35.0858_44.6936","Maplink3")</f>
        <v>Maplink3</v>
      </c>
      <c r="AZ2407" s="76"/>
    </row>
    <row r="2408" spans="1:52" x14ac:dyDescent="0.25">
      <c r="A2408" s="86">
        <v>33143</v>
      </c>
      <c r="B2408" s="87" t="s">
        <v>26</v>
      </c>
      <c r="C2408" s="87" t="s">
        <v>4579</v>
      </c>
      <c r="D2408" s="87" t="s">
        <v>4625</v>
      </c>
      <c r="E2408" s="87" t="s">
        <v>4626</v>
      </c>
      <c r="F2408" s="87">
        <v>34.951158558700001</v>
      </c>
      <c r="G2408" s="87">
        <v>44.712907621399999</v>
      </c>
      <c r="H2408" s="86">
        <v>5</v>
      </c>
      <c r="I2408" s="86">
        <v>30</v>
      </c>
      <c r="J2408" s="87"/>
      <c r="K2408" s="87"/>
      <c r="L2408" s="87"/>
      <c r="M2408" s="87"/>
      <c r="N2408" s="87"/>
      <c r="O2408" s="87"/>
      <c r="P2408" s="87"/>
      <c r="Q2408" s="87"/>
      <c r="R2408" s="87"/>
      <c r="S2408" s="87"/>
      <c r="T2408" s="87"/>
      <c r="U2408" s="87"/>
      <c r="V2408" s="87"/>
      <c r="W2408" s="87"/>
      <c r="X2408" s="87">
        <v>5</v>
      </c>
      <c r="Y2408" s="87"/>
      <c r="Z2408" s="87"/>
      <c r="AA2408" s="87"/>
      <c r="AB2408" s="87"/>
      <c r="AC2408" s="87">
        <v>5</v>
      </c>
      <c r="AD2408" s="87"/>
      <c r="AE2408" s="87"/>
      <c r="AF2408" s="87"/>
      <c r="AG2408" s="87"/>
      <c r="AH2408" s="87"/>
      <c r="AI2408" s="87"/>
      <c r="AJ2408" s="87"/>
      <c r="AK2408" s="87"/>
      <c r="AL2408" s="87"/>
      <c r="AM2408" s="87"/>
      <c r="AN2408" s="87"/>
      <c r="AO2408" s="87"/>
      <c r="AP2408" s="87"/>
      <c r="AQ2408" s="87"/>
      <c r="AR2408" s="87"/>
      <c r="AS2408" s="87"/>
      <c r="AT2408" s="87"/>
      <c r="AU2408" s="87">
        <v>5</v>
      </c>
      <c r="AV2408" s="87"/>
      <c r="AW2408" s="88" t="str">
        <f>HYPERLINK("http://www.openstreetmap.org/?mlat=34.9512&amp;mlon=44.7129&amp;zoom=12#map=12/34.9512/44.7129","Maplink1")</f>
        <v>Maplink1</v>
      </c>
      <c r="AX2408" s="88" t="str">
        <f>HYPERLINK("https://www.google.iq/maps/search/+34.9512,44.7129/@34.9512,44.7129,14z?hl=en","Maplink2")</f>
        <v>Maplink2</v>
      </c>
      <c r="AY2408" s="88" t="str">
        <f>HYPERLINK("http://www.bing.com/maps/?lvl=14&amp;sty=h&amp;cp=34.9512~44.7129&amp;sp=point.34.9512_44.7129","Maplink3")</f>
        <v>Maplink3</v>
      </c>
      <c r="AZ2408" s="76"/>
    </row>
    <row r="2409" spans="1:52" x14ac:dyDescent="0.25">
      <c r="A2409" s="86">
        <v>20405</v>
      </c>
      <c r="B2409" s="87" t="s">
        <v>26</v>
      </c>
      <c r="C2409" s="87" t="s">
        <v>4579</v>
      </c>
      <c r="D2409" s="87" t="s">
        <v>4627</v>
      </c>
      <c r="E2409" s="87" t="s">
        <v>4628</v>
      </c>
      <c r="F2409" s="87">
        <v>35.008807294999997</v>
      </c>
      <c r="G2409" s="87">
        <v>44.538327435299998</v>
      </c>
      <c r="H2409" s="86">
        <v>49</v>
      </c>
      <c r="I2409" s="86">
        <v>294</v>
      </c>
      <c r="J2409" s="87"/>
      <c r="K2409" s="87"/>
      <c r="L2409" s="87"/>
      <c r="M2409" s="87"/>
      <c r="N2409" s="87"/>
      <c r="O2409" s="87">
        <v>5</v>
      </c>
      <c r="P2409" s="87"/>
      <c r="Q2409" s="87"/>
      <c r="R2409" s="87"/>
      <c r="S2409" s="87"/>
      <c r="T2409" s="87"/>
      <c r="U2409" s="87"/>
      <c r="V2409" s="87"/>
      <c r="W2409" s="87"/>
      <c r="X2409" s="87">
        <v>44</v>
      </c>
      <c r="Y2409" s="87"/>
      <c r="Z2409" s="87"/>
      <c r="AA2409" s="87"/>
      <c r="AB2409" s="87"/>
      <c r="AC2409" s="87">
        <v>18</v>
      </c>
      <c r="AD2409" s="87"/>
      <c r="AE2409" s="87"/>
      <c r="AF2409" s="87"/>
      <c r="AG2409" s="87"/>
      <c r="AH2409" s="87">
        <v>6</v>
      </c>
      <c r="AI2409" s="87">
        <v>10</v>
      </c>
      <c r="AJ2409" s="87"/>
      <c r="AK2409" s="87">
        <v>15</v>
      </c>
      <c r="AL2409" s="87"/>
      <c r="AM2409" s="87"/>
      <c r="AN2409" s="87"/>
      <c r="AO2409" s="87">
        <v>49</v>
      </c>
      <c r="AP2409" s="87"/>
      <c r="AQ2409" s="87"/>
      <c r="AR2409" s="87"/>
      <c r="AS2409" s="87"/>
      <c r="AT2409" s="87"/>
      <c r="AU2409" s="87"/>
      <c r="AV2409" s="87"/>
      <c r="AW2409" s="88" t="str">
        <f>HYPERLINK("http://www.openstreetmap.org/?mlat=35.0088&amp;mlon=44.5383&amp;zoom=12#map=12/35.0088/44.5383","Maplink1")</f>
        <v>Maplink1</v>
      </c>
      <c r="AX2409" s="88" t="str">
        <f>HYPERLINK("https://www.google.iq/maps/search/+35.0088,44.5383/@35.0088,44.5383,14z?hl=en","Maplink2")</f>
        <v>Maplink2</v>
      </c>
      <c r="AY2409" s="88" t="str">
        <f>HYPERLINK("http://www.bing.com/maps/?lvl=14&amp;sty=h&amp;cp=35.0088~44.5383&amp;sp=point.35.0088_44.5383","Maplink3")</f>
        <v>Maplink3</v>
      </c>
      <c r="AZ2409" s="76"/>
    </row>
    <row r="2410" spans="1:52" x14ac:dyDescent="0.25">
      <c r="A2410" s="86">
        <v>25871</v>
      </c>
      <c r="B2410" s="87" t="s">
        <v>26</v>
      </c>
      <c r="C2410" s="87" t="s">
        <v>4579</v>
      </c>
      <c r="D2410" s="87" t="s">
        <v>4629</v>
      </c>
      <c r="E2410" s="87" t="s">
        <v>4630</v>
      </c>
      <c r="F2410" s="87">
        <v>34.798650000000002</v>
      </c>
      <c r="G2410" s="87">
        <v>44.723265056300001</v>
      </c>
      <c r="H2410" s="86">
        <v>68</v>
      </c>
      <c r="I2410" s="86">
        <v>408</v>
      </c>
      <c r="J2410" s="87"/>
      <c r="K2410" s="87"/>
      <c r="L2410" s="87"/>
      <c r="M2410" s="87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  <c r="X2410" s="87">
        <v>68</v>
      </c>
      <c r="Y2410" s="87"/>
      <c r="Z2410" s="87"/>
      <c r="AA2410" s="87"/>
      <c r="AB2410" s="87"/>
      <c r="AC2410" s="87">
        <v>50</v>
      </c>
      <c r="AD2410" s="87"/>
      <c r="AE2410" s="87">
        <v>18</v>
      </c>
      <c r="AF2410" s="87"/>
      <c r="AG2410" s="87"/>
      <c r="AH2410" s="87"/>
      <c r="AI2410" s="87"/>
      <c r="AJ2410" s="87"/>
      <c r="AK2410" s="87"/>
      <c r="AL2410" s="87"/>
      <c r="AM2410" s="87"/>
      <c r="AN2410" s="87"/>
      <c r="AO2410" s="87">
        <v>16</v>
      </c>
      <c r="AP2410" s="87">
        <v>52</v>
      </c>
      <c r="AQ2410" s="87"/>
      <c r="AR2410" s="87"/>
      <c r="AS2410" s="87"/>
      <c r="AT2410" s="87"/>
      <c r="AU2410" s="87"/>
      <c r="AV2410" s="87"/>
      <c r="AW2410" s="88" t="str">
        <f>HYPERLINK("http://www.openstreetmap.org/?mlat=34.7987&amp;mlon=44.7233&amp;zoom=12#map=12/34.7987/44.7233","Maplink1")</f>
        <v>Maplink1</v>
      </c>
      <c r="AX2410" s="88" t="str">
        <f>HYPERLINK("https://www.google.iq/maps/search/+34.7987,44.7233/@34.7987,44.7233,14z?hl=en","Maplink2")</f>
        <v>Maplink2</v>
      </c>
      <c r="AY2410" s="88" t="str">
        <f>HYPERLINK("http://www.bing.com/maps/?lvl=14&amp;sty=h&amp;cp=34.7987~44.7233&amp;sp=point.34.7987_44.7233","Maplink3")</f>
        <v>Maplink3</v>
      </c>
      <c r="AZ2410" s="76"/>
    </row>
    <row r="2411" spans="1:52" x14ac:dyDescent="0.25">
      <c r="A2411" s="86">
        <v>25870</v>
      </c>
      <c r="B2411" s="87" t="s">
        <v>26</v>
      </c>
      <c r="C2411" s="87" t="s">
        <v>4579</v>
      </c>
      <c r="D2411" s="87" t="s">
        <v>4631</v>
      </c>
      <c r="E2411" s="87" t="s">
        <v>4632</v>
      </c>
      <c r="F2411" s="87">
        <v>34.732737999999998</v>
      </c>
      <c r="G2411" s="87">
        <v>44.800704000000003</v>
      </c>
      <c r="H2411" s="86">
        <v>380</v>
      </c>
      <c r="I2411" s="86">
        <v>2280</v>
      </c>
      <c r="J2411" s="87"/>
      <c r="K2411" s="87"/>
      <c r="L2411" s="87"/>
      <c r="M2411" s="87"/>
      <c r="N2411" s="87"/>
      <c r="O2411" s="87">
        <v>30</v>
      </c>
      <c r="P2411" s="87"/>
      <c r="Q2411" s="87"/>
      <c r="R2411" s="87"/>
      <c r="S2411" s="87"/>
      <c r="T2411" s="87"/>
      <c r="U2411" s="87"/>
      <c r="V2411" s="87"/>
      <c r="W2411" s="87"/>
      <c r="X2411" s="87">
        <v>350</v>
      </c>
      <c r="Y2411" s="87"/>
      <c r="Z2411" s="87"/>
      <c r="AA2411" s="87"/>
      <c r="AB2411" s="87"/>
      <c r="AC2411" s="87">
        <v>160</v>
      </c>
      <c r="AD2411" s="87"/>
      <c r="AE2411" s="87">
        <v>220</v>
      </c>
      <c r="AF2411" s="87"/>
      <c r="AG2411" s="87"/>
      <c r="AH2411" s="87"/>
      <c r="AI2411" s="87"/>
      <c r="AJ2411" s="87"/>
      <c r="AK2411" s="87"/>
      <c r="AL2411" s="87"/>
      <c r="AM2411" s="87"/>
      <c r="AN2411" s="87"/>
      <c r="AO2411" s="87">
        <v>35</v>
      </c>
      <c r="AP2411" s="87">
        <v>345</v>
      </c>
      <c r="AQ2411" s="87"/>
      <c r="AR2411" s="87"/>
      <c r="AS2411" s="87"/>
      <c r="AT2411" s="87"/>
      <c r="AU2411" s="87"/>
      <c r="AV2411" s="87"/>
      <c r="AW2411" s="88" t="str">
        <f>HYPERLINK("http://www.openstreetmap.org/?mlat=34.7327&amp;mlon=44.8007&amp;zoom=12#map=12/34.7327/44.8007","Maplink1")</f>
        <v>Maplink1</v>
      </c>
      <c r="AX2411" s="88" t="str">
        <f>HYPERLINK("https://www.google.iq/maps/search/+34.7327,44.8007/@34.7327,44.8007,14z?hl=en","Maplink2")</f>
        <v>Maplink2</v>
      </c>
      <c r="AY2411" s="88" t="str">
        <f>HYPERLINK("http://www.bing.com/maps/?lvl=14&amp;sty=h&amp;cp=34.7327~44.8007&amp;sp=point.34.7327_44.8007","Maplink3")</f>
        <v>Maplink3</v>
      </c>
      <c r="AZ2411" s="76"/>
    </row>
    <row r="2412" spans="1:52" x14ac:dyDescent="0.25">
      <c r="A2412" s="86">
        <v>33223</v>
      </c>
      <c r="B2412" s="87" t="s">
        <v>26</v>
      </c>
      <c r="C2412" s="87" t="s">
        <v>4579</v>
      </c>
      <c r="D2412" s="87" t="s">
        <v>4633</v>
      </c>
      <c r="E2412" s="87" t="s">
        <v>4634</v>
      </c>
      <c r="F2412" s="87">
        <v>34.971948352299997</v>
      </c>
      <c r="G2412" s="87">
        <v>44.482028544099997</v>
      </c>
      <c r="H2412" s="86">
        <v>7</v>
      </c>
      <c r="I2412" s="86">
        <v>42</v>
      </c>
      <c r="J2412" s="87"/>
      <c r="K2412" s="87"/>
      <c r="L2412" s="87"/>
      <c r="M2412" s="87"/>
      <c r="N2412" s="87"/>
      <c r="O2412" s="87">
        <v>7</v>
      </c>
      <c r="P2412" s="87"/>
      <c r="Q2412" s="87"/>
      <c r="R2412" s="87"/>
      <c r="S2412" s="87"/>
      <c r="T2412" s="87"/>
      <c r="U2412" s="87"/>
      <c r="V2412" s="87"/>
      <c r="W2412" s="87"/>
      <c r="X2412" s="87"/>
      <c r="Y2412" s="87"/>
      <c r="Z2412" s="87"/>
      <c r="AA2412" s="87"/>
      <c r="AB2412" s="87"/>
      <c r="AC2412" s="87">
        <v>7</v>
      </c>
      <c r="AD2412" s="87"/>
      <c r="AE2412" s="87"/>
      <c r="AF2412" s="87"/>
      <c r="AG2412" s="87"/>
      <c r="AH2412" s="87"/>
      <c r="AI2412" s="87"/>
      <c r="AJ2412" s="87"/>
      <c r="AK2412" s="87"/>
      <c r="AL2412" s="87"/>
      <c r="AM2412" s="87"/>
      <c r="AN2412" s="87"/>
      <c r="AO2412" s="87"/>
      <c r="AP2412" s="87">
        <v>7</v>
      </c>
      <c r="AQ2412" s="87"/>
      <c r="AR2412" s="87"/>
      <c r="AS2412" s="87"/>
      <c r="AT2412" s="87"/>
      <c r="AU2412" s="87"/>
      <c r="AV2412" s="87"/>
      <c r="AW2412" s="88" t="str">
        <f>HYPERLINK("http://www.openstreetmap.org/?mlat=34.9719&amp;mlon=44.482&amp;zoom=12#map=12/34.9719/44.482","Maplink1")</f>
        <v>Maplink1</v>
      </c>
      <c r="AX2412" s="88" t="str">
        <f>HYPERLINK("https://www.google.iq/maps/search/+34.9719,44.482/@34.9719,44.482,14z?hl=en","Maplink2")</f>
        <v>Maplink2</v>
      </c>
      <c r="AY2412" s="88" t="str">
        <f>HYPERLINK("http://www.bing.com/maps/?lvl=14&amp;sty=h&amp;cp=34.9719~44.482&amp;sp=point.34.9719_44.482","Maplink3")</f>
        <v>Maplink3</v>
      </c>
      <c r="AZ2412" s="76"/>
    </row>
    <row r="2413" spans="1:52" x14ac:dyDescent="0.25">
      <c r="A2413" s="86">
        <v>20992</v>
      </c>
      <c r="B2413" s="87" t="s">
        <v>26</v>
      </c>
      <c r="C2413" s="87" t="s">
        <v>4579</v>
      </c>
      <c r="D2413" s="87" t="s">
        <v>4635</v>
      </c>
      <c r="E2413" s="87" t="s">
        <v>4636</v>
      </c>
      <c r="F2413" s="87">
        <v>34.8726647959</v>
      </c>
      <c r="G2413" s="87">
        <v>44.620244817299998</v>
      </c>
      <c r="H2413" s="86">
        <v>265</v>
      </c>
      <c r="I2413" s="86">
        <v>1590</v>
      </c>
      <c r="J2413" s="87"/>
      <c r="K2413" s="87"/>
      <c r="L2413" s="87"/>
      <c r="M2413" s="87"/>
      <c r="N2413" s="87"/>
      <c r="O2413" s="87"/>
      <c r="P2413" s="87"/>
      <c r="Q2413" s="87"/>
      <c r="R2413" s="87">
        <v>5</v>
      </c>
      <c r="S2413" s="87"/>
      <c r="T2413" s="87"/>
      <c r="U2413" s="87"/>
      <c r="V2413" s="87"/>
      <c r="W2413" s="87"/>
      <c r="X2413" s="87">
        <v>260</v>
      </c>
      <c r="Y2413" s="87"/>
      <c r="Z2413" s="87"/>
      <c r="AA2413" s="87"/>
      <c r="AB2413" s="87"/>
      <c r="AC2413" s="87">
        <v>50</v>
      </c>
      <c r="AD2413" s="87"/>
      <c r="AE2413" s="87"/>
      <c r="AF2413" s="87"/>
      <c r="AG2413" s="87"/>
      <c r="AH2413" s="87">
        <v>195</v>
      </c>
      <c r="AI2413" s="87">
        <v>20</v>
      </c>
      <c r="AJ2413" s="87"/>
      <c r="AK2413" s="87"/>
      <c r="AL2413" s="87"/>
      <c r="AM2413" s="87"/>
      <c r="AN2413" s="87">
        <v>65</v>
      </c>
      <c r="AO2413" s="87">
        <v>145</v>
      </c>
      <c r="AP2413" s="87">
        <v>45</v>
      </c>
      <c r="AQ2413" s="87">
        <v>5</v>
      </c>
      <c r="AR2413" s="87">
        <v>5</v>
      </c>
      <c r="AS2413" s="87"/>
      <c r="AT2413" s="87"/>
      <c r="AU2413" s="87"/>
      <c r="AV2413" s="87"/>
      <c r="AW2413" s="88" t="str">
        <f>HYPERLINK("http://www.openstreetmap.org/?mlat=34.8727&amp;mlon=44.6202&amp;zoom=12#map=12/34.8727/44.6202","Maplink1")</f>
        <v>Maplink1</v>
      </c>
      <c r="AX2413" s="88" t="str">
        <f>HYPERLINK("https://www.google.iq/maps/search/+34.8727,44.6202/@34.8727,44.6202,14z?hl=en","Maplink2")</f>
        <v>Maplink2</v>
      </c>
      <c r="AY2413" s="88" t="str">
        <f>HYPERLINK("http://www.bing.com/maps/?lvl=14&amp;sty=h&amp;cp=34.8727~44.6202&amp;sp=point.34.8727_44.6202","Maplink3")</f>
        <v>Maplink3</v>
      </c>
      <c r="AZ2413" s="76"/>
    </row>
    <row r="2414" spans="1:52" x14ac:dyDescent="0.25">
      <c r="A2414" s="86">
        <v>25872</v>
      </c>
      <c r="B2414" s="87" t="s">
        <v>26</v>
      </c>
      <c r="C2414" s="87" t="s">
        <v>4579</v>
      </c>
      <c r="D2414" s="87" t="s">
        <v>4637</v>
      </c>
      <c r="E2414" s="87" t="s">
        <v>4638</v>
      </c>
      <c r="F2414" s="87">
        <v>34.905150900599999</v>
      </c>
      <c r="G2414" s="87">
        <v>44.6358183762</v>
      </c>
      <c r="H2414" s="86">
        <v>290</v>
      </c>
      <c r="I2414" s="86">
        <v>1740</v>
      </c>
      <c r="J2414" s="87"/>
      <c r="K2414" s="87"/>
      <c r="L2414" s="87"/>
      <c r="M2414" s="87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  <c r="X2414" s="87">
        <v>290</v>
      </c>
      <c r="Y2414" s="87"/>
      <c r="Z2414" s="87"/>
      <c r="AA2414" s="87"/>
      <c r="AB2414" s="87"/>
      <c r="AC2414" s="87">
        <v>30</v>
      </c>
      <c r="AD2414" s="87"/>
      <c r="AE2414" s="87">
        <v>30</v>
      </c>
      <c r="AF2414" s="87"/>
      <c r="AG2414" s="87"/>
      <c r="AH2414" s="87">
        <v>210</v>
      </c>
      <c r="AI2414" s="87">
        <v>20</v>
      </c>
      <c r="AJ2414" s="87"/>
      <c r="AK2414" s="87"/>
      <c r="AL2414" s="87"/>
      <c r="AM2414" s="87"/>
      <c r="AN2414" s="87"/>
      <c r="AO2414" s="87">
        <v>240</v>
      </c>
      <c r="AP2414" s="87">
        <v>50</v>
      </c>
      <c r="AQ2414" s="87"/>
      <c r="AR2414" s="87"/>
      <c r="AS2414" s="87"/>
      <c r="AT2414" s="87"/>
      <c r="AU2414" s="87"/>
      <c r="AV2414" s="87"/>
      <c r="AW2414" s="88" t="str">
        <f>HYPERLINK("http://www.openstreetmap.org/?mlat=34.9052&amp;mlon=44.6358&amp;zoom=12#map=12/34.9052/44.6358","Maplink1")</f>
        <v>Maplink1</v>
      </c>
      <c r="AX2414" s="88" t="str">
        <f>HYPERLINK("https://www.google.iq/maps/search/+34.9052,44.6358/@34.9052,44.6358,14z?hl=en","Maplink2")</f>
        <v>Maplink2</v>
      </c>
      <c r="AY2414" s="88" t="str">
        <f>HYPERLINK("http://www.bing.com/maps/?lvl=14&amp;sty=h&amp;cp=34.9052~44.6358&amp;sp=point.34.9052_44.6358","Maplink3")</f>
        <v>Maplink3</v>
      </c>
      <c r="AZ2414" s="76"/>
    </row>
    <row r="2415" spans="1:52" x14ac:dyDescent="0.25">
      <c r="A2415" s="86">
        <v>33139</v>
      </c>
      <c r="B2415" s="87" t="s">
        <v>26</v>
      </c>
      <c r="C2415" s="87" t="s">
        <v>4579</v>
      </c>
      <c r="D2415" s="87" t="s">
        <v>4639</v>
      </c>
      <c r="E2415" s="87" t="s">
        <v>4640</v>
      </c>
      <c r="F2415" s="87">
        <v>34.913197519100002</v>
      </c>
      <c r="G2415" s="87">
        <v>44.848258683899999</v>
      </c>
      <c r="H2415" s="86">
        <v>14</v>
      </c>
      <c r="I2415" s="86">
        <v>84</v>
      </c>
      <c r="J2415" s="87"/>
      <c r="K2415" s="87"/>
      <c r="L2415" s="87"/>
      <c r="M2415" s="87"/>
      <c r="N2415" s="87"/>
      <c r="O2415" s="87"/>
      <c r="P2415" s="87"/>
      <c r="Q2415" s="87"/>
      <c r="R2415" s="87"/>
      <c r="S2415" s="87"/>
      <c r="T2415" s="87"/>
      <c r="U2415" s="87"/>
      <c r="V2415" s="87"/>
      <c r="W2415" s="87"/>
      <c r="X2415" s="87">
        <v>14</v>
      </c>
      <c r="Y2415" s="87"/>
      <c r="Z2415" s="87"/>
      <c r="AA2415" s="87"/>
      <c r="AB2415" s="87"/>
      <c r="AC2415" s="87">
        <v>14</v>
      </c>
      <c r="AD2415" s="87"/>
      <c r="AE2415" s="87"/>
      <c r="AF2415" s="87"/>
      <c r="AG2415" s="87"/>
      <c r="AH2415" s="87"/>
      <c r="AI2415" s="87"/>
      <c r="AJ2415" s="87"/>
      <c r="AK2415" s="87"/>
      <c r="AL2415" s="87"/>
      <c r="AM2415" s="87"/>
      <c r="AN2415" s="87"/>
      <c r="AO2415" s="87"/>
      <c r="AP2415" s="87">
        <v>2</v>
      </c>
      <c r="AQ2415" s="87"/>
      <c r="AR2415" s="87"/>
      <c r="AS2415" s="87"/>
      <c r="AT2415" s="87"/>
      <c r="AU2415" s="87">
        <v>12</v>
      </c>
      <c r="AV2415" s="87"/>
      <c r="AW2415" s="88" t="str">
        <f>HYPERLINK("http://www.openstreetmap.org/?mlat=34.9132&amp;mlon=44.8483&amp;zoom=12#map=12/34.9132/44.8483","Maplink1")</f>
        <v>Maplink1</v>
      </c>
      <c r="AX2415" s="88" t="str">
        <f>HYPERLINK("https://www.google.iq/maps/search/+34.9132,44.8483/@34.9132,44.8483,14z?hl=en","Maplink2")</f>
        <v>Maplink2</v>
      </c>
      <c r="AY2415" s="88" t="str">
        <f>HYPERLINK("http://www.bing.com/maps/?lvl=14&amp;sty=h&amp;cp=34.9132~44.8483&amp;sp=point.34.9132_44.8483","Maplink3")</f>
        <v>Maplink3</v>
      </c>
      <c r="AZ2415" s="76"/>
    </row>
    <row r="2416" spans="1:52" x14ac:dyDescent="0.25">
      <c r="A2416" s="86">
        <v>21976</v>
      </c>
      <c r="B2416" s="87" t="s">
        <v>27</v>
      </c>
      <c r="C2416" s="87" t="s">
        <v>4641</v>
      </c>
      <c r="D2416" s="87" t="s">
        <v>1968</v>
      </c>
      <c r="E2416" s="87" t="s">
        <v>2624</v>
      </c>
      <c r="F2416" s="87">
        <v>35.535785789099997</v>
      </c>
      <c r="G2416" s="87">
        <v>44.825646499999998</v>
      </c>
      <c r="H2416" s="86">
        <v>95</v>
      </c>
      <c r="I2416" s="86">
        <v>570</v>
      </c>
      <c r="J2416" s="87">
        <v>27</v>
      </c>
      <c r="K2416" s="87">
        <v>11</v>
      </c>
      <c r="L2416" s="87">
        <v>10</v>
      </c>
      <c r="M2416" s="87"/>
      <c r="N2416" s="87"/>
      <c r="O2416" s="87">
        <v>8</v>
      </c>
      <c r="P2416" s="87"/>
      <c r="Q2416" s="87"/>
      <c r="R2416" s="87">
        <v>15</v>
      </c>
      <c r="S2416" s="87"/>
      <c r="T2416" s="87"/>
      <c r="U2416" s="87"/>
      <c r="V2416" s="87">
        <v>2</v>
      </c>
      <c r="W2416" s="87"/>
      <c r="X2416" s="87">
        <v>22</v>
      </c>
      <c r="Y2416" s="87"/>
      <c r="Z2416" s="87"/>
      <c r="AA2416" s="87"/>
      <c r="AB2416" s="87"/>
      <c r="AC2416" s="87"/>
      <c r="AD2416" s="87"/>
      <c r="AE2416" s="87"/>
      <c r="AF2416" s="87"/>
      <c r="AG2416" s="87"/>
      <c r="AH2416" s="87">
        <v>95</v>
      </c>
      <c r="AI2416" s="87"/>
      <c r="AJ2416" s="87"/>
      <c r="AK2416" s="87"/>
      <c r="AL2416" s="87"/>
      <c r="AM2416" s="87"/>
      <c r="AN2416" s="87">
        <v>16</v>
      </c>
      <c r="AO2416" s="87">
        <v>3</v>
      </c>
      <c r="AP2416" s="87"/>
      <c r="AQ2416" s="87">
        <v>13</v>
      </c>
      <c r="AR2416" s="87">
        <v>8</v>
      </c>
      <c r="AS2416" s="87">
        <v>14</v>
      </c>
      <c r="AT2416" s="87">
        <v>14</v>
      </c>
      <c r="AU2416" s="87">
        <v>27</v>
      </c>
      <c r="AV2416" s="87"/>
      <c r="AW2416" s="88" t="str">
        <f>HYPERLINK("http://www.openstreetmap.org/?mlat=35.5358&amp;mlon=44.8256&amp;zoom=12#map=12/35.5358/44.8256","Maplink1")</f>
        <v>Maplink1</v>
      </c>
      <c r="AX2416" s="88" t="str">
        <f>HYPERLINK("https://www.google.iq/maps/search/+35.5358,44.8256/@35.5358,44.8256,14z?hl=en","Maplink2")</f>
        <v>Maplink2</v>
      </c>
      <c r="AY2416" s="88" t="str">
        <f>HYPERLINK("http://www.bing.com/maps/?lvl=14&amp;sty=h&amp;cp=35.5358~44.8256&amp;sp=point.35.5358_44.8256","Maplink3")</f>
        <v>Maplink3</v>
      </c>
      <c r="AZ2416" s="76"/>
    </row>
    <row r="2417" spans="1:52" x14ac:dyDescent="0.25">
      <c r="A2417" s="86">
        <v>24688</v>
      </c>
      <c r="B2417" s="87" t="s">
        <v>27</v>
      </c>
      <c r="C2417" s="87" t="s">
        <v>4641</v>
      </c>
      <c r="D2417" s="87" t="s">
        <v>4642</v>
      </c>
      <c r="E2417" s="87" t="s">
        <v>4643</v>
      </c>
      <c r="F2417" s="87">
        <v>35.526930803799999</v>
      </c>
      <c r="G2417" s="87">
        <v>44.813743799999997</v>
      </c>
      <c r="H2417" s="86">
        <v>186</v>
      </c>
      <c r="I2417" s="86">
        <v>1116</v>
      </c>
      <c r="J2417" s="87">
        <v>43</v>
      </c>
      <c r="K2417" s="87">
        <v>50</v>
      </c>
      <c r="L2417" s="87">
        <v>14</v>
      </c>
      <c r="M2417" s="87"/>
      <c r="N2417" s="87"/>
      <c r="O2417" s="87">
        <v>1</v>
      </c>
      <c r="P2417" s="87"/>
      <c r="Q2417" s="87"/>
      <c r="R2417" s="87">
        <v>32</v>
      </c>
      <c r="S2417" s="87"/>
      <c r="T2417" s="87"/>
      <c r="U2417" s="87"/>
      <c r="V2417" s="87"/>
      <c r="W2417" s="87"/>
      <c r="X2417" s="87">
        <v>46</v>
      </c>
      <c r="Y2417" s="87"/>
      <c r="Z2417" s="87"/>
      <c r="AA2417" s="87"/>
      <c r="AB2417" s="87"/>
      <c r="AC2417" s="87"/>
      <c r="AD2417" s="87"/>
      <c r="AE2417" s="87"/>
      <c r="AF2417" s="87"/>
      <c r="AG2417" s="87"/>
      <c r="AH2417" s="87">
        <v>154</v>
      </c>
      <c r="AI2417" s="87"/>
      <c r="AJ2417" s="87"/>
      <c r="AK2417" s="87">
        <v>32</v>
      </c>
      <c r="AL2417" s="87"/>
      <c r="AM2417" s="87"/>
      <c r="AN2417" s="87">
        <v>16</v>
      </c>
      <c r="AO2417" s="87">
        <v>26</v>
      </c>
      <c r="AP2417" s="87">
        <v>18</v>
      </c>
      <c r="AQ2417" s="87">
        <v>43</v>
      </c>
      <c r="AR2417" s="87">
        <v>15</v>
      </c>
      <c r="AS2417" s="87">
        <v>8</v>
      </c>
      <c r="AT2417" s="87">
        <v>15</v>
      </c>
      <c r="AU2417" s="87">
        <v>45</v>
      </c>
      <c r="AV2417" s="87"/>
      <c r="AW2417" s="88" t="str">
        <f>HYPERLINK("http://www.openstreetmap.org/?mlat=35.5269&amp;mlon=44.8137&amp;zoom=12#map=12/35.5269/44.8137","Maplink1")</f>
        <v>Maplink1</v>
      </c>
      <c r="AX2417" s="88" t="str">
        <f>HYPERLINK("https://www.google.iq/maps/search/+35.5269,44.8137/@35.5269,44.8137,14z?hl=en","Maplink2")</f>
        <v>Maplink2</v>
      </c>
      <c r="AY2417" s="88" t="str">
        <f>HYPERLINK("http://www.bing.com/maps/?lvl=14&amp;sty=h&amp;cp=35.5269~44.8137&amp;sp=point.35.5269_44.8137","Maplink3")</f>
        <v>Maplink3</v>
      </c>
      <c r="AZ2417" s="76"/>
    </row>
    <row r="2418" spans="1:52" x14ac:dyDescent="0.25">
      <c r="A2418" s="86">
        <v>6024</v>
      </c>
      <c r="B2418" s="87" t="s">
        <v>27</v>
      </c>
      <c r="C2418" s="87" t="s">
        <v>4641</v>
      </c>
      <c r="D2418" s="87" t="s">
        <v>2816</v>
      </c>
      <c r="E2418" s="87" t="s">
        <v>4644</v>
      </c>
      <c r="F2418" s="87">
        <v>35.529988672999998</v>
      </c>
      <c r="G2418" s="87">
        <v>44.840730999999998</v>
      </c>
      <c r="H2418" s="86">
        <v>192</v>
      </c>
      <c r="I2418" s="86">
        <v>1152</v>
      </c>
      <c r="J2418" s="87">
        <v>28</v>
      </c>
      <c r="K2418" s="87">
        <v>47</v>
      </c>
      <c r="L2418" s="87">
        <v>21</v>
      </c>
      <c r="M2418" s="87"/>
      <c r="N2418" s="87"/>
      <c r="O2418" s="87">
        <v>22</v>
      </c>
      <c r="P2418" s="87"/>
      <c r="Q2418" s="87"/>
      <c r="R2418" s="87">
        <v>4</v>
      </c>
      <c r="S2418" s="87"/>
      <c r="T2418" s="87"/>
      <c r="U2418" s="87"/>
      <c r="V2418" s="87">
        <v>3</v>
      </c>
      <c r="W2418" s="87"/>
      <c r="X2418" s="87">
        <v>67</v>
      </c>
      <c r="Y2418" s="87"/>
      <c r="Z2418" s="87"/>
      <c r="AA2418" s="87"/>
      <c r="AB2418" s="87"/>
      <c r="AC2418" s="87"/>
      <c r="AD2418" s="87"/>
      <c r="AE2418" s="87"/>
      <c r="AF2418" s="87"/>
      <c r="AG2418" s="87"/>
      <c r="AH2418" s="87">
        <v>192</v>
      </c>
      <c r="AI2418" s="87"/>
      <c r="AJ2418" s="87"/>
      <c r="AK2418" s="87"/>
      <c r="AL2418" s="87"/>
      <c r="AM2418" s="87"/>
      <c r="AN2418" s="87">
        <v>32</v>
      </c>
      <c r="AO2418" s="87">
        <v>32</v>
      </c>
      <c r="AP2418" s="87">
        <v>32</v>
      </c>
      <c r="AQ2418" s="87">
        <v>42</v>
      </c>
      <c r="AR2418" s="87">
        <v>8</v>
      </c>
      <c r="AS2418" s="87">
        <v>17</v>
      </c>
      <c r="AT2418" s="87">
        <v>13</v>
      </c>
      <c r="AU2418" s="87">
        <v>13</v>
      </c>
      <c r="AV2418" s="87">
        <v>3</v>
      </c>
      <c r="AW2418" s="88" t="str">
        <f>HYPERLINK("http://www.openstreetmap.org/?mlat=35.53&amp;mlon=44.8407&amp;zoom=12#map=12/35.53/44.8407","Maplink1")</f>
        <v>Maplink1</v>
      </c>
      <c r="AX2418" s="88" t="str">
        <f>HYPERLINK("https://www.google.iq/maps/search/+35.53,44.8407/@35.53,44.8407,14z?hl=en","Maplink2")</f>
        <v>Maplink2</v>
      </c>
      <c r="AY2418" s="88" t="str">
        <f>HYPERLINK("http://www.bing.com/maps/?lvl=14&amp;sty=h&amp;cp=35.53~44.8407&amp;sp=point.35.53_44.8407","Maplink3")</f>
        <v>Maplink3</v>
      </c>
      <c r="AZ2418" s="76"/>
    </row>
    <row r="2419" spans="1:52" x14ac:dyDescent="0.25">
      <c r="A2419" s="86">
        <v>22078</v>
      </c>
      <c r="B2419" s="87" t="s">
        <v>27</v>
      </c>
      <c r="C2419" s="87" t="s">
        <v>4641</v>
      </c>
      <c r="D2419" s="87" t="s">
        <v>4645</v>
      </c>
      <c r="E2419" s="87" t="s">
        <v>4646</v>
      </c>
      <c r="F2419" s="87">
        <v>35.500923305999997</v>
      </c>
      <c r="G2419" s="87">
        <v>44.7802583</v>
      </c>
      <c r="H2419" s="86">
        <v>92</v>
      </c>
      <c r="I2419" s="86">
        <v>552</v>
      </c>
      <c r="J2419" s="87">
        <v>5</v>
      </c>
      <c r="K2419" s="87"/>
      <c r="L2419" s="87">
        <v>4</v>
      </c>
      <c r="M2419" s="87"/>
      <c r="N2419" s="87"/>
      <c r="O2419" s="87">
        <v>11</v>
      </c>
      <c r="P2419" s="87"/>
      <c r="Q2419" s="87"/>
      <c r="R2419" s="87">
        <v>11</v>
      </c>
      <c r="S2419" s="87"/>
      <c r="T2419" s="87"/>
      <c r="U2419" s="87"/>
      <c r="V2419" s="87">
        <v>15</v>
      </c>
      <c r="W2419" s="87"/>
      <c r="X2419" s="87">
        <v>46</v>
      </c>
      <c r="Y2419" s="87"/>
      <c r="Z2419" s="87"/>
      <c r="AA2419" s="87"/>
      <c r="AB2419" s="87"/>
      <c r="AC2419" s="87"/>
      <c r="AD2419" s="87"/>
      <c r="AE2419" s="87"/>
      <c r="AF2419" s="87"/>
      <c r="AG2419" s="87"/>
      <c r="AH2419" s="87">
        <v>92</v>
      </c>
      <c r="AI2419" s="87"/>
      <c r="AJ2419" s="87"/>
      <c r="AK2419" s="87"/>
      <c r="AL2419" s="87"/>
      <c r="AM2419" s="87"/>
      <c r="AN2419" s="87">
        <v>7</v>
      </c>
      <c r="AO2419" s="87">
        <v>14</v>
      </c>
      <c r="AP2419" s="87">
        <v>3</v>
      </c>
      <c r="AQ2419" s="87"/>
      <c r="AR2419" s="87">
        <v>9</v>
      </c>
      <c r="AS2419" s="87">
        <v>12</v>
      </c>
      <c r="AT2419" s="87">
        <v>17</v>
      </c>
      <c r="AU2419" s="87">
        <v>26</v>
      </c>
      <c r="AV2419" s="87">
        <v>4</v>
      </c>
      <c r="AW2419" s="88" t="str">
        <f>HYPERLINK("http://www.openstreetmap.org/?mlat=35.5009&amp;mlon=44.7803&amp;zoom=12#map=12/35.5009/44.7803","Maplink1")</f>
        <v>Maplink1</v>
      </c>
      <c r="AX2419" s="88" t="str">
        <f>HYPERLINK("https://www.google.iq/maps/search/+35.5009,44.7803/@35.5009,44.7803,14z?hl=en","Maplink2")</f>
        <v>Maplink2</v>
      </c>
      <c r="AY2419" s="88" t="str">
        <f>HYPERLINK("http://www.bing.com/maps/?lvl=14&amp;sty=h&amp;cp=35.5009~44.7803&amp;sp=point.35.5009_44.7803","Maplink3")</f>
        <v>Maplink3</v>
      </c>
      <c r="AZ2419" s="76"/>
    </row>
    <row r="2420" spans="1:52" x14ac:dyDescent="0.25">
      <c r="A2420" s="86">
        <v>22080</v>
      </c>
      <c r="B2420" s="87" t="s">
        <v>27</v>
      </c>
      <c r="C2420" s="87" t="s">
        <v>4641</v>
      </c>
      <c r="D2420" s="87" t="s">
        <v>4647</v>
      </c>
      <c r="E2420" s="87" t="s">
        <v>4648</v>
      </c>
      <c r="F2420" s="87">
        <v>35.537777684200002</v>
      </c>
      <c r="G2420" s="87">
        <v>44.8318011</v>
      </c>
      <c r="H2420" s="86">
        <v>72</v>
      </c>
      <c r="I2420" s="86">
        <v>432</v>
      </c>
      <c r="J2420" s="87">
        <v>19</v>
      </c>
      <c r="K2420" s="87">
        <v>10</v>
      </c>
      <c r="L2420" s="87">
        <v>6</v>
      </c>
      <c r="M2420" s="87"/>
      <c r="N2420" s="87"/>
      <c r="O2420" s="87">
        <v>15</v>
      </c>
      <c r="P2420" s="87"/>
      <c r="Q2420" s="87"/>
      <c r="R2420" s="87">
        <v>8</v>
      </c>
      <c r="S2420" s="87"/>
      <c r="T2420" s="87"/>
      <c r="U2420" s="87"/>
      <c r="V2420" s="87">
        <v>2</v>
      </c>
      <c r="W2420" s="87"/>
      <c r="X2420" s="87">
        <v>12</v>
      </c>
      <c r="Y2420" s="87"/>
      <c r="Z2420" s="87"/>
      <c r="AA2420" s="87"/>
      <c r="AB2420" s="87"/>
      <c r="AC2420" s="87"/>
      <c r="AD2420" s="87"/>
      <c r="AE2420" s="87"/>
      <c r="AF2420" s="87"/>
      <c r="AG2420" s="87"/>
      <c r="AH2420" s="87">
        <v>72</v>
      </c>
      <c r="AI2420" s="87"/>
      <c r="AJ2420" s="87"/>
      <c r="AK2420" s="87"/>
      <c r="AL2420" s="87"/>
      <c r="AM2420" s="87"/>
      <c r="AN2420" s="87">
        <v>8</v>
      </c>
      <c r="AO2420" s="87">
        <v>7</v>
      </c>
      <c r="AP2420" s="87">
        <v>1</v>
      </c>
      <c r="AQ2420" s="87">
        <v>11</v>
      </c>
      <c r="AR2420" s="87">
        <v>5</v>
      </c>
      <c r="AS2420" s="87">
        <v>9</v>
      </c>
      <c r="AT2420" s="87">
        <v>14</v>
      </c>
      <c r="AU2420" s="87">
        <v>17</v>
      </c>
      <c r="AV2420" s="87"/>
      <c r="AW2420" s="88" t="str">
        <f>HYPERLINK("http://www.openstreetmap.org/?mlat=35.5378&amp;mlon=44.8318&amp;zoom=12#map=12/35.5378/44.8318","Maplink1")</f>
        <v>Maplink1</v>
      </c>
      <c r="AX2420" s="88" t="str">
        <f>HYPERLINK("https://www.google.iq/maps/search/+35.5378,44.8318/@35.5378,44.8318,14z?hl=en","Maplink2")</f>
        <v>Maplink2</v>
      </c>
      <c r="AY2420" s="88" t="str">
        <f>HYPERLINK("http://www.bing.com/maps/?lvl=14&amp;sty=h&amp;cp=35.5378~44.8318&amp;sp=point.35.5378_44.8318","Maplink3")</f>
        <v>Maplink3</v>
      </c>
      <c r="AZ2420" s="76"/>
    </row>
    <row r="2421" spans="1:52" x14ac:dyDescent="0.25">
      <c r="A2421" s="86">
        <v>24894</v>
      </c>
      <c r="B2421" s="87" t="s">
        <v>27</v>
      </c>
      <c r="C2421" s="87" t="s">
        <v>4641</v>
      </c>
      <c r="D2421" s="87" t="s">
        <v>4649</v>
      </c>
      <c r="E2421" s="87" t="s">
        <v>4650</v>
      </c>
      <c r="F2421" s="87">
        <v>35.523605022300003</v>
      </c>
      <c r="G2421" s="87">
        <v>44.822298000000004</v>
      </c>
      <c r="H2421" s="86">
        <v>191</v>
      </c>
      <c r="I2421" s="86">
        <v>1146</v>
      </c>
      <c r="J2421" s="87">
        <v>18</v>
      </c>
      <c r="K2421" s="87">
        <v>51</v>
      </c>
      <c r="L2421" s="87">
        <v>20</v>
      </c>
      <c r="M2421" s="87"/>
      <c r="N2421" s="87"/>
      <c r="O2421" s="87">
        <v>26</v>
      </c>
      <c r="P2421" s="87"/>
      <c r="Q2421" s="87"/>
      <c r="R2421" s="87">
        <v>27</v>
      </c>
      <c r="S2421" s="87"/>
      <c r="T2421" s="87"/>
      <c r="U2421" s="87"/>
      <c r="V2421" s="87">
        <v>4</v>
      </c>
      <c r="W2421" s="87"/>
      <c r="X2421" s="87">
        <v>45</v>
      </c>
      <c r="Y2421" s="87"/>
      <c r="Z2421" s="87"/>
      <c r="AA2421" s="87"/>
      <c r="AB2421" s="87"/>
      <c r="AC2421" s="87"/>
      <c r="AD2421" s="87"/>
      <c r="AE2421" s="87"/>
      <c r="AF2421" s="87"/>
      <c r="AG2421" s="87"/>
      <c r="AH2421" s="87">
        <v>191</v>
      </c>
      <c r="AI2421" s="87"/>
      <c r="AJ2421" s="87"/>
      <c r="AK2421" s="87"/>
      <c r="AL2421" s="87"/>
      <c r="AM2421" s="87"/>
      <c r="AN2421" s="87">
        <v>12</v>
      </c>
      <c r="AO2421" s="87">
        <v>41</v>
      </c>
      <c r="AP2421" s="87">
        <v>40</v>
      </c>
      <c r="AQ2421" s="87">
        <v>38</v>
      </c>
      <c r="AR2421" s="87">
        <v>3</v>
      </c>
      <c r="AS2421" s="87">
        <v>3</v>
      </c>
      <c r="AT2421" s="87">
        <v>2</v>
      </c>
      <c r="AU2421" s="87">
        <v>49</v>
      </c>
      <c r="AV2421" s="87">
        <v>3</v>
      </c>
      <c r="AW2421" s="88" t="str">
        <f>HYPERLINK("http://www.openstreetmap.org/?mlat=35.5236&amp;mlon=44.8223&amp;zoom=12#map=12/35.5236/44.8223","Maplink1")</f>
        <v>Maplink1</v>
      </c>
      <c r="AX2421" s="88" t="str">
        <f>HYPERLINK("https://www.google.iq/maps/search/+35.5236,44.8223/@35.5236,44.8223,14z?hl=en","Maplink2")</f>
        <v>Maplink2</v>
      </c>
      <c r="AY2421" s="88" t="str">
        <f>HYPERLINK("http://www.bing.com/maps/?lvl=14&amp;sty=h&amp;cp=35.5236~44.8223&amp;sp=point.35.5236_44.8223","Maplink3")</f>
        <v>Maplink3</v>
      </c>
      <c r="AZ2421" s="76"/>
    </row>
    <row r="2422" spans="1:52" x14ac:dyDescent="0.25">
      <c r="A2422" s="86">
        <v>6159</v>
      </c>
      <c r="B2422" s="87" t="s">
        <v>27</v>
      </c>
      <c r="C2422" s="87" t="s">
        <v>4641</v>
      </c>
      <c r="D2422" s="87" t="s">
        <v>4651</v>
      </c>
      <c r="E2422" s="87" t="s">
        <v>4652</v>
      </c>
      <c r="F2422" s="87">
        <v>35.539826453099998</v>
      </c>
      <c r="G2422" s="87">
        <v>44.823639499999999</v>
      </c>
      <c r="H2422" s="86">
        <v>35</v>
      </c>
      <c r="I2422" s="86">
        <v>210</v>
      </c>
      <c r="J2422" s="87">
        <v>4</v>
      </c>
      <c r="K2422" s="87">
        <v>5</v>
      </c>
      <c r="L2422" s="87">
        <v>4</v>
      </c>
      <c r="M2422" s="87"/>
      <c r="N2422" s="87"/>
      <c r="O2422" s="87">
        <v>1</v>
      </c>
      <c r="P2422" s="87"/>
      <c r="Q2422" s="87"/>
      <c r="R2422" s="87">
        <v>15</v>
      </c>
      <c r="S2422" s="87"/>
      <c r="T2422" s="87"/>
      <c r="U2422" s="87"/>
      <c r="V2422" s="87"/>
      <c r="W2422" s="87"/>
      <c r="X2422" s="87">
        <v>6</v>
      </c>
      <c r="Y2422" s="87"/>
      <c r="Z2422" s="87"/>
      <c r="AA2422" s="87"/>
      <c r="AB2422" s="87"/>
      <c r="AC2422" s="87"/>
      <c r="AD2422" s="87"/>
      <c r="AE2422" s="87"/>
      <c r="AF2422" s="87"/>
      <c r="AG2422" s="87"/>
      <c r="AH2422" s="87">
        <v>35</v>
      </c>
      <c r="AI2422" s="87"/>
      <c r="AJ2422" s="87"/>
      <c r="AK2422" s="87"/>
      <c r="AL2422" s="87"/>
      <c r="AM2422" s="87"/>
      <c r="AN2422" s="87">
        <v>6</v>
      </c>
      <c r="AO2422" s="87">
        <v>5</v>
      </c>
      <c r="AP2422" s="87"/>
      <c r="AQ2422" s="87">
        <v>6</v>
      </c>
      <c r="AR2422" s="87">
        <v>1</v>
      </c>
      <c r="AS2422" s="87">
        <v>2</v>
      </c>
      <c r="AT2422" s="87"/>
      <c r="AU2422" s="87">
        <v>15</v>
      </c>
      <c r="AV2422" s="87"/>
      <c r="AW2422" s="88" t="str">
        <f>HYPERLINK("http://www.openstreetmap.org/?mlat=35.5398&amp;mlon=44.8236&amp;zoom=12#map=12/35.5398/44.8236","Maplink1")</f>
        <v>Maplink1</v>
      </c>
      <c r="AX2422" s="88" t="str">
        <f>HYPERLINK("https://www.google.iq/maps/search/+35.5398,44.8236/@35.5398,44.8236,14z?hl=en","Maplink2")</f>
        <v>Maplink2</v>
      </c>
      <c r="AY2422" s="88" t="str">
        <f>HYPERLINK("http://www.bing.com/maps/?lvl=14&amp;sty=h&amp;cp=35.5398~44.8236&amp;sp=point.35.5398_44.8236","Maplink3")</f>
        <v>Maplink3</v>
      </c>
      <c r="AZ2422" s="76"/>
    </row>
    <row r="2423" spans="1:52" x14ac:dyDescent="0.25">
      <c r="A2423" s="86">
        <v>4729</v>
      </c>
      <c r="B2423" s="87" t="s">
        <v>27</v>
      </c>
      <c r="C2423" s="87" t="s">
        <v>4641</v>
      </c>
      <c r="D2423" s="87" t="s">
        <v>4653</v>
      </c>
      <c r="E2423" s="87" t="s">
        <v>4654</v>
      </c>
      <c r="F2423" s="87">
        <v>35.780070500000001</v>
      </c>
      <c r="G2423" s="87">
        <v>44.877493999999999</v>
      </c>
      <c r="H2423" s="86">
        <v>6</v>
      </c>
      <c r="I2423" s="86">
        <v>36</v>
      </c>
      <c r="J2423" s="87">
        <v>1</v>
      </c>
      <c r="K2423" s="87"/>
      <c r="L2423" s="87"/>
      <c r="M2423" s="87"/>
      <c r="N2423" s="87"/>
      <c r="O2423" s="87"/>
      <c r="P2423" s="87"/>
      <c r="Q2423" s="87"/>
      <c r="R2423" s="87"/>
      <c r="S2423" s="87"/>
      <c r="T2423" s="87"/>
      <c r="U2423" s="87"/>
      <c r="V2423" s="87">
        <v>4</v>
      </c>
      <c r="W2423" s="87"/>
      <c r="X2423" s="87">
        <v>1</v>
      </c>
      <c r="Y2423" s="87"/>
      <c r="Z2423" s="87"/>
      <c r="AA2423" s="87"/>
      <c r="AB2423" s="87"/>
      <c r="AC2423" s="87"/>
      <c r="AD2423" s="87"/>
      <c r="AE2423" s="87"/>
      <c r="AF2423" s="87"/>
      <c r="AG2423" s="87"/>
      <c r="AH2423" s="87">
        <v>6</v>
      </c>
      <c r="AI2423" s="87"/>
      <c r="AJ2423" s="87"/>
      <c r="AK2423" s="87"/>
      <c r="AL2423" s="87"/>
      <c r="AM2423" s="87"/>
      <c r="AN2423" s="87"/>
      <c r="AO2423" s="87">
        <v>5</v>
      </c>
      <c r="AP2423" s="87"/>
      <c r="AQ2423" s="87"/>
      <c r="AR2423" s="87"/>
      <c r="AS2423" s="87">
        <v>1</v>
      </c>
      <c r="AT2423" s="87"/>
      <c r="AU2423" s="87"/>
      <c r="AV2423" s="87"/>
      <c r="AW2423" s="88" t="str">
        <f>HYPERLINK("http://www.openstreetmap.org/?mlat=35.7801&amp;mlon=44.8775&amp;zoom=12#map=12/35.7801/44.8775","Maplink1")</f>
        <v>Maplink1</v>
      </c>
      <c r="AX2423" s="88" t="str">
        <f>HYPERLINK("https://www.google.iq/maps/search/+35.7801,44.8775/@35.7801,44.8775,14z?hl=en","Maplink2")</f>
        <v>Maplink2</v>
      </c>
      <c r="AY2423" s="88" t="str">
        <f>HYPERLINK("http://www.bing.com/maps/?lvl=14&amp;sty=h&amp;cp=35.7801~44.8775&amp;sp=point.35.7801_44.8775","Maplink3")</f>
        <v>Maplink3</v>
      </c>
      <c r="AZ2423" s="76"/>
    </row>
    <row r="2424" spans="1:52" x14ac:dyDescent="0.25">
      <c r="A2424" s="86">
        <v>33300</v>
      </c>
      <c r="B2424" s="87" t="s">
        <v>27</v>
      </c>
      <c r="C2424" s="87" t="s">
        <v>4641</v>
      </c>
      <c r="D2424" s="87" t="s">
        <v>4655</v>
      </c>
      <c r="E2424" s="87" t="s">
        <v>4656</v>
      </c>
      <c r="F2424" s="87">
        <v>35.490030099999998</v>
      </c>
      <c r="G2424" s="87">
        <v>44.863018500000003</v>
      </c>
      <c r="H2424" s="86">
        <v>69</v>
      </c>
      <c r="I2424" s="86">
        <v>414</v>
      </c>
      <c r="J2424" s="87">
        <v>14</v>
      </c>
      <c r="K2424" s="87">
        <v>8</v>
      </c>
      <c r="L2424" s="87">
        <v>9</v>
      </c>
      <c r="M2424" s="87"/>
      <c r="N2424" s="87"/>
      <c r="O2424" s="87">
        <v>6</v>
      </c>
      <c r="P2424" s="87"/>
      <c r="Q2424" s="87"/>
      <c r="R2424" s="87"/>
      <c r="S2424" s="87"/>
      <c r="T2424" s="87"/>
      <c r="U2424" s="87"/>
      <c r="V2424" s="87">
        <v>19</v>
      </c>
      <c r="W2424" s="87"/>
      <c r="X2424" s="87">
        <v>13</v>
      </c>
      <c r="Y2424" s="87"/>
      <c r="Z2424" s="87"/>
      <c r="AA2424" s="87"/>
      <c r="AB2424" s="87"/>
      <c r="AC2424" s="87"/>
      <c r="AD2424" s="87"/>
      <c r="AE2424" s="87"/>
      <c r="AF2424" s="87"/>
      <c r="AG2424" s="87"/>
      <c r="AH2424" s="87">
        <v>69</v>
      </c>
      <c r="AI2424" s="87"/>
      <c r="AJ2424" s="87"/>
      <c r="AK2424" s="87"/>
      <c r="AL2424" s="87"/>
      <c r="AM2424" s="87"/>
      <c r="AN2424" s="87"/>
      <c r="AO2424" s="87">
        <v>15</v>
      </c>
      <c r="AP2424" s="87">
        <v>10</v>
      </c>
      <c r="AQ2424" s="87">
        <v>11</v>
      </c>
      <c r="AR2424" s="87">
        <v>6</v>
      </c>
      <c r="AS2424" s="87">
        <v>7</v>
      </c>
      <c r="AT2424" s="87">
        <v>4</v>
      </c>
      <c r="AU2424" s="87">
        <v>13</v>
      </c>
      <c r="AV2424" s="87">
        <v>3</v>
      </c>
      <c r="AW2424" s="88" t="str">
        <f>HYPERLINK("http://www.openstreetmap.org/?mlat=35.49&amp;mlon=44.863&amp;zoom=12#map=12/35.49/44.863","Maplink1")</f>
        <v>Maplink1</v>
      </c>
      <c r="AX2424" s="88" t="str">
        <f>HYPERLINK("https://www.google.iq/maps/search/+35.49,44.863/@35.49,44.863,14z?hl=en","Maplink2")</f>
        <v>Maplink2</v>
      </c>
      <c r="AY2424" s="88" t="str">
        <f>HYPERLINK("http://www.bing.com/maps/?lvl=14&amp;sty=h&amp;cp=35.49~44.863&amp;sp=point.35.49_44.863","Maplink3")</f>
        <v>Maplink3</v>
      </c>
      <c r="AZ2424" s="76"/>
    </row>
    <row r="2425" spans="1:52" x14ac:dyDescent="0.25">
      <c r="A2425" s="86">
        <v>25572</v>
      </c>
      <c r="B2425" s="87" t="s">
        <v>27</v>
      </c>
      <c r="C2425" s="87" t="s">
        <v>4641</v>
      </c>
      <c r="D2425" s="87" t="s">
        <v>4657</v>
      </c>
      <c r="E2425" s="87" t="s">
        <v>4658</v>
      </c>
      <c r="F2425" s="87">
        <v>35.509499099999999</v>
      </c>
      <c r="G2425" s="87">
        <v>44.831722200000002</v>
      </c>
      <c r="H2425" s="86">
        <v>4</v>
      </c>
      <c r="I2425" s="86">
        <v>24</v>
      </c>
      <c r="J2425" s="87"/>
      <c r="K2425" s="87"/>
      <c r="L2425" s="87">
        <v>1</v>
      </c>
      <c r="M2425" s="87"/>
      <c r="N2425" s="87"/>
      <c r="O2425" s="87"/>
      <c r="P2425" s="87"/>
      <c r="Q2425" s="87"/>
      <c r="R2425" s="87"/>
      <c r="S2425" s="87"/>
      <c r="T2425" s="87"/>
      <c r="U2425" s="87"/>
      <c r="V2425" s="87">
        <v>1</v>
      </c>
      <c r="W2425" s="87"/>
      <c r="X2425" s="87">
        <v>2</v>
      </c>
      <c r="Y2425" s="87"/>
      <c r="Z2425" s="87"/>
      <c r="AA2425" s="87"/>
      <c r="AB2425" s="87"/>
      <c r="AC2425" s="87"/>
      <c r="AD2425" s="87"/>
      <c r="AE2425" s="87"/>
      <c r="AF2425" s="87"/>
      <c r="AG2425" s="87"/>
      <c r="AH2425" s="87">
        <v>4</v>
      </c>
      <c r="AI2425" s="87"/>
      <c r="AJ2425" s="87"/>
      <c r="AK2425" s="87"/>
      <c r="AL2425" s="87"/>
      <c r="AM2425" s="87"/>
      <c r="AN2425" s="87"/>
      <c r="AO2425" s="87">
        <v>3</v>
      </c>
      <c r="AP2425" s="87"/>
      <c r="AQ2425" s="87">
        <v>1</v>
      </c>
      <c r="AR2425" s="87"/>
      <c r="AS2425" s="87"/>
      <c r="AT2425" s="87"/>
      <c r="AU2425" s="87"/>
      <c r="AV2425" s="87"/>
      <c r="AW2425" s="88" t="str">
        <f>HYPERLINK("http://www.openstreetmap.org/?mlat=35.5095&amp;mlon=44.8317&amp;zoom=12#map=12/35.5095/44.8317","Maplink1")</f>
        <v>Maplink1</v>
      </c>
      <c r="AX2425" s="88" t="str">
        <f>HYPERLINK("https://www.google.iq/maps/search/+35.5095,44.8317/@35.5095,44.8317,14z?hl=en","Maplink2")</f>
        <v>Maplink2</v>
      </c>
      <c r="AY2425" s="88" t="str">
        <f>HYPERLINK("http://www.bing.com/maps/?lvl=14&amp;sty=h&amp;cp=35.5095~44.8317&amp;sp=point.35.5095_44.8317","Maplink3")</f>
        <v>Maplink3</v>
      </c>
      <c r="AZ2425" s="76"/>
    </row>
    <row r="2426" spans="1:52" x14ac:dyDescent="0.25">
      <c r="A2426" s="86">
        <v>6013</v>
      </c>
      <c r="B2426" s="87" t="s">
        <v>27</v>
      </c>
      <c r="C2426" s="87" t="s">
        <v>4641</v>
      </c>
      <c r="D2426" s="87" t="s">
        <v>4659</v>
      </c>
      <c r="E2426" s="87" t="s">
        <v>4660</v>
      </c>
      <c r="F2426" s="87">
        <v>35.861690500000002</v>
      </c>
      <c r="G2426" s="87">
        <v>44.764240700000002</v>
      </c>
      <c r="H2426" s="86">
        <v>3</v>
      </c>
      <c r="I2426" s="86">
        <v>18</v>
      </c>
      <c r="J2426" s="87"/>
      <c r="K2426" s="87"/>
      <c r="L2426" s="87"/>
      <c r="M2426" s="87"/>
      <c r="N2426" s="87"/>
      <c r="O2426" s="87"/>
      <c r="P2426" s="87"/>
      <c r="Q2426" s="87"/>
      <c r="R2426" s="87"/>
      <c r="S2426" s="87"/>
      <c r="T2426" s="87"/>
      <c r="U2426" s="87"/>
      <c r="V2426" s="87">
        <v>1</v>
      </c>
      <c r="W2426" s="87"/>
      <c r="X2426" s="87">
        <v>2</v>
      </c>
      <c r="Y2426" s="87"/>
      <c r="Z2426" s="87"/>
      <c r="AA2426" s="87"/>
      <c r="AB2426" s="87"/>
      <c r="AC2426" s="87"/>
      <c r="AD2426" s="87"/>
      <c r="AE2426" s="87"/>
      <c r="AF2426" s="87"/>
      <c r="AG2426" s="87"/>
      <c r="AH2426" s="87">
        <v>3</v>
      </c>
      <c r="AI2426" s="87"/>
      <c r="AJ2426" s="87"/>
      <c r="AK2426" s="87"/>
      <c r="AL2426" s="87"/>
      <c r="AM2426" s="87"/>
      <c r="AN2426" s="87"/>
      <c r="AO2426" s="87"/>
      <c r="AP2426" s="87"/>
      <c r="AQ2426" s="87"/>
      <c r="AR2426" s="87"/>
      <c r="AS2426" s="87"/>
      <c r="AT2426" s="87"/>
      <c r="AU2426" s="87">
        <v>3</v>
      </c>
      <c r="AV2426" s="87"/>
      <c r="AW2426" s="88" t="str">
        <f>HYPERLINK("http://www.openstreetmap.org/?mlat=35.8617&amp;mlon=44.7642&amp;zoom=12#map=12/35.8617/44.7642","Maplink1")</f>
        <v>Maplink1</v>
      </c>
      <c r="AX2426" s="88" t="str">
        <f>HYPERLINK("https://www.google.iq/maps/search/+35.8617,44.7642/@35.8617,44.7642,14z?hl=en","Maplink2")</f>
        <v>Maplink2</v>
      </c>
      <c r="AY2426" s="88" t="str">
        <f>HYPERLINK("http://www.bing.com/maps/?lvl=14&amp;sty=h&amp;cp=35.8617~44.7642&amp;sp=point.35.8617_44.7642","Maplink3")</f>
        <v>Maplink3</v>
      </c>
      <c r="AZ2426" s="76"/>
    </row>
    <row r="2427" spans="1:52" x14ac:dyDescent="0.25">
      <c r="A2427" s="86">
        <v>6019</v>
      </c>
      <c r="B2427" s="87" t="s">
        <v>27</v>
      </c>
      <c r="C2427" s="87" t="s">
        <v>4641</v>
      </c>
      <c r="D2427" s="87" t="s">
        <v>4661</v>
      </c>
      <c r="E2427" s="87" t="s">
        <v>4662</v>
      </c>
      <c r="F2427" s="87">
        <v>35.871349500000001</v>
      </c>
      <c r="G2427" s="87">
        <v>44.712333700000002</v>
      </c>
      <c r="H2427" s="86">
        <v>12</v>
      </c>
      <c r="I2427" s="86">
        <v>72</v>
      </c>
      <c r="J2427" s="87">
        <v>1</v>
      </c>
      <c r="K2427" s="87"/>
      <c r="L2427" s="87">
        <v>4</v>
      </c>
      <c r="M2427" s="87"/>
      <c r="N2427" s="87"/>
      <c r="O2427" s="87"/>
      <c r="P2427" s="87"/>
      <c r="Q2427" s="87"/>
      <c r="R2427" s="87"/>
      <c r="S2427" s="87"/>
      <c r="T2427" s="87"/>
      <c r="U2427" s="87"/>
      <c r="V2427" s="87">
        <v>5</v>
      </c>
      <c r="W2427" s="87"/>
      <c r="X2427" s="87">
        <v>2</v>
      </c>
      <c r="Y2427" s="87"/>
      <c r="Z2427" s="87"/>
      <c r="AA2427" s="87"/>
      <c r="AB2427" s="87"/>
      <c r="AC2427" s="87"/>
      <c r="AD2427" s="87"/>
      <c r="AE2427" s="87"/>
      <c r="AF2427" s="87"/>
      <c r="AG2427" s="87"/>
      <c r="AH2427" s="87">
        <v>12</v>
      </c>
      <c r="AI2427" s="87"/>
      <c r="AJ2427" s="87"/>
      <c r="AK2427" s="87"/>
      <c r="AL2427" s="87"/>
      <c r="AM2427" s="87"/>
      <c r="AN2427" s="87"/>
      <c r="AO2427" s="87">
        <v>1</v>
      </c>
      <c r="AP2427" s="87">
        <v>3</v>
      </c>
      <c r="AQ2427" s="87">
        <v>5</v>
      </c>
      <c r="AR2427" s="87"/>
      <c r="AS2427" s="87"/>
      <c r="AT2427" s="87"/>
      <c r="AU2427" s="87">
        <v>3</v>
      </c>
      <c r="AV2427" s="87"/>
      <c r="AW2427" s="88" t="str">
        <f>HYPERLINK("http://www.openstreetmap.org/?mlat=35.8713&amp;mlon=44.7123&amp;zoom=12#map=12/35.8713/44.7123","Maplink1")</f>
        <v>Maplink1</v>
      </c>
      <c r="AX2427" s="88" t="str">
        <f>HYPERLINK("https://www.google.iq/maps/search/+35.8713,44.7123/@35.8713,44.7123,14z?hl=en","Maplink2")</f>
        <v>Maplink2</v>
      </c>
      <c r="AY2427" s="88" t="str">
        <f>HYPERLINK("http://www.bing.com/maps/?lvl=14&amp;sty=h&amp;cp=35.8713~44.7123&amp;sp=point.35.8713_44.7123","Maplink3")</f>
        <v>Maplink3</v>
      </c>
      <c r="AZ2427" s="76"/>
    </row>
    <row r="2428" spans="1:52" x14ac:dyDescent="0.25">
      <c r="A2428" s="86">
        <v>4770</v>
      </c>
      <c r="B2428" s="87" t="s">
        <v>27</v>
      </c>
      <c r="C2428" s="87" t="s">
        <v>4641</v>
      </c>
      <c r="D2428" s="87" t="s">
        <v>4663</v>
      </c>
      <c r="E2428" s="87" t="s">
        <v>4664</v>
      </c>
      <c r="F2428" s="87">
        <v>35.847867200000003</v>
      </c>
      <c r="G2428" s="87">
        <v>44.834502100000002</v>
      </c>
      <c r="H2428" s="86">
        <v>7</v>
      </c>
      <c r="I2428" s="86">
        <v>42</v>
      </c>
      <c r="J2428" s="87"/>
      <c r="K2428" s="87"/>
      <c r="L2428" s="87">
        <v>2</v>
      </c>
      <c r="M2428" s="87"/>
      <c r="N2428" s="87"/>
      <c r="O2428" s="87"/>
      <c r="P2428" s="87"/>
      <c r="Q2428" s="87"/>
      <c r="R2428" s="87"/>
      <c r="S2428" s="87"/>
      <c r="T2428" s="87"/>
      <c r="U2428" s="87"/>
      <c r="V2428" s="87">
        <v>2</v>
      </c>
      <c r="W2428" s="87"/>
      <c r="X2428" s="87">
        <v>3</v>
      </c>
      <c r="Y2428" s="87"/>
      <c r="Z2428" s="87"/>
      <c r="AA2428" s="87"/>
      <c r="AB2428" s="87"/>
      <c r="AC2428" s="87"/>
      <c r="AD2428" s="87"/>
      <c r="AE2428" s="87"/>
      <c r="AF2428" s="87"/>
      <c r="AG2428" s="87"/>
      <c r="AH2428" s="87">
        <v>7</v>
      </c>
      <c r="AI2428" s="87"/>
      <c r="AJ2428" s="87"/>
      <c r="AK2428" s="87"/>
      <c r="AL2428" s="87"/>
      <c r="AM2428" s="87"/>
      <c r="AN2428" s="87"/>
      <c r="AO2428" s="87">
        <v>2</v>
      </c>
      <c r="AP2428" s="87">
        <v>3</v>
      </c>
      <c r="AQ2428" s="87">
        <v>2</v>
      </c>
      <c r="AR2428" s="87"/>
      <c r="AS2428" s="87"/>
      <c r="AT2428" s="87"/>
      <c r="AU2428" s="87"/>
      <c r="AV2428" s="87"/>
      <c r="AW2428" s="88" t="str">
        <f>HYPERLINK("http://www.openstreetmap.org/?mlat=35.8479&amp;mlon=44.8345&amp;zoom=12#map=12/35.8479/44.8345","Maplink1")</f>
        <v>Maplink1</v>
      </c>
      <c r="AX2428" s="88" t="str">
        <f>HYPERLINK("https://www.google.iq/maps/search/+35.8479,44.8345/@35.8479,44.8345,14z?hl=en","Maplink2")</f>
        <v>Maplink2</v>
      </c>
      <c r="AY2428" s="88" t="str">
        <f>HYPERLINK("http://www.bing.com/maps/?lvl=14&amp;sty=h&amp;cp=35.8479~44.8345&amp;sp=point.35.8479_44.8345","Maplink3")</f>
        <v>Maplink3</v>
      </c>
      <c r="AZ2428" s="76"/>
    </row>
    <row r="2429" spans="1:52" x14ac:dyDescent="0.25">
      <c r="A2429" s="86">
        <v>23669</v>
      </c>
      <c r="B2429" s="87" t="s">
        <v>27</v>
      </c>
      <c r="C2429" s="87" t="s">
        <v>4641</v>
      </c>
      <c r="D2429" s="87" t="s">
        <v>4665</v>
      </c>
      <c r="E2429" s="87" t="s">
        <v>4666</v>
      </c>
      <c r="F2429" s="87">
        <v>35.626873699999997</v>
      </c>
      <c r="G2429" s="87">
        <v>44.9651462</v>
      </c>
      <c r="H2429" s="86">
        <v>55</v>
      </c>
      <c r="I2429" s="86">
        <v>330</v>
      </c>
      <c r="J2429" s="87">
        <v>8</v>
      </c>
      <c r="K2429" s="87"/>
      <c r="L2429" s="87">
        <v>15</v>
      </c>
      <c r="M2429" s="87"/>
      <c r="N2429" s="87"/>
      <c r="O2429" s="87">
        <v>5</v>
      </c>
      <c r="P2429" s="87"/>
      <c r="Q2429" s="87"/>
      <c r="R2429" s="87">
        <v>13</v>
      </c>
      <c r="S2429" s="87"/>
      <c r="T2429" s="87"/>
      <c r="U2429" s="87"/>
      <c r="V2429" s="87">
        <v>2</v>
      </c>
      <c r="W2429" s="87"/>
      <c r="X2429" s="87">
        <v>12</v>
      </c>
      <c r="Y2429" s="87"/>
      <c r="Z2429" s="87"/>
      <c r="AA2429" s="87"/>
      <c r="AB2429" s="87"/>
      <c r="AC2429" s="87"/>
      <c r="AD2429" s="87"/>
      <c r="AE2429" s="87"/>
      <c r="AF2429" s="87"/>
      <c r="AG2429" s="87"/>
      <c r="AH2429" s="87">
        <v>55</v>
      </c>
      <c r="AI2429" s="87"/>
      <c r="AJ2429" s="87"/>
      <c r="AK2429" s="87"/>
      <c r="AL2429" s="87"/>
      <c r="AM2429" s="87"/>
      <c r="AN2429" s="87">
        <v>3</v>
      </c>
      <c r="AO2429" s="87">
        <v>1</v>
      </c>
      <c r="AP2429" s="87">
        <v>4</v>
      </c>
      <c r="AQ2429" s="87">
        <v>7</v>
      </c>
      <c r="AR2429" s="87">
        <v>6</v>
      </c>
      <c r="AS2429" s="87">
        <v>10</v>
      </c>
      <c r="AT2429" s="87">
        <v>14</v>
      </c>
      <c r="AU2429" s="87">
        <v>7</v>
      </c>
      <c r="AV2429" s="87">
        <v>3</v>
      </c>
      <c r="AW2429" s="88" t="str">
        <f>HYPERLINK("http://www.openstreetmap.org/?mlat=35.6269&amp;mlon=44.9651&amp;zoom=12#map=12/35.6269/44.9651","Maplink1")</f>
        <v>Maplink1</v>
      </c>
      <c r="AX2429" s="88" t="str">
        <f>HYPERLINK("https://www.google.iq/maps/search/+35.6269,44.9651/@35.6269,44.9651,14z?hl=en","Maplink2")</f>
        <v>Maplink2</v>
      </c>
      <c r="AY2429" s="88" t="str">
        <f>HYPERLINK("http://www.bing.com/maps/?lvl=14&amp;sty=h&amp;cp=35.6269~44.9651&amp;sp=point.35.6269_44.9651","Maplink3")</f>
        <v>Maplink3</v>
      </c>
      <c r="AZ2429" s="76"/>
    </row>
    <row r="2430" spans="1:52" x14ac:dyDescent="0.25">
      <c r="A2430" s="86">
        <v>24686</v>
      </c>
      <c r="B2430" s="87" t="s">
        <v>27</v>
      </c>
      <c r="C2430" s="87" t="s">
        <v>4641</v>
      </c>
      <c r="D2430" s="87" t="s">
        <v>4667</v>
      </c>
      <c r="E2430" s="87" t="s">
        <v>2668</v>
      </c>
      <c r="F2430" s="87">
        <v>35.631567799999999</v>
      </c>
      <c r="G2430" s="87">
        <v>44.963151199999999</v>
      </c>
      <c r="H2430" s="86">
        <v>1</v>
      </c>
      <c r="I2430" s="86">
        <v>6</v>
      </c>
      <c r="J2430" s="87"/>
      <c r="K2430" s="87"/>
      <c r="L2430" s="87"/>
      <c r="M2430" s="87"/>
      <c r="N2430" s="87"/>
      <c r="O2430" s="87"/>
      <c r="P2430" s="87"/>
      <c r="Q2430" s="87"/>
      <c r="R2430" s="87">
        <v>1</v>
      </c>
      <c r="S2430" s="87"/>
      <c r="T2430" s="87"/>
      <c r="U2430" s="87"/>
      <c r="V2430" s="87"/>
      <c r="W2430" s="87"/>
      <c r="X2430" s="87"/>
      <c r="Y2430" s="87"/>
      <c r="Z2430" s="87"/>
      <c r="AA2430" s="87"/>
      <c r="AB2430" s="87"/>
      <c r="AC2430" s="87"/>
      <c r="AD2430" s="87"/>
      <c r="AE2430" s="87"/>
      <c r="AF2430" s="87"/>
      <c r="AG2430" s="87"/>
      <c r="AH2430" s="87">
        <v>1</v>
      </c>
      <c r="AI2430" s="87"/>
      <c r="AJ2430" s="87"/>
      <c r="AK2430" s="87"/>
      <c r="AL2430" s="87"/>
      <c r="AM2430" s="87"/>
      <c r="AN2430" s="87"/>
      <c r="AO2430" s="87"/>
      <c r="AP2430" s="87"/>
      <c r="AQ2430" s="87"/>
      <c r="AR2430" s="87"/>
      <c r="AS2430" s="87"/>
      <c r="AT2430" s="87"/>
      <c r="AU2430" s="87">
        <v>1</v>
      </c>
      <c r="AV2430" s="87"/>
      <c r="AW2430" s="88" t="str">
        <f>HYPERLINK("http://www.openstreetmap.org/?mlat=35.6316&amp;mlon=44.9632&amp;zoom=12#map=12/35.6316/44.9632","Maplink1")</f>
        <v>Maplink1</v>
      </c>
      <c r="AX2430" s="88" t="str">
        <f>HYPERLINK("https://www.google.iq/maps/search/+35.6316,44.9632/@35.6316,44.9632,14z?hl=en","Maplink2")</f>
        <v>Maplink2</v>
      </c>
      <c r="AY2430" s="88" t="str">
        <f>HYPERLINK("http://www.bing.com/maps/?lvl=14&amp;sty=h&amp;cp=35.6316~44.9632&amp;sp=point.35.6316_44.9632","Maplink3")</f>
        <v>Maplink3</v>
      </c>
      <c r="AZ2430" s="76"/>
    </row>
    <row r="2431" spans="1:52" x14ac:dyDescent="0.25">
      <c r="A2431" s="86">
        <v>3461</v>
      </c>
      <c r="B2431" s="87" t="s">
        <v>27</v>
      </c>
      <c r="C2431" s="87" t="s">
        <v>4641</v>
      </c>
      <c r="D2431" s="87" t="s">
        <v>4668</v>
      </c>
      <c r="E2431" s="87" t="s">
        <v>4669</v>
      </c>
      <c r="F2431" s="87">
        <v>35.403840199999998</v>
      </c>
      <c r="G2431" s="87">
        <v>45.118067500000002</v>
      </c>
      <c r="H2431" s="86">
        <v>6</v>
      </c>
      <c r="I2431" s="86">
        <v>36</v>
      </c>
      <c r="J2431" s="87"/>
      <c r="K2431" s="87"/>
      <c r="L2431" s="87"/>
      <c r="M2431" s="87"/>
      <c r="N2431" s="87"/>
      <c r="O2431" s="87">
        <v>3</v>
      </c>
      <c r="P2431" s="87"/>
      <c r="Q2431" s="87"/>
      <c r="R2431" s="87"/>
      <c r="S2431" s="87"/>
      <c r="T2431" s="87"/>
      <c r="U2431" s="87"/>
      <c r="V2431" s="87">
        <v>2</v>
      </c>
      <c r="W2431" s="87"/>
      <c r="X2431" s="87">
        <v>1</v>
      </c>
      <c r="Y2431" s="87"/>
      <c r="Z2431" s="87"/>
      <c r="AA2431" s="87"/>
      <c r="AB2431" s="87"/>
      <c r="AC2431" s="87"/>
      <c r="AD2431" s="87"/>
      <c r="AE2431" s="87"/>
      <c r="AF2431" s="87"/>
      <c r="AG2431" s="87"/>
      <c r="AH2431" s="87">
        <v>6</v>
      </c>
      <c r="AI2431" s="87"/>
      <c r="AJ2431" s="87"/>
      <c r="AK2431" s="87"/>
      <c r="AL2431" s="87"/>
      <c r="AM2431" s="87"/>
      <c r="AN2431" s="87"/>
      <c r="AO2431" s="87"/>
      <c r="AP2431" s="87"/>
      <c r="AQ2431" s="87"/>
      <c r="AR2431" s="87">
        <v>4</v>
      </c>
      <c r="AS2431" s="87"/>
      <c r="AT2431" s="87">
        <v>1</v>
      </c>
      <c r="AU2431" s="87">
        <v>1</v>
      </c>
      <c r="AV2431" s="87"/>
      <c r="AW2431" s="88" t="str">
        <f>HYPERLINK("http://www.openstreetmap.org/?mlat=35.4038&amp;mlon=45.1181&amp;zoom=12#map=12/35.4038/45.1181","Maplink1")</f>
        <v>Maplink1</v>
      </c>
      <c r="AX2431" s="88" t="str">
        <f>HYPERLINK("https://www.google.iq/maps/search/+35.4038,45.1181/@35.4038,45.1181,14z?hl=en","Maplink2")</f>
        <v>Maplink2</v>
      </c>
      <c r="AY2431" s="88" t="str">
        <f>HYPERLINK("http://www.bing.com/maps/?lvl=14&amp;sty=h&amp;cp=35.4038~45.1181&amp;sp=point.35.4038_45.1181","Maplink3")</f>
        <v>Maplink3</v>
      </c>
      <c r="AZ2431" s="76"/>
    </row>
    <row r="2432" spans="1:52" x14ac:dyDescent="0.25">
      <c r="A2432" s="86">
        <v>3424</v>
      </c>
      <c r="B2432" s="87" t="s">
        <v>27</v>
      </c>
      <c r="C2432" s="87" t="s">
        <v>4641</v>
      </c>
      <c r="D2432" s="87" t="s">
        <v>4670</v>
      </c>
      <c r="E2432" s="87" t="s">
        <v>4671</v>
      </c>
      <c r="F2432" s="87">
        <v>35.163739399999997</v>
      </c>
      <c r="G2432" s="87">
        <v>45.161255799999999</v>
      </c>
      <c r="H2432" s="86">
        <v>2</v>
      </c>
      <c r="I2432" s="86">
        <v>12</v>
      </c>
      <c r="J2432" s="87"/>
      <c r="K2432" s="87"/>
      <c r="L2432" s="87"/>
      <c r="M2432" s="87"/>
      <c r="N2432" s="87"/>
      <c r="O2432" s="87">
        <v>2</v>
      </c>
      <c r="P2432" s="87"/>
      <c r="Q2432" s="87"/>
      <c r="R2432" s="87"/>
      <c r="S2432" s="87"/>
      <c r="T2432" s="87"/>
      <c r="U2432" s="87"/>
      <c r="V2432" s="87"/>
      <c r="W2432" s="87"/>
      <c r="X2432" s="87"/>
      <c r="Y2432" s="87"/>
      <c r="Z2432" s="87"/>
      <c r="AA2432" s="87"/>
      <c r="AB2432" s="87"/>
      <c r="AC2432" s="87"/>
      <c r="AD2432" s="87"/>
      <c r="AE2432" s="87"/>
      <c r="AF2432" s="87"/>
      <c r="AG2432" s="87"/>
      <c r="AH2432" s="87">
        <v>2</v>
      </c>
      <c r="AI2432" s="87"/>
      <c r="AJ2432" s="87"/>
      <c r="AK2432" s="87"/>
      <c r="AL2432" s="87"/>
      <c r="AM2432" s="87"/>
      <c r="AN2432" s="87"/>
      <c r="AO2432" s="87"/>
      <c r="AP2432" s="87"/>
      <c r="AQ2432" s="87">
        <v>1</v>
      </c>
      <c r="AR2432" s="87">
        <v>1</v>
      </c>
      <c r="AS2432" s="87"/>
      <c r="AT2432" s="87"/>
      <c r="AU2432" s="87"/>
      <c r="AV2432" s="87"/>
      <c r="AW2432" s="88" t="str">
        <f>HYPERLINK("http://www.openstreetmap.org/?mlat=35.1637&amp;mlon=45.1613&amp;zoom=12#map=12/35.1637/45.1613","Maplink1")</f>
        <v>Maplink1</v>
      </c>
      <c r="AX2432" s="88" t="str">
        <f>HYPERLINK("https://www.google.iq/maps/search/+35.1637,45.1613/@35.1637,45.1613,14z?hl=en","Maplink2")</f>
        <v>Maplink2</v>
      </c>
      <c r="AY2432" s="88" t="str">
        <f>HYPERLINK("http://www.bing.com/maps/?lvl=14&amp;sty=h&amp;cp=35.1637~45.1613&amp;sp=point.35.1637_45.1613","Maplink3")</f>
        <v>Maplink3</v>
      </c>
      <c r="AZ2432" s="76"/>
    </row>
    <row r="2433" spans="1:52" x14ac:dyDescent="0.25">
      <c r="A2433" s="86">
        <v>4797</v>
      </c>
      <c r="B2433" s="87" t="s">
        <v>27</v>
      </c>
      <c r="C2433" s="87" t="s">
        <v>4641</v>
      </c>
      <c r="D2433" s="87" t="s">
        <v>4672</v>
      </c>
      <c r="E2433" s="87" t="s">
        <v>4673</v>
      </c>
      <c r="F2433" s="87">
        <v>35.183745999999999</v>
      </c>
      <c r="G2433" s="87">
        <v>45.324899100000003</v>
      </c>
      <c r="H2433" s="86">
        <v>39</v>
      </c>
      <c r="I2433" s="86">
        <v>234</v>
      </c>
      <c r="J2433" s="87"/>
      <c r="K2433" s="87"/>
      <c r="L2433" s="87">
        <v>2</v>
      </c>
      <c r="M2433" s="87"/>
      <c r="N2433" s="87"/>
      <c r="O2433" s="87">
        <v>13</v>
      </c>
      <c r="P2433" s="87"/>
      <c r="Q2433" s="87"/>
      <c r="R2433" s="87"/>
      <c r="S2433" s="87"/>
      <c r="T2433" s="87"/>
      <c r="U2433" s="87"/>
      <c r="V2433" s="87">
        <v>19</v>
      </c>
      <c r="W2433" s="87"/>
      <c r="X2433" s="87">
        <v>5</v>
      </c>
      <c r="Y2433" s="87"/>
      <c r="Z2433" s="87"/>
      <c r="AA2433" s="87"/>
      <c r="AB2433" s="87"/>
      <c r="AC2433" s="87"/>
      <c r="AD2433" s="87"/>
      <c r="AE2433" s="87"/>
      <c r="AF2433" s="87"/>
      <c r="AG2433" s="87"/>
      <c r="AH2433" s="87">
        <v>39</v>
      </c>
      <c r="AI2433" s="87"/>
      <c r="AJ2433" s="87"/>
      <c r="AK2433" s="87"/>
      <c r="AL2433" s="87"/>
      <c r="AM2433" s="87"/>
      <c r="AN2433" s="87"/>
      <c r="AO2433" s="87">
        <v>5</v>
      </c>
      <c r="AP2433" s="87">
        <v>3</v>
      </c>
      <c r="AQ2433" s="87">
        <v>9</v>
      </c>
      <c r="AR2433" s="87">
        <v>4</v>
      </c>
      <c r="AS2433" s="87">
        <v>2</v>
      </c>
      <c r="AT2433" s="87">
        <v>2</v>
      </c>
      <c r="AU2433" s="87">
        <v>12</v>
      </c>
      <c r="AV2433" s="87">
        <v>2</v>
      </c>
      <c r="AW2433" s="88" t="str">
        <f>HYPERLINK("http://www.openstreetmap.org/?mlat=35.1837&amp;mlon=45.3249&amp;zoom=12#map=12/35.1837/45.3249","Maplink1")</f>
        <v>Maplink1</v>
      </c>
      <c r="AX2433" s="88" t="str">
        <f>HYPERLINK("https://www.google.iq/maps/search/+35.1837,45.3249/@35.1837,45.3249,14z?hl=en","Maplink2")</f>
        <v>Maplink2</v>
      </c>
      <c r="AY2433" s="88" t="str">
        <f>HYPERLINK("http://www.bing.com/maps/?lvl=14&amp;sty=h&amp;cp=35.1837~45.3249&amp;sp=point.35.1837_45.3249","Maplink3")</f>
        <v>Maplink3</v>
      </c>
      <c r="AZ2433" s="76"/>
    </row>
    <row r="2434" spans="1:52" x14ac:dyDescent="0.25">
      <c r="A2434" s="86">
        <v>4805</v>
      </c>
      <c r="B2434" s="87" t="s">
        <v>27</v>
      </c>
      <c r="C2434" s="87" t="s">
        <v>4641</v>
      </c>
      <c r="D2434" s="87" t="s">
        <v>4674</v>
      </c>
      <c r="E2434" s="87" t="s">
        <v>4675</v>
      </c>
      <c r="F2434" s="87">
        <v>35.812356800000003</v>
      </c>
      <c r="G2434" s="87">
        <v>44.797072399999998</v>
      </c>
      <c r="H2434" s="86">
        <v>3</v>
      </c>
      <c r="I2434" s="86">
        <v>18</v>
      </c>
      <c r="J2434" s="87"/>
      <c r="K2434" s="87"/>
      <c r="L2434" s="87"/>
      <c r="M2434" s="87"/>
      <c r="N2434" s="87"/>
      <c r="O2434" s="87"/>
      <c r="P2434" s="87"/>
      <c r="Q2434" s="87"/>
      <c r="R2434" s="87"/>
      <c r="S2434" s="87"/>
      <c r="T2434" s="87"/>
      <c r="U2434" s="87"/>
      <c r="V2434" s="87">
        <v>3</v>
      </c>
      <c r="W2434" s="87"/>
      <c r="X2434" s="87"/>
      <c r="Y2434" s="87"/>
      <c r="Z2434" s="87"/>
      <c r="AA2434" s="87"/>
      <c r="AB2434" s="87"/>
      <c r="AC2434" s="87"/>
      <c r="AD2434" s="87"/>
      <c r="AE2434" s="87"/>
      <c r="AF2434" s="87"/>
      <c r="AG2434" s="87"/>
      <c r="AH2434" s="87">
        <v>3</v>
      </c>
      <c r="AI2434" s="87"/>
      <c r="AJ2434" s="87"/>
      <c r="AK2434" s="87"/>
      <c r="AL2434" s="87"/>
      <c r="AM2434" s="87"/>
      <c r="AN2434" s="87"/>
      <c r="AO2434" s="87">
        <v>2</v>
      </c>
      <c r="AP2434" s="87"/>
      <c r="AQ2434" s="87"/>
      <c r="AR2434" s="87"/>
      <c r="AS2434" s="87"/>
      <c r="AT2434" s="87"/>
      <c r="AU2434" s="87"/>
      <c r="AV2434" s="87">
        <v>1</v>
      </c>
      <c r="AW2434" s="88" t="str">
        <f>HYPERLINK("http://www.openstreetmap.org/?mlat=35.8124&amp;mlon=44.7971&amp;zoom=12#map=12/35.8124/44.7971","Maplink1")</f>
        <v>Maplink1</v>
      </c>
      <c r="AX2434" s="88" t="str">
        <f>HYPERLINK("https://www.google.iq/maps/search/+35.8124,44.7971/@35.8124,44.7971,14z?hl=en","Maplink2")</f>
        <v>Maplink2</v>
      </c>
      <c r="AY2434" s="88" t="str">
        <f>HYPERLINK("http://www.bing.com/maps/?lvl=14&amp;sty=h&amp;cp=35.8124~44.7971&amp;sp=point.35.8124_44.7971","Maplink3")</f>
        <v>Maplink3</v>
      </c>
      <c r="AZ2434" s="76"/>
    </row>
    <row r="2435" spans="1:52" x14ac:dyDescent="0.25">
      <c r="A2435" s="86">
        <v>4809</v>
      </c>
      <c r="B2435" s="87" t="s">
        <v>27</v>
      </c>
      <c r="C2435" s="87" t="s">
        <v>4641</v>
      </c>
      <c r="D2435" s="87" t="s">
        <v>4676</v>
      </c>
      <c r="E2435" s="87" t="s">
        <v>4677</v>
      </c>
      <c r="F2435" s="87">
        <v>35.126878599999998</v>
      </c>
      <c r="G2435" s="87">
        <v>45.242234099999997</v>
      </c>
      <c r="H2435" s="86">
        <v>7</v>
      </c>
      <c r="I2435" s="86">
        <v>42</v>
      </c>
      <c r="J2435" s="87"/>
      <c r="K2435" s="87"/>
      <c r="L2435" s="87"/>
      <c r="M2435" s="87"/>
      <c r="N2435" s="87"/>
      <c r="O2435" s="87">
        <v>1</v>
      </c>
      <c r="P2435" s="87"/>
      <c r="Q2435" s="87"/>
      <c r="R2435" s="87"/>
      <c r="S2435" s="87"/>
      <c r="T2435" s="87"/>
      <c r="U2435" s="87"/>
      <c r="V2435" s="87">
        <v>6</v>
      </c>
      <c r="W2435" s="87"/>
      <c r="X2435" s="87"/>
      <c r="Y2435" s="87"/>
      <c r="Z2435" s="87"/>
      <c r="AA2435" s="87"/>
      <c r="AB2435" s="87"/>
      <c r="AC2435" s="87"/>
      <c r="AD2435" s="87"/>
      <c r="AE2435" s="87"/>
      <c r="AF2435" s="87"/>
      <c r="AG2435" s="87"/>
      <c r="AH2435" s="87">
        <v>7</v>
      </c>
      <c r="AI2435" s="87"/>
      <c r="AJ2435" s="87"/>
      <c r="AK2435" s="87"/>
      <c r="AL2435" s="87"/>
      <c r="AM2435" s="87"/>
      <c r="AN2435" s="87"/>
      <c r="AO2435" s="87">
        <v>2</v>
      </c>
      <c r="AP2435" s="87">
        <v>1</v>
      </c>
      <c r="AQ2435" s="87">
        <v>1</v>
      </c>
      <c r="AR2435" s="87"/>
      <c r="AS2435" s="87"/>
      <c r="AT2435" s="87"/>
      <c r="AU2435" s="87">
        <v>3</v>
      </c>
      <c r="AV2435" s="87"/>
      <c r="AW2435" s="88" t="str">
        <f>HYPERLINK("http://www.openstreetmap.org/?mlat=35.1269&amp;mlon=45.2422&amp;zoom=12#map=12/35.1269/45.2422","Maplink1")</f>
        <v>Maplink1</v>
      </c>
      <c r="AX2435" s="88" t="str">
        <f>HYPERLINK("https://www.google.iq/maps/search/+35.1269,45.2422/@35.1269,45.2422,14z?hl=en","Maplink2")</f>
        <v>Maplink2</v>
      </c>
      <c r="AY2435" s="88" t="str">
        <f>HYPERLINK("http://www.bing.com/maps/?lvl=14&amp;sty=h&amp;cp=35.1269~45.2422&amp;sp=point.35.1269_45.2422","Maplink3")</f>
        <v>Maplink3</v>
      </c>
      <c r="AZ2435" s="76"/>
    </row>
    <row r="2436" spans="1:52" x14ac:dyDescent="0.25">
      <c r="A2436" s="86">
        <v>24216</v>
      </c>
      <c r="B2436" s="87" t="s">
        <v>27</v>
      </c>
      <c r="C2436" s="87" t="s">
        <v>4641</v>
      </c>
      <c r="D2436" s="87" t="s">
        <v>4678</v>
      </c>
      <c r="E2436" s="87" t="s">
        <v>4679</v>
      </c>
      <c r="F2436" s="87">
        <v>35.521222199999997</v>
      </c>
      <c r="G2436" s="87">
        <v>44.835763800000002</v>
      </c>
      <c r="H2436" s="86">
        <v>56</v>
      </c>
      <c r="I2436" s="86">
        <v>336</v>
      </c>
      <c r="J2436" s="87">
        <v>15</v>
      </c>
      <c r="K2436" s="87">
        <v>1</v>
      </c>
      <c r="L2436" s="87">
        <v>4</v>
      </c>
      <c r="M2436" s="87"/>
      <c r="N2436" s="87"/>
      <c r="O2436" s="87">
        <v>1</v>
      </c>
      <c r="P2436" s="87"/>
      <c r="Q2436" s="87"/>
      <c r="R2436" s="87">
        <v>9</v>
      </c>
      <c r="S2436" s="87"/>
      <c r="T2436" s="87"/>
      <c r="U2436" s="87"/>
      <c r="V2436" s="87">
        <v>9</v>
      </c>
      <c r="W2436" s="87"/>
      <c r="X2436" s="87">
        <v>17</v>
      </c>
      <c r="Y2436" s="87"/>
      <c r="Z2436" s="87"/>
      <c r="AA2436" s="87"/>
      <c r="AB2436" s="87"/>
      <c r="AC2436" s="87"/>
      <c r="AD2436" s="87"/>
      <c r="AE2436" s="87"/>
      <c r="AF2436" s="87"/>
      <c r="AG2436" s="87"/>
      <c r="AH2436" s="87">
        <v>55</v>
      </c>
      <c r="AI2436" s="87"/>
      <c r="AJ2436" s="87"/>
      <c r="AK2436" s="87"/>
      <c r="AL2436" s="87">
        <v>1</v>
      </c>
      <c r="AM2436" s="87"/>
      <c r="AN2436" s="87">
        <v>2</v>
      </c>
      <c r="AO2436" s="87">
        <v>14</v>
      </c>
      <c r="AP2436" s="87">
        <v>9</v>
      </c>
      <c r="AQ2436" s="87">
        <v>8</v>
      </c>
      <c r="AR2436" s="87">
        <v>5</v>
      </c>
      <c r="AS2436" s="87">
        <v>2</v>
      </c>
      <c r="AT2436" s="87"/>
      <c r="AU2436" s="87">
        <v>16</v>
      </c>
      <c r="AV2436" s="87"/>
      <c r="AW2436" s="88" t="str">
        <f>HYPERLINK("http://www.openstreetmap.org/?mlat=35.5212&amp;mlon=44.8358&amp;zoom=12#map=12/35.5212/44.8358","Maplink1")</f>
        <v>Maplink1</v>
      </c>
      <c r="AX2436" s="88" t="str">
        <f>HYPERLINK("https://www.google.iq/maps/search/+35.5212,44.8358/@35.5212,44.8358,14z?hl=en","Maplink2")</f>
        <v>Maplink2</v>
      </c>
      <c r="AY2436" s="88" t="str">
        <f>HYPERLINK("http://www.bing.com/maps/?lvl=14&amp;sty=h&amp;cp=35.5212~44.8358&amp;sp=point.35.5212_44.8358","Maplink3")</f>
        <v>Maplink3</v>
      </c>
      <c r="AZ2436" s="76"/>
    </row>
    <row r="2437" spans="1:52" x14ac:dyDescent="0.25">
      <c r="A2437" s="86">
        <v>31935</v>
      </c>
      <c r="B2437" s="87" t="s">
        <v>27</v>
      </c>
      <c r="C2437" s="87" t="s">
        <v>4641</v>
      </c>
      <c r="D2437" s="87" t="s">
        <v>4680</v>
      </c>
      <c r="E2437" s="87" t="s">
        <v>4681</v>
      </c>
      <c r="F2437" s="87">
        <v>35.3507794</v>
      </c>
      <c r="G2437" s="87">
        <v>45.164709899999998</v>
      </c>
      <c r="H2437" s="86">
        <v>5</v>
      </c>
      <c r="I2437" s="86">
        <v>30</v>
      </c>
      <c r="J2437" s="87"/>
      <c r="K2437" s="87"/>
      <c r="L2437" s="87"/>
      <c r="M2437" s="87"/>
      <c r="N2437" s="87"/>
      <c r="O2437" s="87">
        <v>1</v>
      </c>
      <c r="P2437" s="87"/>
      <c r="Q2437" s="87"/>
      <c r="R2437" s="87"/>
      <c r="S2437" s="87"/>
      <c r="T2437" s="87"/>
      <c r="U2437" s="87"/>
      <c r="V2437" s="87">
        <v>4</v>
      </c>
      <c r="W2437" s="87"/>
      <c r="X2437" s="87"/>
      <c r="Y2437" s="87"/>
      <c r="Z2437" s="87"/>
      <c r="AA2437" s="87"/>
      <c r="AB2437" s="87"/>
      <c r="AC2437" s="87"/>
      <c r="AD2437" s="87"/>
      <c r="AE2437" s="87"/>
      <c r="AF2437" s="87"/>
      <c r="AG2437" s="87"/>
      <c r="AH2437" s="87">
        <v>5</v>
      </c>
      <c r="AI2437" s="87"/>
      <c r="AJ2437" s="87"/>
      <c r="AK2437" s="87"/>
      <c r="AL2437" s="87"/>
      <c r="AM2437" s="87"/>
      <c r="AN2437" s="87"/>
      <c r="AO2437" s="87"/>
      <c r="AP2437" s="87"/>
      <c r="AQ2437" s="87"/>
      <c r="AR2437" s="87"/>
      <c r="AS2437" s="87">
        <v>2</v>
      </c>
      <c r="AT2437" s="87">
        <v>3</v>
      </c>
      <c r="AU2437" s="87"/>
      <c r="AV2437" s="87"/>
      <c r="AW2437" s="88" t="str">
        <f>HYPERLINK("http://www.openstreetmap.org/?mlat=35.3508&amp;mlon=45.1647&amp;zoom=12#map=12/35.3508/45.1647","Maplink1")</f>
        <v>Maplink1</v>
      </c>
      <c r="AX2437" s="88" t="str">
        <f>HYPERLINK("https://www.google.iq/maps/search/+35.3508,45.1647/@35.3508,45.1647,14z?hl=en","Maplink2")</f>
        <v>Maplink2</v>
      </c>
      <c r="AY2437" s="88" t="str">
        <f>HYPERLINK("http://www.bing.com/maps/?lvl=14&amp;sty=h&amp;cp=35.3508~45.1647&amp;sp=point.35.3508_45.1647","Maplink3")</f>
        <v>Maplink3</v>
      </c>
      <c r="AZ2437" s="76"/>
    </row>
    <row r="2438" spans="1:52" x14ac:dyDescent="0.25">
      <c r="A2438" s="86">
        <v>3513</v>
      </c>
      <c r="B2438" s="87" t="s">
        <v>27</v>
      </c>
      <c r="C2438" s="87" t="s">
        <v>4641</v>
      </c>
      <c r="D2438" s="87" t="s">
        <v>4682</v>
      </c>
      <c r="E2438" s="87" t="s">
        <v>4683</v>
      </c>
      <c r="F2438" s="87">
        <v>35.693425599999998</v>
      </c>
      <c r="G2438" s="87">
        <v>44.891348299999997</v>
      </c>
      <c r="H2438" s="86">
        <v>4</v>
      </c>
      <c r="I2438" s="86">
        <v>24</v>
      </c>
      <c r="J2438" s="87"/>
      <c r="K2438" s="87"/>
      <c r="L2438" s="87"/>
      <c r="M2438" s="87"/>
      <c r="N2438" s="87"/>
      <c r="O2438" s="87"/>
      <c r="P2438" s="87"/>
      <c r="Q2438" s="87"/>
      <c r="R2438" s="87"/>
      <c r="S2438" s="87"/>
      <c r="T2438" s="87"/>
      <c r="U2438" s="87"/>
      <c r="V2438" s="87">
        <v>2</v>
      </c>
      <c r="W2438" s="87"/>
      <c r="X2438" s="87">
        <v>2</v>
      </c>
      <c r="Y2438" s="87"/>
      <c r="Z2438" s="87"/>
      <c r="AA2438" s="87"/>
      <c r="AB2438" s="87"/>
      <c r="AC2438" s="87"/>
      <c r="AD2438" s="87"/>
      <c r="AE2438" s="87"/>
      <c r="AF2438" s="87"/>
      <c r="AG2438" s="87"/>
      <c r="AH2438" s="87">
        <v>4</v>
      </c>
      <c r="AI2438" s="87"/>
      <c r="AJ2438" s="87"/>
      <c r="AK2438" s="87"/>
      <c r="AL2438" s="87"/>
      <c r="AM2438" s="87"/>
      <c r="AN2438" s="87"/>
      <c r="AO2438" s="87">
        <v>4</v>
      </c>
      <c r="AP2438" s="87"/>
      <c r="AQ2438" s="87"/>
      <c r="AR2438" s="87"/>
      <c r="AS2438" s="87"/>
      <c r="AT2438" s="87"/>
      <c r="AU2438" s="87"/>
      <c r="AV2438" s="87"/>
      <c r="AW2438" s="88" t="str">
        <f>HYPERLINK("http://www.openstreetmap.org/?mlat=35.6934&amp;mlon=44.8913&amp;zoom=12#map=12/35.6934/44.8913","Maplink1")</f>
        <v>Maplink1</v>
      </c>
      <c r="AX2438" s="88" t="str">
        <f>HYPERLINK("https://www.google.iq/maps/search/+35.6934,44.8913/@35.6934,44.8913,14z?hl=en","Maplink2")</f>
        <v>Maplink2</v>
      </c>
      <c r="AY2438" s="88" t="str">
        <f>HYPERLINK("http://www.bing.com/maps/?lvl=14&amp;sty=h&amp;cp=35.6934~44.8913&amp;sp=point.35.6934_44.8913","Maplink3")</f>
        <v>Maplink3</v>
      </c>
      <c r="AZ2438" s="76"/>
    </row>
    <row r="2439" spans="1:52" x14ac:dyDescent="0.25">
      <c r="A2439" s="86">
        <v>3519</v>
      </c>
      <c r="B2439" s="87" t="s">
        <v>27</v>
      </c>
      <c r="C2439" s="87" t="s">
        <v>4641</v>
      </c>
      <c r="D2439" s="87" t="s">
        <v>4684</v>
      </c>
      <c r="E2439" s="87" t="s">
        <v>4685</v>
      </c>
      <c r="F2439" s="87">
        <v>35.683880299999998</v>
      </c>
      <c r="G2439" s="87">
        <v>44.965043299999998</v>
      </c>
      <c r="H2439" s="86">
        <v>9</v>
      </c>
      <c r="I2439" s="86">
        <v>54</v>
      </c>
      <c r="J2439" s="87"/>
      <c r="K2439" s="87">
        <v>1</v>
      </c>
      <c r="L2439" s="87"/>
      <c r="M2439" s="87"/>
      <c r="N2439" s="87"/>
      <c r="O2439" s="87">
        <v>1</v>
      </c>
      <c r="P2439" s="87"/>
      <c r="Q2439" s="87"/>
      <c r="R2439" s="87"/>
      <c r="S2439" s="87"/>
      <c r="T2439" s="87"/>
      <c r="U2439" s="87"/>
      <c r="V2439" s="87">
        <v>2</v>
      </c>
      <c r="W2439" s="87"/>
      <c r="X2439" s="87">
        <v>5</v>
      </c>
      <c r="Y2439" s="87"/>
      <c r="Z2439" s="87"/>
      <c r="AA2439" s="87"/>
      <c r="AB2439" s="87"/>
      <c r="AC2439" s="87"/>
      <c r="AD2439" s="87"/>
      <c r="AE2439" s="87"/>
      <c r="AF2439" s="87"/>
      <c r="AG2439" s="87"/>
      <c r="AH2439" s="87">
        <v>9</v>
      </c>
      <c r="AI2439" s="87"/>
      <c r="AJ2439" s="87"/>
      <c r="AK2439" s="87"/>
      <c r="AL2439" s="87"/>
      <c r="AM2439" s="87"/>
      <c r="AN2439" s="87"/>
      <c r="AO2439" s="87">
        <v>4</v>
      </c>
      <c r="AP2439" s="87"/>
      <c r="AQ2439" s="87">
        <v>5</v>
      </c>
      <c r="AR2439" s="87"/>
      <c r="AS2439" s="87"/>
      <c r="AT2439" s="87"/>
      <c r="AU2439" s="87"/>
      <c r="AV2439" s="87"/>
      <c r="AW2439" s="88" t="str">
        <f>HYPERLINK("http://www.openstreetmap.org/?mlat=35.6839&amp;mlon=44.965&amp;zoom=12#map=12/35.6839/44.965","Maplink1")</f>
        <v>Maplink1</v>
      </c>
      <c r="AX2439" s="88" t="str">
        <f>HYPERLINK("https://www.google.iq/maps/search/+35.6839,44.965/@35.6839,44.965,14z?hl=en","Maplink2")</f>
        <v>Maplink2</v>
      </c>
      <c r="AY2439" s="88" t="str">
        <f>HYPERLINK("http://www.bing.com/maps/?lvl=14&amp;sty=h&amp;cp=35.6839~44.965&amp;sp=point.35.6839_44.965","Maplink3")</f>
        <v>Maplink3</v>
      </c>
      <c r="AZ2439" s="76"/>
    </row>
    <row r="2440" spans="1:52" x14ac:dyDescent="0.25">
      <c r="A2440" s="86">
        <v>3452</v>
      </c>
      <c r="B2440" s="87" t="s">
        <v>27</v>
      </c>
      <c r="C2440" s="87" t="s">
        <v>4641</v>
      </c>
      <c r="D2440" s="87" t="s">
        <v>4686</v>
      </c>
      <c r="E2440" s="87" t="s">
        <v>4687</v>
      </c>
      <c r="F2440" s="87">
        <v>35.297674700000002</v>
      </c>
      <c r="G2440" s="87">
        <v>45.178348300000003</v>
      </c>
      <c r="H2440" s="86">
        <v>5</v>
      </c>
      <c r="I2440" s="86">
        <v>30</v>
      </c>
      <c r="J2440" s="87"/>
      <c r="K2440" s="87"/>
      <c r="L2440" s="87"/>
      <c r="M2440" s="87"/>
      <c r="N2440" s="87"/>
      <c r="O2440" s="87"/>
      <c r="P2440" s="87"/>
      <c r="Q2440" s="87"/>
      <c r="R2440" s="87"/>
      <c r="S2440" s="87"/>
      <c r="T2440" s="87"/>
      <c r="U2440" s="87"/>
      <c r="V2440" s="87">
        <v>4</v>
      </c>
      <c r="W2440" s="87"/>
      <c r="X2440" s="87">
        <v>1</v>
      </c>
      <c r="Y2440" s="87"/>
      <c r="Z2440" s="87"/>
      <c r="AA2440" s="87"/>
      <c r="AB2440" s="87"/>
      <c r="AC2440" s="87"/>
      <c r="AD2440" s="87"/>
      <c r="AE2440" s="87"/>
      <c r="AF2440" s="87"/>
      <c r="AG2440" s="87"/>
      <c r="AH2440" s="87">
        <v>5</v>
      </c>
      <c r="AI2440" s="87"/>
      <c r="AJ2440" s="87"/>
      <c r="AK2440" s="87"/>
      <c r="AL2440" s="87"/>
      <c r="AM2440" s="87"/>
      <c r="AN2440" s="87"/>
      <c r="AO2440" s="87">
        <v>2</v>
      </c>
      <c r="AP2440" s="87">
        <v>1</v>
      </c>
      <c r="AQ2440" s="87"/>
      <c r="AR2440" s="87"/>
      <c r="AS2440" s="87"/>
      <c r="AT2440" s="87"/>
      <c r="AU2440" s="87">
        <v>2</v>
      </c>
      <c r="AV2440" s="87"/>
      <c r="AW2440" s="88" t="str">
        <f>HYPERLINK("http://www.openstreetmap.org/?mlat=35.2977&amp;mlon=45.1783&amp;zoom=12#map=12/35.2977/45.1783","Maplink1")</f>
        <v>Maplink1</v>
      </c>
      <c r="AX2440" s="88" t="str">
        <f>HYPERLINK("https://www.google.iq/maps/search/+35.2977,45.1783/@35.2977,45.1783,14z?hl=en","Maplink2")</f>
        <v>Maplink2</v>
      </c>
      <c r="AY2440" s="88" t="str">
        <f>HYPERLINK("http://www.bing.com/maps/?lvl=14&amp;sty=h&amp;cp=35.2977~45.1783&amp;sp=point.35.2977_45.1783","Maplink3")</f>
        <v>Maplink3</v>
      </c>
      <c r="AZ2440" s="76"/>
    </row>
    <row r="2441" spans="1:52" x14ac:dyDescent="0.25">
      <c r="A2441" s="86">
        <v>3416</v>
      </c>
      <c r="B2441" s="87" t="s">
        <v>27</v>
      </c>
      <c r="C2441" s="87" t="s">
        <v>4641</v>
      </c>
      <c r="D2441" s="87" t="s">
        <v>4688</v>
      </c>
      <c r="E2441" s="87" t="s">
        <v>4689</v>
      </c>
      <c r="F2441" s="87">
        <v>35.239362300000003</v>
      </c>
      <c r="G2441" s="87">
        <v>45.245231699999998</v>
      </c>
      <c r="H2441" s="86">
        <v>5</v>
      </c>
      <c r="I2441" s="86">
        <v>30</v>
      </c>
      <c r="J2441" s="87"/>
      <c r="K2441" s="87"/>
      <c r="L2441" s="87"/>
      <c r="M2441" s="87"/>
      <c r="N2441" s="87"/>
      <c r="O2441" s="87">
        <v>5</v>
      </c>
      <c r="P2441" s="87"/>
      <c r="Q2441" s="87"/>
      <c r="R2441" s="87"/>
      <c r="S2441" s="87"/>
      <c r="T2441" s="87"/>
      <c r="U2441" s="87"/>
      <c r="V2441" s="87"/>
      <c r="W2441" s="87"/>
      <c r="X2441" s="87"/>
      <c r="Y2441" s="87"/>
      <c r="Z2441" s="87"/>
      <c r="AA2441" s="87"/>
      <c r="AB2441" s="87"/>
      <c r="AC2441" s="87"/>
      <c r="AD2441" s="87"/>
      <c r="AE2441" s="87"/>
      <c r="AF2441" s="87"/>
      <c r="AG2441" s="87"/>
      <c r="AH2441" s="87">
        <v>5</v>
      </c>
      <c r="AI2441" s="87"/>
      <c r="AJ2441" s="87"/>
      <c r="AK2441" s="87"/>
      <c r="AL2441" s="87"/>
      <c r="AM2441" s="87"/>
      <c r="AN2441" s="87">
        <v>1</v>
      </c>
      <c r="AO2441" s="87"/>
      <c r="AP2441" s="87"/>
      <c r="AQ2441" s="87">
        <v>2</v>
      </c>
      <c r="AR2441" s="87"/>
      <c r="AS2441" s="87">
        <v>2</v>
      </c>
      <c r="AT2441" s="87"/>
      <c r="AU2441" s="87"/>
      <c r="AV2441" s="87"/>
      <c r="AW2441" s="88" t="str">
        <f>HYPERLINK("http://www.openstreetmap.org/?mlat=35.2394&amp;mlon=45.2452&amp;zoom=12#map=12/35.2394/45.2452","Maplink1")</f>
        <v>Maplink1</v>
      </c>
      <c r="AX2441" s="88" t="str">
        <f>HYPERLINK("https://www.google.iq/maps/search/+35.2394,45.2452/@35.2394,45.2452,14z?hl=en","Maplink2")</f>
        <v>Maplink2</v>
      </c>
      <c r="AY2441" s="88" t="str">
        <f>HYPERLINK("http://www.bing.com/maps/?lvl=14&amp;sty=h&amp;cp=35.2394~45.2452&amp;sp=point.35.2394_45.2452","Maplink3")</f>
        <v>Maplink3</v>
      </c>
      <c r="AZ2441" s="76"/>
    </row>
    <row r="2442" spans="1:52" x14ac:dyDescent="0.25">
      <c r="A2442" s="86">
        <v>3415</v>
      </c>
      <c r="B2442" s="87" t="s">
        <v>27</v>
      </c>
      <c r="C2442" s="87" t="s">
        <v>4641</v>
      </c>
      <c r="D2442" s="87" t="s">
        <v>4690</v>
      </c>
      <c r="E2442" s="87" t="s">
        <v>4691</v>
      </c>
      <c r="F2442" s="87">
        <v>35.282377099999998</v>
      </c>
      <c r="G2442" s="87">
        <v>45.276556300000003</v>
      </c>
      <c r="H2442" s="86">
        <v>5</v>
      </c>
      <c r="I2442" s="86">
        <v>30</v>
      </c>
      <c r="J2442" s="87"/>
      <c r="K2442" s="87"/>
      <c r="L2442" s="87"/>
      <c r="M2442" s="87"/>
      <c r="N2442" s="87"/>
      <c r="O2442" s="87">
        <v>4</v>
      </c>
      <c r="P2442" s="87"/>
      <c r="Q2442" s="87"/>
      <c r="R2442" s="87"/>
      <c r="S2442" s="87"/>
      <c r="T2442" s="87"/>
      <c r="U2442" s="87"/>
      <c r="V2442" s="87"/>
      <c r="W2442" s="87"/>
      <c r="X2442" s="87">
        <v>1</v>
      </c>
      <c r="Y2442" s="87"/>
      <c r="Z2442" s="87"/>
      <c r="AA2442" s="87"/>
      <c r="AB2442" s="87"/>
      <c r="AC2442" s="87"/>
      <c r="AD2442" s="87"/>
      <c r="AE2442" s="87"/>
      <c r="AF2442" s="87"/>
      <c r="AG2442" s="87"/>
      <c r="AH2442" s="87">
        <v>5</v>
      </c>
      <c r="AI2442" s="87"/>
      <c r="AJ2442" s="87"/>
      <c r="AK2442" s="87"/>
      <c r="AL2442" s="87"/>
      <c r="AM2442" s="87"/>
      <c r="AN2442" s="87"/>
      <c r="AO2442" s="87"/>
      <c r="AP2442" s="87"/>
      <c r="AQ2442" s="87"/>
      <c r="AR2442" s="87"/>
      <c r="AS2442" s="87">
        <v>1</v>
      </c>
      <c r="AT2442" s="87">
        <v>1</v>
      </c>
      <c r="AU2442" s="87">
        <v>3</v>
      </c>
      <c r="AV2442" s="87"/>
      <c r="AW2442" s="88" t="str">
        <f>HYPERLINK("http://www.openstreetmap.org/?mlat=35.2824&amp;mlon=45.2766&amp;zoom=12#map=12/35.2824/45.2766","Maplink1")</f>
        <v>Maplink1</v>
      </c>
      <c r="AX2442" s="88" t="str">
        <f>HYPERLINK("https://www.google.iq/maps/search/+35.2824,45.2766/@35.2824,45.2766,14z?hl=en","Maplink2")</f>
        <v>Maplink2</v>
      </c>
      <c r="AY2442" s="88" t="str">
        <f>HYPERLINK("http://www.bing.com/maps/?lvl=14&amp;sty=h&amp;cp=35.2824~45.2766&amp;sp=point.35.2824_45.2766","Maplink3")</f>
        <v>Maplink3</v>
      </c>
      <c r="AZ2442" s="76"/>
    </row>
    <row r="2443" spans="1:52" x14ac:dyDescent="0.25">
      <c r="A2443" s="86">
        <v>4902</v>
      </c>
      <c r="B2443" s="87" t="s">
        <v>27</v>
      </c>
      <c r="C2443" s="87" t="s">
        <v>4641</v>
      </c>
      <c r="D2443" s="87" t="s">
        <v>4692</v>
      </c>
      <c r="E2443" s="87" t="s">
        <v>4693</v>
      </c>
      <c r="F2443" s="87">
        <v>35.801481500000001</v>
      </c>
      <c r="G2443" s="87">
        <v>44.908124600000001</v>
      </c>
      <c r="H2443" s="86">
        <v>4</v>
      </c>
      <c r="I2443" s="86">
        <v>24</v>
      </c>
      <c r="J2443" s="87">
        <v>2</v>
      </c>
      <c r="K2443" s="87"/>
      <c r="L2443" s="87">
        <v>1</v>
      </c>
      <c r="M2443" s="87"/>
      <c r="N2443" s="87"/>
      <c r="O2443" s="87"/>
      <c r="P2443" s="87"/>
      <c r="Q2443" s="87"/>
      <c r="R2443" s="87">
        <v>1</v>
      </c>
      <c r="S2443" s="87"/>
      <c r="T2443" s="87"/>
      <c r="U2443" s="87"/>
      <c r="V2443" s="87"/>
      <c r="W2443" s="87"/>
      <c r="X2443" s="87"/>
      <c r="Y2443" s="87"/>
      <c r="Z2443" s="87"/>
      <c r="AA2443" s="87"/>
      <c r="AB2443" s="87"/>
      <c r="AC2443" s="87"/>
      <c r="AD2443" s="87"/>
      <c r="AE2443" s="87"/>
      <c r="AF2443" s="87"/>
      <c r="AG2443" s="87"/>
      <c r="AH2443" s="87">
        <v>4</v>
      </c>
      <c r="AI2443" s="87"/>
      <c r="AJ2443" s="87"/>
      <c r="AK2443" s="87"/>
      <c r="AL2443" s="87"/>
      <c r="AM2443" s="87"/>
      <c r="AN2443" s="87"/>
      <c r="AO2443" s="87"/>
      <c r="AP2443" s="87"/>
      <c r="AQ2443" s="87"/>
      <c r="AR2443" s="87"/>
      <c r="AS2443" s="87">
        <v>1</v>
      </c>
      <c r="AT2443" s="87"/>
      <c r="AU2443" s="87">
        <v>3</v>
      </c>
      <c r="AV2443" s="87"/>
      <c r="AW2443" s="88" t="str">
        <f>HYPERLINK("http://www.openstreetmap.org/?mlat=35.8015&amp;mlon=44.9081&amp;zoom=12#map=12/35.8015/44.9081","Maplink1")</f>
        <v>Maplink1</v>
      </c>
      <c r="AX2443" s="88" t="str">
        <f>HYPERLINK("https://www.google.iq/maps/search/+35.8015,44.9081/@35.8015,44.9081,14z?hl=en","Maplink2")</f>
        <v>Maplink2</v>
      </c>
      <c r="AY2443" s="88" t="str">
        <f>HYPERLINK("http://www.bing.com/maps/?lvl=14&amp;sty=h&amp;cp=35.8015~44.9081&amp;sp=point.35.8015_44.9081","Maplink3")</f>
        <v>Maplink3</v>
      </c>
      <c r="AZ2443" s="76"/>
    </row>
    <row r="2444" spans="1:52" x14ac:dyDescent="0.25">
      <c r="A2444" s="86">
        <v>20815</v>
      </c>
      <c r="B2444" s="87" t="s">
        <v>27</v>
      </c>
      <c r="C2444" s="87" t="s">
        <v>4641</v>
      </c>
      <c r="D2444" s="87" t="s">
        <v>4694</v>
      </c>
      <c r="E2444" s="87" t="s">
        <v>4695</v>
      </c>
      <c r="F2444" s="87">
        <v>35.505841199999999</v>
      </c>
      <c r="G2444" s="87">
        <v>44.827930500000001</v>
      </c>
      <c r="H2444" s="86">
        <v>8</v>
      </c>
      <c r="I2444" s="86">
        <v>48</v>
      </c>
      <c r="J2444" s="87">
        <v>7</v>
      </c>
      <c r="K2444" s="87"/>
      <c r="L2444" s="87"/>
      <c r="M2444" s="87"/>
      <c r="N2444" s="87"/>
      <c r="O2444" s="87"/>
      <c r="P2444" s="87"/>
      <c r="Q2444" s="87"/>
      <c r="R2444" s="87"/>
      <c r="S2444" s="87"/>
      <c r="T2444" s="87"/>
      <c r="U2444" s="87"/>
      <c r="V2444" s="87"/>
      <c r="W2444" s="87"/>
      <c r="X2444" s="87">
        <v>1</v>
      </c>
      <c r="Y2444" s="87"/>
      <c r="Z2444" s="87"/>
      <c r="AA2444" s="87"/>
      <c r="AB2444" s="87"/>
      <c r="AC2444" s="87"/>
      <c r="AD2444" s="87"/>
      <c r="AE2444" s="87"/>
      <c r="AF2444" s="87"/>
      <c r="AG2444" s="87"/>
      <c r="AH2444" s="87">
        <v>8</v>
      </c>
      <c r="AI2444" s="87"/>
      <c r="AJ2444" s="87"/>
      <c r="AK2444" s="87"/>
      <c r="AL2444" s="87"/>
      <c r="AM2444" s="87"/>
      <c r="AN2444" s="87">
        <v>2</v>
      </c>
      <c r="AO2444" s="87">
        <v>3</v>
      </c>
      <c r="AP2444" s="87"/>
      <c r="AQ2444" s="87">
        <v>2</v>
      </c>
      <c r="AR2444" s="87"/>
      <c r="AS2444" s="87"/>
      <c r="AT2444" s="87"/>
      <c r="AU2444" s="87">
        <v>1</v>
      </c>
      <c r="AV2444" s="87"/>
      <c r="AW2444" s="88" t="str">
        <f>HYPERLINK("http://www.openstreetmap.org/?mlat=35.5058&amp;mlon=44.8279&amp;zoom=12#map=12/35.5058/44.8279","Maplink1")</f>
        <v>Maplink1</v>
      </c>
      <c r="AX2444" s="88" t="str">
        <f>HYPERLINK("https://www.google.iq/maps/search/+35.5058,44.8279/@35.5058,44.8279,14z?hl=en","Maplink2")</f>
        <v>Maplink2</v>
      </c>
      <c r="AY2444" s="88" t="str">
        <f>HYPERLINK("http://www.bing.com/maps/?lvl=14&amp;sty=h&amp;cp=35.5058~44.8279&amp;sp=point.35.5058_44.8279","Maplink3")</f>
        <v>Maplink3</v>
      </c>
      <c r="AZ2444" s="76"/>
    </row>
    <row r="2445" spans="1:52" x14ac:dyDescent="0.25">
      <c r="A2445" s="86">
        <v>4933</v>
      </c>
      <c r="B2445" s="87" t="s">
        <v>27</v>
      </c>
      <c r="C2445" s="87" t="s">
        <v>4641</v>
      </c>
      <c r="D2445" s="87" t="s">
        <v>4696</v>
      </c>
      <c r="E2445" s="87" t="s">
        <v>4697</v>
      </c>
      <c r="F2445" s="87">
        <v>35.513097399999999</v>
      </c>
      <c r="G2445" s="87">
        <v>44.848936299999998</v>
      </c>
      <c r="H2445" s="86">
        <v>102</v>
      </c>
      <c r="I2445" s="86">
        <v>612</v>
      </c>
      <c r="J2445" s="87">
        <v>6</v>
      </c>
      <c r="K2445" s="87">
        <v>3</v>
      </c>
      <c r="L2445" s="87">
        <v>5</v>
      </c>
      <c r="M2445" s="87"/>
      <c r="N2445" s="87"/>
      <c r="O2445" s="87">
        <v>6</v>
      </c>
      <c r="P2445" s="87"/>
      <c r="Q2445" s="87"/>
      <c r="R2445" s="87">
        <v>23</v>
      </c>
      <c r="S2445" s="87"/>
      <c r="T2445" s="87"/>
      <c r="U2445" s="87"/>
      <c r="V2445" s="87">
        <v>22</v>
      </c>
      <c r="W2445" s="87"/>
      <c r="X2445" s="87">
        <v>37</v>
      </c>
      <c r="Y2445" s="87"/>
      <c r="Z2445" s="87"/>
      <c r="AA2445" s="87"/>
      <c r="AB2445" s="87"/>
      <c r="AC2445" s="87"/>
      <c r="AD2445" s="87"/>
      <c r="AE2445" s="87"/>
      <c r="AF2445" s="87"/>
      <c r="AG2445" s="87"/>
      <c r="AH2445" s="87">
        <v>94</v>
      </c>
      <c r="AI2445" s="87"/>
      <c r="AJ2445" s="87"/>
      <c r="AK2445" s="87"/>
      <c r="AL2445" s="87">
        <v>8</v>
      </c>
      <c r="AM2445" s="87"/>
      <c r="AN2445" s="87">
        <v>6</v>
      </c>
      <c r="AO2445" s="87">
        <v>15</v>
      </c>
      <c r="AP2445" s="87">
        <v>4</v>
      </c>
      <c r="AQ2445" s="87">
        <v>11</v>
      </c>
      <c r="AR2445" s="87">
        <v>3</v>
      </c>
      <c r="AS2445" s="87"/>
      <c r="AT2445" s="87"/>
      <c r="AU2445" s="87">
        <v>62</v>
      </c>
      <c r="AV2445" s="87">
        <v>1</v>
      </c>
      <c r="AW2445" s="88" t="str">
        <f>HYPERLINK("http://www.openstreetmap.org/?mlat=35.5131&amp;mlon=44.8489&amp;zoom=12#map=12/35.5131/44.8489","Maplink1")</f>
        <v>Maplink1</v>
      </c>
      <c r="AX2445" s="88" t="str">
        <f>HYPERLINK("https://www.google.iq/maps/search/+35.5131,44.8489/@35.5131,44.8489,14z?hl=en","Maplink2")</f>
        <v>Maplink2</v>
      </c>
      <c r="AY2445" s="88" t="str">
        <f>HYPERLINK("http://www.bing.com/maps/?lvl=14&amp;sty=h&amp;cp=35.5131~44.8489&amp;sp=point.35.5131_44.8489","Maplink3")</f>
        <v>Maplink3</v>
      </c>
      <c r="AZ2445" s="76"/>
    </row>
    <row r="2446" spans="1:52" x14ac:dyDescent="0.25">
      <c r="A2446" s="86">
        <v>24888</v>
      </c>
      <c r="B2446" s="87" t="s">
        <v>27</v>
      </c>
      <c r="C2446" s="87" t="s">
        <v>4641</v>
      </c>
      <c r="D2446" s="87" t="s">
        <v>4698</v>
      </c>
      <c r="E2446" s="87" t="s">
        <v>4699</v>
      </c>
      <c r="F2446" s="87">
        <v>35.5413762871</v>
      </c>
      <c r="G2446" s="87">
        <v>44.835170699999999</v>
      </c>
      <c r="H2446" s="86">
        <v>48</v>
      </c>
      <c r="I2446" s="86">
        <v>288</v>
      </c>
      <c r="J2446" s="87">
        <v>12</v>
      </c>
      <c r="K2446" s="87">
        <v>15</v>
      </c>
      <c r="L2446" s="87">
        <v>4</v>
      </c>
      <c r="M2446" s="87"/>
      <c r="N2446" s="87"/>
      <c r="O2446" s="87">
        <v>3</v>
      </c>
      <c r="P2446" s="87"/>
      <c r="Q2446" s="87"/>
      <c r="R2446" s="87">
        <v>1</v>
      </c>
      <c r="S2446" s="87"/>
      <c r="T2446" s="87"/>
      <c r="U2446" s="87"/>
      <c r="V2446" s="87">
        <v>1</v>
      </c>
      <c r="W2446" s="87"/>
      <c r="X2446" s="87">
        <v>12</v>
      </c>
      <c r="Y2446" s="87"/>
      <c r="Z2446" s="87"/>
      <c r="AA2446" s="87"/>
      <c r="AB2446" s="87"/>
      <c r="AC2446" s="87"/>
      <c r="AD2446" s="87"/>
      <c r="AE2446" s="87"/>
      <c r="AF2446" s="87"/>
      <c r="AG2446" s="87"/>
      <c r="AH2446" s="87">
        <v>48</v>
      </c>
      <c r="AI2446" s="87"/>
      <c r="AJ2446" s="87"/>
      <c r="AK2446" s="87"/>
      <c r="AL2446" s="87"/>
      <c r="AM2446" s="87"/>
      <c r="AN2446" s="87">
        <v>12</v>
      </c>
      <c r="AO2446" s="87">
        <v>1</v>
      </c>
      <c r="AP2446" s="87"/>
      <c r="AQ2446" s="87">
        <v>9</v>
      </c>
      <c r="AR2446" s="87">
        <v>3</v>
      </c>
      <c r="AS2446" s="87">
        <v>11</v>
      </c>
      <c r="AT2446" s="87">
        <v>10</v>
      </c>
      <c r="AU2446" s="87">
        <v>2</v>
      </c>
      <c r="AV2446" s="87"/>
      <c r="AW2446" s="88" t="str">
        <f>HYPERLINK("http://www.openstreetmap.org/?mlat=35.5414&amp;mlon=44.8352&amp;zoom=12#map=12/35.5414/44.8352","Maplink1")</f>
        <v>Maplink1</v>
      </c>
      <c r="AX2446" s="88" t="str">
        <f>HYPERLINK("https://www.google.iq/maps/search/+35.5414,44.8352/@35.5414,44.8352,14z?hl=en","Maplink2")</f>
        <v>Maplink2</v>
      </c>
      <c r="AY2446" s="88" t="str">
        <f>HYPERLINK("http://www.bing.com/maps/?lvl=14&amp;sty=h&amp;cp=35.5414~44.8352&amp;sp=point.35.5414_44.8352","Maplink3")</f>
        <v>Maplink3</v>
      </c>
      <c r="AZ2446" s="76"/>
    </row>
    <row r="2447" spans="1:52" x14ac:dyDescent="0.25">
      <c r="A2447" s="86">
        <v>21717</v>
      </c>
      <c r="B2447" s="87" t="s">
        <v>27</v>
      </c>
      <c r="C2447" s="87" t="s">
        <v>4641</v>
      </c>
      <c r="D2447" s="87" t="s">
        <v>4700</v>
      </c>
      <c r="E2447" s="87" t="s">
        <v>4701</v>
      </c>
      <c r="F2447" s="87">
        <v>35.503760700000001</v>
      </c>
      <c r="G2447" s="87">
        <v>44.852339299999997</v>
      </c>
      <c r="H2447" s="86">
        <v>60</v>
      </c>
      <c r="I2447" s="86">
        <v>360</v>
      </c>
      <c r="J2447" s="87">
        <v>13</v>
      </c>
      <c r="K2447" s="87">
        <v>1</v>
      </c>
      <c r="L2447" s="87">
        <v>2</v>
      </c>
      <c r="M2447" s="87"/>
      <c r="N2447" s="87"/>
      <c r="O2447" s="87">
        <v>1</v>
      </c>
      <c r="P2447" s="87"/>
      <c r="Q2447" s="87"/>
      <c r="R2447" s="87">
        <v>14</v>
      </c>
      <c r="S2447" s="87"/>
      <c r="T2447" s="87"/>
      <c r="U2447" s="87"/>
      <c r="V2447" s="87">
        <v>5</v>
      </c>
      <c r="W2447" s="87"/>
      <c r="X2447" s="87">
        <v>24</v>
      </c>
      <c r="Y2447" s="87"/>
      <c r="Z2447" s="87"/>
      <c r="AA2447" s="87"/>
      <c r="AB2447" s="87"/>
      <c r="AC2447" s="87"/>
      <c r="AD2447" s="87"/>
      <c r="AE2447" s="87"/>
      <c r="AF2447" s="87"/>
      <c r="AG2447" s="87"/>
      <c r="AH2447" s="87">
        <v>60</v>
      </c>
      <c r="AI2447" s="87"/>
      <c r="AJ2447" s="87"/>
      <c r="AK2447" s="87"/>
      <c r="AL2447" s="87"/>
      <c r="AM2447" s="87"/>
      <c r="AN2447" s="87">
        <v>3</v>
      </c>
      <c r="AO2447" s="87">
        <v>14</v>
      </c>
      <c r="AP2447" s="87"/>
      <c r="AQ2447" s="87">
        <v>11</v>
      </c>
      <c r="AR2447" s="87"/>
      <c r="AS2447" s="87">
        <v>1</v>
      </c>
      <c r="AT2447" s="87"/>
      <c r="AU2447" s="87">
        <v>30</v>
      </c>
      <c r="AV2447" s="87">
        <v>1</v>
      </c>
      <c r="AW2447" s="88" t="str">
        <f>HYPERLINK("http://www.openstreetmap.org/?mlat=35.5038&amp;mlon=44.8523&amp;zoom=12#map=12/35.5038/44.8523","Maplink1")</f>
        <v>Maplink1</v>
      </c>
      <c r="AX2447" s="88" t="str">
        <f>HYPERLINK("https://www.google.iq/maps/search/+35.5038,44.8523/@35.5038,44.8523,14z?hl=en","Maplink2")</f>
        <v>Maplink2</v>
      </c>
      <c r="AY2447" s="88" t="str">
        <f>HYPERLINK("http://www.bing.com/maps/?lvl=14&amp;sty=h&amp;cp=35.5038~44.8523&amp;sp=point.35.5038_44.8523","Maplink3")</f>
        <v>Maplink3</v>
      </c>
      <c r="AZ2447" s="76"/>
    </row>
    <row r="2448" spans="1:52" x14ac:dyDescent="0.25">
      <c r="A2448" s="86">
        <v>24250</v>
      </c>
      <c r="B2448" s="87" t="s">
        <v>27</v>
      </c>
      <c r="C2448" s="87" t="s">
        <v>4641</v>
      </c>
      <c r="D2448" s="87" t="s">
        <v>4702</v>
      </c>
      <c r="E2448" s="87" t="s">
        <v>4703</v>
      </c>
      <c r="F2448" s="87">
        <v>35.503253600000001</v>
      </c>
      <c r="G2448" s="87">
        <v>44.842652800000003</v>
      </c>
      <c r="H2448" s="86">
        <v>31</v>
      </c>
      <c r="I2448" s="86">
        <v>186</v>
      </c>
      <c r="J2448" s="87">
        <v>9</v>
      </c>
      <c r="K2448" s="87">
        <v>1</v>
      </c>
      <c r="L2448" s="87"/>
      <c r="M2448" s="87"/>
      <c r="N2448" s="87"/>
      <c r="O2448" s="87">
        <v>2</v>
      </c>
      <c r="P2448" s="87"/>
      <c r="Q2448" s="87"/>
      <c r="R2448" s="87">
        <v>9</v>
      </c>
      <c r="S2448" s="87"/>
      <c r="T2448" s="87"/>
      <c r="U2448" s="87"/>
      <c r="V2448" s="87">
        <v>4</v>
      </c>
      <c r="W2448" s="87"/>
      <c r="X2448" s="87">
        <v>6</v>
      </c>
      <c r="Y2448" s="87"/>
      <c r="Z2448" s="87"/>
      <c r="AA2448" s="87"/>
      <c r="AB2448" s="87"/>
      <c r="AC2448" s="87"/>
      <c r="AD2448" s="87"/>
      <c r="AE2448" s="87"/>
      <c r="AF2448" s="87"/>
      <c r="AG2448" s="87"/>
      <c r="AH2448" s="87">
        <v>30</v>
      </c>
      <c r="AI2448" s="87"/>
      <c r="AJ2448" s="87"/>
      <c r="AK2448" s="87"/>
      <c r="AL2448" s="87">
        <v>1</v>
      </c>
      <c r="AM2448" s="87"/>
      <c r="AN2448" s="87">
        <v>4</v>
      </c>
      <c r="AO2448" s="87">
        <v>6</v>
      </c>
      <c r="AP2448" s="87"/>
      <c r="AQ2448" s="87">
        <v>7</v>
      </c>
      <c r="AR2448" s="87"/>
      <c r="AS2448" s="87"/>
      <c r="AT2448" s="87"/>
      <c r="AU2448" s="87">
        <v>14</v>
      </c>
      <c r="AV2448" s="87"/>
      <c r="AW2448" s="88" t="str">
        <f>HYPERLINK("http://www.openstreetmap.org/?mlat=35.5033&amp;mlon=44.8427&amp;zoom=12#map=12/35.5033/44.8427","Maplink1")</f>
        <v>Maplink1</v>
      </c>
      <c r="AX2448" s="88" t="str">
        <f>HYPERLINK("https://www.google.iq/maps/search/+35.5033,44.8427/@35.5033,44.8427,14z?hl=en","Maplink2")</f>
        <v>Maplink2</v>
      </c>
      <c r="AY2448" s="88" t="str">
        <f>HYPERLINK("http://www.bing.com/maps/?lvl=14&amp;sty=h&amp;cp=35.5033~44.8427&amp;sp=point.35.5033_44.8427","Maplink3")</f>
        <v>Maplink3</v>
      </c>
      <c r="AZ2448" s="76"/>
    </row>
    <row r="2449" spans="1:52" x14ac:dyDescent="0.25">
      <c r="A2449" s="86">
        <v>31933</v>
      </c>
      <c r="B2449" s="87" t="s">
        <v>27</v>
      </c>
      <c r="C2449" s="87" t="s">
        <v>4641</v>
      </c>
      <c r="D2449" s="87" t="s">
        <v>4704</v>
      </c>
      <c r="E2449" s="87" t="s">
        <v>4705</v>
      </c>
      <c r="F2449" s="87">
        <v>35.288966700000003</v>
      </c>
      <c r="G2449" s="87">
        <v>45.171911100000003</v>
      </c>
      <c r="H2449" s="86">
        <v>10</v>
      </c>
      <c r="I2449" s="86">
        <v>60</v>
      </c>
      <c r="J2449" s="87"/>
      <c r="K2449" s="87"/>
      <c r="L2449" s="87"/>
      <c r="M2449" s="87"/>
      <c r="N2449" s="87"/>
      <c r="O2449" s="87">
        <v>4</v>
      </c>
      <c r="P2449" s="87"/>
      <c r="Q2449" s="87"/>
      <c r="R2449" s="87"/>
      <c r="S2449" s="87"/>
      <c r="T2449" s="87"/>
      <c r="U2449" s="87"/>
      <c r="V2449" s="87"/>
      <c r="W2449" s="87"/>
      <c r="X2449" s="87">
        <v>6</v>
      </c>
      <c r="Y2449" s="87"/>
      <c r="Z2449" s="87"/>
      <c r="AA2449" s="87"/>
      <c r="AB2449" s="87"/>
      <c r="AC2449" s="87"/>
      <c r="AD2449" s="87"/>
      <c r="AE2449" s="87"/>
      <c r="AF2449" s="87"/>
      <c r="AG2449" s="87"/>
      <c r="AH2449" s="87">
        <v>10</v>
      </c>
      <c r="AI2449" s="87"/>
      <c r="AJ2449" s="87"/>
      <c r="AK2449" s="87"/>
      <c r="AL2449" s="87"/>
      <c r="AM2449" s="87"/>
      <c r="AN2449" s="87"/>
      <c r="AO2449" s="87">
        <v>2</v>
      </c>
      <c r="AP2449" s="87">
        <v>2</v>
      </c>
      <c r="AQ2449" s="87"/>
      <c r="AR2449" s="87">
        <v>3</v>
      </c>
      <c r="AS2449" s="87">
        <v>1</v>
      </c>
      <c r="AT2449" s="87"/>
      <c r="AU2449" s="87">
        <v>2</v>
      </c>
      <c r="AV2449" s="87"/>
      <c r="AW2449" s="88" t="str">
        <f>HYPERLINK("http://www.openstreetmap.org/?mlat=35.289&amp;mlon=45.1719&amp;zoom=12#map=12/35.289/45.1719","Maplink1")</f>
        <v>Maplink1</v>
      </c>
      <c r="AX2449" s="88" t="str">
        <f>HYPERLINK("https://www.google.iq/maps/search/+35.289,45.1719/@35.289,45.1719,14z?hl=en","Maplink2")</f>
        <v>Maplink2</v>
      </c>
      <c r="AY2449" s="88" t="str">
        <f>HYPERLINK("http://www.bing.com/maps/?lvl=14&amp;sty=h&amp;cp=35.289~45.1719&amp;sp=point.35.289_45.1719","Maplink3")</f>
        <v>Maplink3</v>
      </c>
      <c r="AZ2449" s="76"/>
    </row>
    <row r="2450" spans="1:52" x14ac:dyDescent="0.25">
      <c r="A2450" s="86">
        <v>20813</v>
      </c>
      <c r="B2450" s="87" t="s">
        <v>27</v>
      </c>
      <c r="C2450" s="87" t="s">
        <v>4641</v>
      </c>
      <c r="D2450" s="87" t="s">
        <v>4706</v>
      </c>
      <c r="E2450" s="87" t="s">
        <v>4707</v>
      </c>
      <c r="F2450" s="87">
        <v>35.510579999999997</v>
      </c>
      <c r="G2450" s="87">
        <v>44.836710699999998</v>
      </c>
      <c r="H2450" s="86">
        <v>54</v>
      </c>
      <c r="I2450" s="86">
        <v>324</v>
      </c>
      <c r="J2450" s="87">
        <v>18</v>
      </c>
      <c r="K2450" s="87"/>
      <c r="L2450" s="87">
        <v>2</v>
      </c>
      <c r="M2450" s="87"/>
      <c r="N2450" s="87"/>
      <c r="O2450" s="87"/>
      <c r="P2450" s="87"/>
      <c r="Q2450" s="87"/>
      <c r="R2450" s="87">
        <v>5</v>
      </c>
      <c r="S2450" s="87"/>
      <c r="T2450" s="87"/>
      <c r="U2450" s="87"/>
      <c r="V2450" s="87">
        <v>15</v>
      </c>
      <c r="W2450" s="87"/>
      <c r="X2450" s="87">
        <v>14</v>
      </c>
      <c r="Y2450" s="87"/>
      <c r="Z2450" s="87"/>
      <c r="AA2450" s="87"/>
      <c r="AB2450" s="87"/>
      <c r="AC2450" s="87"/>
      <c r="AD2450" s="87"/>
      <c r="AE2450" s="87"/>
      <c r="AF2450" s="87"/>
      <c r="AG2450" s="87"/>
      <c r="AH2450" s="87">
        <v>50</v>
      </c>
      <c r="AI2450" s="87"/>
      <c r="AJ2450" s="87"/>
      <c r="AK2450" s="87"/>
      <c r="AL2450" s="87">
        <v>4</v>
      </c>
      <c r="AM2450" s="87"/>
      <c r="AN2450" s="87">
        <v>2</v>
      </c>
      <c r="AO2450" s="87">
        <v>12</v>
      </c>
      <c r="AP2450" s="87">
        <v>1</v>
      </c>
      <c r="AQ2450" s="87">
        <v>10</v>
      </c>
      <c r="AR2450" s="87">
        <v>2</v>
      </c>
      <c r="AS2450" s="87">
        <v>1</v>
      </c>
      <c r="AT2450" s="87">
        <v>5</v>
      </c>
      <c r="AU2450" s="87">
        <v>21</v>
      </c>
      <c r="AV2450" s="87"/>
      <c r="AW2450" s="88" t="str">
        <f>HYPERLINK("http://www.openstreetmap.org/?mlat=35.5106&amp;mlon=44.8367&amp;zoom=12#map=12/35.5106/44.8367","Maplink1")</f>
        <v>Maplink1</v>
      </c>
      <c r="AX2450" s="88" t="str">
        <f>HYPERLINK("https://www.google.iq/maps/search/+35.5106,44.8367/@35.5106,44.8367,14z?hl=en","Maplink2")</f>
        <v>Maplink2</v>
      </c>
      <c r="AY2450" s="88" t="str">
        <f>HYPERLINK("http://www.bing.com/maps/?lvl=14&amp;sty=h&amp;cp=35.5106~44.8367&amp;sp=point.35.5106_44.8367","Maplink3")</f>
        <v>Maplink3</v>
      </c>
      <c r="AZ2450" s="76"/>
    </row>
    <row r="2451" spans="1:52" x14ac:dyDescent="0.25">
      <c r="A2451" s="86">
        <v>3410</v>
      </c>
      <c r="B2451" s="87" t="s">
        <v>27</v>
      </c>
      <c r="C2451" s="87" t="s">
        <v>4641</v>
      </c>
      <c r="D2451" s="87" t="s">
        <v>4708</v>
      </c>
      <c r="E2451" s="87" t="s">
        <v>4709</v>
      </c>
      <c r="F2451" s="87">
        <v>35.2491001</v>
      </c>
      <c r="G2451" s="87">
        <v>45.155882900000002</v>
      </c>
      <c r="H2451" s="86">
        <v>8</v>
      </c>
      <c r="I2451" s="86">
        <v>48</v>
      </c>
      <c r="J2451" s="87"/>
      <c r="K2451" s="87"/>
      <c r="L2451" s="87">
        <v>1</v>
      </c>
      <c r="M2451" s="87"/>
      <c r="N2451" s="87"/>
      <c r="O2451" s="87">
        <v>2</v>
      </c>
      <c r="P2451" s="87"/>
      <c r="Q2451" s="87"/>
      <c r="R2451" s="87"/>
      <c r="S2451" s="87"/>
      <c r="T2451" s="87"/>
      <c r="U2451" s="87"/>
      <c r="V2451" s="87">
        <v>5</v>
      </c>
      <c r="W2451" s="87"/>
      <c r="X2451" s="87"/>
      <c r="Y2451" s="87"/>
      <c r="Z2451" s="87"/>
      <c r="AA2451" s="87"/>
      <c r="AB2451" s="87"/>
      <c r="AC2451" s="87"/>
      <c r="AD2451" s="87"/>
      <c r="AE2451" s="87"/>
      <c r="AF2451" s="87"/>
      <c r="AG2451" s="87"/>
      <c r="AH2451" s="87">
        <v>8</v>
      </c>
      <c r="AI2451" s="87"/>
      <c r="AJ2451" s="87"/>
      <c r="AK2451" s="87"/>
      <c r="AL2451" s="87"/>
      <c r="AM2451" s="87"/>
      <c r="AN2451" s="87"/>
      <c r="AO2451" s="87">
        <v>1</v>
      </c>
      <c r="AP2451" s="87"/>
      <c r="AQ2451" s="87">
        <v>1</v>
      </c>
      <c r="AR2451" s="87">
        <v>1</v>
      </c>
      <c r="AS2451" s="87">
        <v>2</v>
      </c>
      <c r="AT2451" s="87">
        <v>3</v>
      </c>
      <c r="AU2451" s="87"/>
      <c r="AV2451" s="87"/>
      <c r="AW2451" s="88" t="str">
        <f>HYPERLINK("http://www.openstreetmap.org/?mlat=35.2491&amp;mlon=45.1559&amp;zoom=12#map=12/35.2491/45.1559","Maplink1")</f>
        <v>Maplink1</v>
      </c>
      <c r="AX2451" s="88" t="str">
        <f>HYPERLINK("https://www.google.iq/maps/search/+35.2491,45.1559/@35.2491,45.1559,14z?hl=en","Maplink2")</f>
        <v>Maplink2</v>
      </c>
      <c r="AY2451" s="88" t="str">
        <f>HYPERLINK("http://www.bing.com/maps/?lvl=14&amp;sty=h&amp;cp=35.2491~45.1559&amp;sp=point.35.2491_45.1559","Maplink3")</f>
        <v>Maplink3</v>
      </c>
      <c r="AZ2451" s="76"/>
    </row>
    <row r="2452" spans="1:52" x14ac:dyDescent="0.25">
      <c r="A2452" s="86">
        <v>21719</v>
      </c>
      <c r="B2452" s="87" t="s">
        <v>27</v>
      </c>
      <c r="C2452" s="87" t="s">
        <v>4641</v>
      </c>
      <c r="D2452" s="87" t="s">
        <v>2054</v>
      </c>
      <c r="E2452" s="87" t="s">
        <v>2055</v>
      </c>
      <c r="F2452" s="87">
        <v>35.745818900000003</v>
      </c>
      <c r="G2452" s="87">
        <v>44.8987014</v>
      </c>
      <c r="H2452" s="86">
        <v>4</v>
      </c>
      <c r="I2452" s="86">
        <v>24</v>
      </c>
      <c r="J2452" s="87"/>
      <c r="K2452" s="87"/>
      <c r="L2452" s="87">
        <v>1</v>
      </c>
      <c r="M2452" s="87"/>
      <c r="N2452" s="87"/>
      <c r="O2452" s="87"/>
      <c r="P2452" s="87"/>
      <c r="Q2452" s="87"/>
      <c r="R2452" s="87"/>
      <c r="S2452" s="87"/>
      <c r="T2452" s="87"/>
      <c r="U2452" s="87"/>
      <c r="V2452" s="87">
        <v>2</v>
      </c>
      <c r="W2452" s="87"/>
      <c r="X2452" s="87">
        <v>1</v>
      </c>
      <c r="Y2452" s="87"/>
      <c r="Z2452" s="87"/>
      <c r="AA2452" s="87"/>
      <c r="AB2452" s="87"/>
      <c r="AC2452" s="87"/>
      <c r="AD2452" s="87"/>
      <c r="AE2452" s="87"/>
      <c r="AF2452" s="87"/>
      <c r="AG2452" s="87"/>
      <c r="AH2452" s="87">
        <v>4</v>
      </c>
      <c r="AI2452" s="87"/>
      <c r="AJ2452" s="87"/>
      <c r="AK2452" s="87"/>
      <c r="AL2452" s="87"/>
      <c r="AM2452" s="87"/>
      <c r="AN2452" s="87"/>
      <c r="AO2452" s="87">
        <v>2</v>
      </c>
      <c r="AP2452" s="87">
        <v>2</v>
      </c>
      <c r="AQ2452" s="87"/>
      <c r="AR2452" s="87"/>
      <c r="AS2452" s="87"/>
      <c r="AT2452" s="87"/>
      <c r="AU2452" s="87"/>
      <c r="AV2452" s="87"/>
      <c r="AW2452" s="88" t="str">
        <f>HYPERLINK("http://www.openstreetmap.org/?mlat=35.7458&amp;mlon=44.8987&amp;zoom=12#map=12/35.7458/44.8987","Maplink1")</f>
        <v>Maplink1</v>
      </c>
      <c r="AX2452" s="88" t="str">
        <f>HYPERLINK("https://www.google.iq/maps/search/+35.7458,44.8987/@35.7458,44.8987,14z?hl=en","Maplink2")</f>
        <v>Maplink2</v>
      </c>
      <c r="AY2452" s="88" t="str">
        <f>HYPERLINK("http://www.bing.com/maps/?lvl=14&amp;sty=h&amp;cp=35.7458~44.8987&amp;sp=point.35.7458_44.8987","Maplink3")</f>
        <v>Maplink3</v>
      </c>
      <c r="AZ2452" s="76"/>
    </row>
    <row r="2453" spans="1:52" x14ac:dyDescent="0.25">
      <c r="A2453" s="86">
        <v>5012</v>
      </c>
      <c r="B2453" s="87" t="s">
        <v>27</v>
      </c>
      <c r="C2453" s="87" t="s">
        <v>4641</v>
      </c>
      <c r="D2453" s="87" t="s">
        <v>4711</v>
      </c>
      <c r="E2453" s="87" t="s">
        <v>4712</v>
      </c>
      <c r="F2453" s="87">
        <v>35.752336</v>
      </c>
      <c r="G2453" s="87">
        <v>44.874325200000001</v>
      </c>
      <c r="H2453" s="86">
        <v>14</v>
      </c>
      <c r="I2453" s="86">
        <v>84</v>
      </c>
      <c r="J2453" s="87"/>
      <c r="K2453" s="87">
        <v>3</v>
      </c>
      <c r="L2453" s="87"/>
      <c r="M2453" s="87"/>
      <c r="N2453" s="87"/>
      <c r="O2453" s="87">
        <v>1</v>
      </c>
      <c r="P2453" s="87"/>
      <c r="Q2453" s="87"/>
      <c r="R2453" s="87"/>
      <c r="S2453" s="87"/>
      <c r="T2453" s="87"/>
      <c r="U2453" s="87"/>
      <c r="V2453" s="87">
        <v>7</v>
      </c>
      <c r="W2453" s="87"/>
      <c r="X2453" s="87">
        <v>3</v>
      </c>
      <c r="Y2453" s="87"/>
      <c r="Z2453" s="87"/>
      <c r="AA2453" s="87"/>
      <c r="AB2453" s="87"/>
      <c r="AC2453" s="87"/>
      <c r="AD2453" s="87"/>
      <c r="AE2453" s="87"/>
      <c r="AF2453" s="87"/>
      <c r="AG2453" s="87"/>
      <c r="AH2453" s="87">
        <v>14</v>
      </c>
      <c r="AI2453" s="87"/>
      <c r="AJ2453" s="87"/>
      <c r="AK2453" s="87"/>
      <c r="AL2453" s="87"/>
      <c r="AM2453" s="87"/>
      <c r="AN2453" s="87"/>
      <c r="AO2453" s="87">
        <v>4</v>
      </c>
      <c r="AP2453" s="87">
        <v>4</v>
      </c>
      <c r="AQ2453" s="87">
        <v>2</v>
      </c>
      <c r="AR2453" s="87">
        <v>1</v>
      </c>
      <c r="AS2453" s="87"/>
      <c r="AT2453" s="87"/>
      <c r="AU2453" s="87">
        <v>3</v>
      </c>
      <c r="AV2453" s="87"/>
      <c r="AW2453" s="88" t="str">
        <f>HYPERLINK("http://www.openstreetmap.org/?mlat=35.7523&amp;mlon=44.8743&amp;zoom=12#map=12/35.7523/44.8743","Maplink1")</f>
        <v>Maplink1</v>
      </c>
      <c r="AX2453" s="88" t="str">
        <f>HYPERLINK("https://www.google.iq/maps/search/+35.7523,44.8743/@35.7523,44.8743,14z?hl=en","Maplink2")</f>
        <v>Maplink2</v>
      </c>
      <c r="AY2453" s="88" t="str">
        <f>HYPERLINK("http://www.bing.com/maps/?lvl=14&amp;sty=h&amp;cp=35.7523~44.8743&amp;sp=point.35.7523_44.8743","Maplink3")</f>
        <v>Maplink3</v>
      </c>
      <c r="AZ2453" s="76"/>
    </row>
    <row r="2454" spans="1:52" x14ac:dyDescent="0.25">
      <c r="A2454" s="86">
        <v>25573</v>
      </c>
      <c r="B2454" s="87" t="s">
        <v>27</v>
      </c>
      <c r="C2454" s="87" t="s">
        <v>4641</v>
      </c>
      <c r="D2454" s="87" t="s">
        <v>4713</v>
      </c>
      <c r="E2454" s="87" t="s">
        <v>4714</v>
      </c>
      <c r="F2454" s="87">
        <v>35.514056600000004</v>
      </c>
      <c r="G2454" s="87">
        <v>44.838405000000002</v>
      </c>
      <c r="H2454" s="86">
        <v>2</v>
      </c>
      <c r="I2454" s="86">
        <v>12</v>
      </c>
      <c r="J2454" s="87">
        <v>1</v>
      </c>
      <c r="K2454" s="87"/>
      <c r="L2454" s="87">
        <v>1</v>
      </c>
      <c r="M2454" s="87"/>
      <c r="N2454" s="87"/>
      <c r="O2454" s="87"/>
      <c r="P2454" s="87"/>
      <c r="Q2454" s="87"/>
      <c r="R2454" s="87"/>
      <c r="S2454" s="87"/>
      <c r="T2454" s="87"/>
      <c r="U2454" s="87"/>
      <c r="V2454" s="87"/>
      <c r="W2454" s="87"/>
      <c r="X2454" s="87"/>
      <c r="Y2454" s="87"/>
      <c r="Z2454" s="87"/>
      <c r="AA2454" s="87"/>
      <c r="AB2454" s="87"/>
      <c r="AC2454" s="87"/>
      <c r="AD2454" s="87"/>
      <c r="AE2454" s="87"/>
      <c r="AF2454" s="87"/>
      <c r="AG2454" s="87"/>
      <c r="AH2454" s="87">
        <v>2</v>
      </c>
      <c r="AI2454" s="87"/>
      <c r="AJ2454" s="87"/>
      <c r="AK2454" s="87"/>
      <c r="AL2454" s="87"/>
      <c r="AM2454" s="87"/>
      <c r="AN2454" s="87">
        <v>1</v>
      </c>
      <c r="AO2454" s="87">
        <v>1</v>
      </c>
      <c r="AP2454" s="87"/>
      <c r="AQ2454" s="87"/>
      <c r="AR2454" s="87"/>
      <c r="AS2454" s="87"/>
      <c r="AT2454" s="87"/>
      <c r="AU2454" s="87"/>
      <c r="AV2454" s="87"/>
      <c r="AW2454" s="88" t="str">
        <f>HYPERLINK("http://www.openstreetmap.org/?mlat=35.5141&amp;mlon=44.8384&amp;zoom=12#map=12/35.5141/44.8384","Maplink1")</f>
        <v>Maplink1</v>
      </c>
      <c r="AX2454" s="88" t="str">
        <f>HYPERLINK("https://www.google.iq/maps/search/+35.5141,44.8384/@35.5141,44.8384,14z?hl=en","Maplink2")</f>
        <v>Maplink2</v>
      </c>
      <c r="AY2454" s="88" t="str">
        <f>HYPERLINK("http://www.bing.com/maps/?lvl=14&amp;sty=h&amp;cp=35.5141~44.8384&amp;sp=point.35.5141_44.8384","Maplink3")</f>
        <v>Maplink3</v>
      </c>
      <c r="AZ2454" s="76"/>
    </row>
    <row r="2455" spans="1:52" x14ac:dyDescent="0.25">
      <c r="A2455" s="86">
        <v>24811</v>
      </c>
      <c r="B2455" s="87" t="s">
        <v>27</v>
      </c>
      <c r="C2455" s="87" t="s">
        <v>4641</v>
      </c>
      <c r="D2455" s="87" t="s">
        <v>4715</v>
      </c>
      <c r="E2455" s="87" t="s">
        <v>4716</v>
      </c>
      <c r="F2455" s="87">
        <v>35.623919600000001</v>
      </c>
      <c r="G2455" s="87">
        <v>44.964922199999997</v>
      </c>
      <c r="H2455" s="86">
        <v>19</v>
      </c>
      <c r="I2455" s="86">
        <v>114</v>
      </c>
      <c r="J2455" s="87">
        <v>2</v>
      </c>
      <c r="K2455" s="87"/>
      <c r="L2455" s="87">
        <v>1</v>
      </c>
      <c r="M2455" s="87"/>
      <c r="N2455" s="87"/>
      <c r="O2455" s="87">
        <v>4</v>
      </c>
      <c r="P2455" s="87"/>
      <c r="Q2455" s="87"/>
      <c r="R2455" s="87">
        <v>2</v>
      </c>
      <c r="S2455" s="87"/>
      <c r="T2455" s="87"/>
      <c r="U2455" s="87"/>
      <c r="V2455" s="87">
        <v>3</v>
      </c>
      <c r="W2455" s="87"/>
      <c r="X2455" s="87">
        <v>7</v>
      </c>
      <c r="Y2455" s="87"/>
      <c r="Z2455" s="87"/>
      <c r="AA2455" s="87"/>
      <c r="AB2455" s="87"/>
      <c r="AC2455" s="87"/>
      <c r="AD2455" s="87"/>
      <c r="AE2455" s="87"/>
      <c r="AF2455" s="87"/>
      <c r="AG2455" s="87"/>
      <c r="AH2455" s="87">
        <v>19</v>
      </c>
      <c r="AI2455" s="87"/>
      <c r="AJ2455" s="87"/>
      <c r="AK2455" s="87"/>
      <c r="AL2455" s="87"/>
      <c r="AM2455" s="87"/>
      <c r="AN2455" s="87">
        <v>2</v>
      </c>
      <c r="AO2455" s="87"/>
      <c r="AP2455" s="87">
        <v>3</v>
      </c>
      <c r="AQ2455" s="87">
        <v>2</v>
      </c>
      <c r="AR2455" s="87">
        <v>1</v>
      </c>
      <c r="AS2455" s="87">
        <v>2</v>
      </c>
      <c r="AT2455" s="87">
        <v>2</v>
      </c>
      <c r="AU2455" s="87">
        <v>7</v>
      </c>
      <c r="AV2455" s="87"/>
      <c r="AW2455" s="88" t="str">
        <f>HYPERLINK("http://www.openstreetmap.org/?mlat=35.6239&amp;mlon=44.9649&amp;zoom=12#map=12/35.6239/44.9649","Maplink1")</f>
        <v>Maplink1</v>
      </c>
      <c r="AX2455" s="88" t="str">
        <f>HYPERLINK("https://www.google.iq/maps/search/+35.6239,44.9649/@35.6239,44.9649,14z?hl=en","Maplink2")</f>
        <v>Maplink2</v>
      </c>
      <c r="AY2455" s="88" t="str">
        <f>HYPERLINK("http://www.bing.com/maps/?lvl=14&amp;sty=h&amp;cp=35.6239~44.9649&amp;sp=point.35.6239_44.9649","Maplink3")</f>
        <v>Maplink3</v>
      </c>
      <c r="AZ2455" s="76"/>
    </row>
    <row r="2456" spans="1:52" x14ac:dyDescent="0.25">
      <c r="A2456" s="86">
        <v>24813</v>
      </c>
      <c r="B2456" s="87" t="s">
        <v>27</v>
      </c>
      <c r="C2456" s="87" t="s">
        <v>4641</v>
      </c>
      <c r="D2456" s="87" t="s">
        <v>4717</v>
      </c>
      <c r="E2456" s="87" t="s">
        <v>4718</v>
      </c>
      <c r="F2456" s="87">
        <v>35.623867199999999</v>
      </c>
      <c r="G2456" s="87">
        <v>44.9548877</v>
      </c>
      <c r="H2456" s="86">
        <v>33</v>
      </c>
      <c r="I2456" s="86">
        <v>198</v>
      </c>
      <c r="J2456" s="87">
        <v>7</v>
      </c>
      <c r="K2456" s="87"/>
      <c r="L2456" s="87">
        <v>5</v>
      </c>
      <c r="M2456" s="87"/>
      <c r="N2456" s="87"/>
      <c r="O2456" s="87">
        <v>1</v>
      </c>
      <c r="P2456" s="87"/>
      <c r="Q2456" s="87"/>
      <c r="R2456" s="87"/>
      <c r="S2456" s="87"/>
      <c r="T2456" s="87"/>
      <c r="U2456" s="87"/>
      <c r="V2456" s="87">
        <v>4</v>
      </c>
      <c r="W2456" s="87"/>
      <c r="X2456" s="87">
        <v>16</v>
      </c>
      <c r="Y2456" s="87"/>
      <c r="Z2456" s="87"/>
      <c r="AA2456" s="87"/>
      <c r="AB2456" s="87"/>
      <c r="AC2456" s="87"/>
      <c r="AD2456" s="87"/>
      <c r="AE2456" s="87"/>
      <c r="AF2456" s="87"/>
      <c r="AG2456" s="87"/>
      <c r="AH2456" s="87">
        <v>33</v>
      </c>
      <c r="AI2456" s="87"/>
      <c r="AJ2456" s="87"/>
      <c r="AK2456" s="87"/>
      <c r="AL2456" s="87"/>
      <c r="AM2456" s="87"/>
      <c r="AN2456" s="87"/>
      <c r="AO2456" s="87">
        <v>2</v>
      </c>
      <c r="AP2456" s="87">
        <v>4</v>
      </c>
      <c r="AQ2456" s="87">
        <v>3</v>
      </c>
      <c r="AR2456" s="87"/>
      <c r="AS2456" s="87">
        <v>3</v>
      </c>
      <c r="AT2456" s="87">
        <v>12</v>
      </c>
      <c r="AU2456" s="87">
        <v>4</v>
      </c>
      <c r="AV2456" s="87">
        <v>5</v>
      </c>
      <c r="AW2456" s="88" t="str">
        <f>HYPERLINK("http://www.openstreetmap.org/?mlat=35.6239&amp;mlon=44.9549&amp;zoom=12#map=12/35.6239/44.9549","Maplink1")</f>
        <v>Maplink1</v>
      </c>
      <c r="AX2456" s="88" t="str">
        <f>HYPERLINK("https://www.google.iq/maps/search/+35.6239,44.9549/@35.6239,44.9549,14z?hl=en","Maplink2")</f>
        <v>Maplink2</v>
      </c>
      <c r="AY2456" s="88" t="str">
        <f>HYPERLINK("http://www.bing.com/maps/?lvl=14&amp;sty=h&amp;cp=35.6239~44.9549&amp;sp=point.35.6239_44.9549","Maplink3")</f>
        <v>Maplink3</v>
      </c>
      <c r="AZ2456" s="76"/>
    </row>
    <row r="2457" spans="1:52" x14ac:dyDescent="0.25">
      <c r="A2457" s="86">
        <v>24810</v>
      </c>
      <c r="B2457" s="87" t="s">
        <v>27</v>
      </c>
      <c r="C2457" s="87" t="s">
        <v>4641</v>
      </c>
      <c r="D2457" s="87" t="s">
        <v>4719</v>
      </c>
      <c r="E2457" s="87" t="s">
        <v>4720</v>
      </c>
      <c r="F2457" s="87">
        <v>35.620392799999998</v>
      </c>
      <c r="G2457" s="87">
        <v>44.956270600000003</v>
      </c>
      <c r="H2457" s="86">
        <v>16</v>
      </c>
      <c r="I2457" s="86">
        <v>96</v>
      </c>
      <c r="J2457" s="87">
        <v>2</v>
      </c>
      <c r="K2457" s="87"/>
      <c r="L2457" s="87">
        <v>1</v>
      </c>
      <c r="M2457" s="87"/>
      <c r="N2457" s="87"/>
      <c r="O2457" s="87">
        <v>1</v>
      </c>
      <c r="P2457" s="87"/>
      <c r="Q2457" s="87"/>
      <c r="R2457" s="87">
        <v>3</v>
      </c>
      <c r="S2457" s="87"/>
      <c r="T2457" s="87"/>
      <c r="U2457" s="87"/>
      <c r="V2457" s="87">
        <v>7</v>
      </c>
      <c r="W2457" s="87"/>
      <c r="X2457" s="87">
        <v>2</v>
      </c>
      <c r="Y2457" s="87"/>
      <c r="Z2457" s="87"/>
      <c r="AA2457" s="87"/>
      <c r="AB2457" s="87"/>
      <c r="AC2457" s="87"/>
      <c r="AD2457" s="87"/>
      <c r="AE2457" s="87"/>
      <c r="AF2457" s="87"/>
      <c r="AG2457" s="87"/>
      <c r="AH2457" s="87">
        <v>16</v>
      </c>
      <c r="AI2457" s="87"/>
      <c r="AJ2457" s="87"/>
      <c r="AK2457" s="87"/>
      <c r="AL2457" s="87"/>
      <c r="AM2457" s="87"/>
      <c r="AN2457" s="87"/>
      <c r="AO2457" s="87"/>
      <c r="AP2457" s="87">
        <v>5</v>
      </c>
      <c r="AQ2457" s="87">
        <v>5</v>
      </c>
      <c r="AR2457" s="87">
        <v>2</v>
      </c>
      <c r="AS2457" s="87"/>
      <c r="AT2457" s="87"/>
      <c r="AU2457" s="87">
        <v>4</v>
      </c>
      <c r="AV2457" s="87"/>
      <c r="AW2457" s="88" t="str">
        <f>HYPERLINK("http://www.openstreetmap.org/?mlat=35.6204&amp;mlon=44.9563&amp;zoom=12#map=12/35.6204/44.9563","Maplink1")</f>
        <v>Maplink1</v>
      </c>
      <c r="AX2457" s="88" t="str">
        <f>HYPERLINK("https://www.google.iq/maps/search/+35.6204,44.9563/@35.6204,44.9563,14z?hl=en","Maplink2")</f>
        <v>Maplink2</v>
      </c>
      <c r="AY2457" s="88" t="str">
        <f>HYPERLINK("http://www.bing.com/maps/?lvl=14&amp;sty=h&amp;cp=35.6204~44.9563&amp;sp=point.35.6204_44.9563","Maplink3")</f>
        <v>Maplink3</v>
      </c>
      <c r="AZ2457" s="76"/>
    </row>
    <row r="2458" spans="1:52" x14ac:dyDescent="0.25">
      <c r="A2458" s="86">
        <v>24812</v>
      </c>
      <c r="B2458" s="87" t="s">
        <v>27</v>
      </c>
      <c r="C2458" s="87" t="s">
        <v>4641</v>
      </c>
      <c r="D2458" s="87" t="s">
        <v>4721</v>
      </c>
      <c r="E2458" s="87" t="s">
        <v>4722</v>
      </c>
      <c r="F2458" s="87">
        <v>35.628312299999997</v>
      </c>
      <c r="G2458" s="87">
        <v>44.958396</v>
      </c>
      <c r="H2458" s="86">
        <v>4</v>
      </c>
      <c r="I2458" s="86">
        <v>24</v>
      </c>
      <c r="J2458" s="87"/>
      <c r="K2458" s="87"/>
      <c r="L2458" s="87">
        <v>1</v>
      </c>
      <c r="M2458" s="87"/>
      <c r="N2458" s="87"/>
      <c r="O2458" s="87">
        <v>1</v>
      </c>
      <c r="P2458" s="87"/>
      <c r="Q2458" s="87"/>
      <c r="R2458" s="87"/>
      <c r="S2458" s="87"/>
      <c r="T2458" s="87"/>
      <c r="U2458" s="87"/>
      <c r="V2458" s="87"/>
      <c r="W2458" s="87"/>
      <c r="X2458" s="87">
        <v>2</v>
      </c>
      <c r="Y2458" s="87"/>
      <c r="Z2458" s="87"/>
      <c r="AA2458" s="87"/>
      <c r="AB2458" s="87"/>
      <c r="AC2458" s="87"/>
      <c r="AD2458" s="87"/>
      <c r="AE2458" s="87"/>
      <c r="AF2458" s="87"/>
      <c r="AG2458" s="87"/>
      <c r="AH2458" s="87">
        <v>4</v>
      </c>
      <c r="AI2458" s="87"/>
      <c r="AJ2458" s="87"/>
      <c r="AK2458" s="87"/>
      <c r="AL2458" s="87"/>
      <c r="AM2458" s="87"/>
      <c r="AN2458" s="87"/>
      <c r="AO2458" s="87">
        <v>1</v>
      </c>
      <c r="AP2458" s="87">
        <v>1</v>
      </c>
      <c r="AQ2458" s="87">
        <v>2</v>
      </c>
      <c r="AR2458" s="87"/>
      <c r="AS2458" s="87"/>
      <c r="AT2458" s="87"/>
      <c r="AU2458" s="87"/>
      <c r="AV2458" s="87"/>
      <c r="AW2458" s="88" t="str">
        <f>HYPERLINK("http://www.openstreetmap.org/?mlat=35.6283&amp;mlon=44.9584&amp;zoom=12#map=12/35.6283/44.9584","Maplink1")</f>
        <v>Maplink1</v>
      </c>
      <c r="AX2458" s="88" t="str">
        <f>HYPERLINK("https://www.google.iq/maps/search/+35.6283,44.9584/@35.6283,44.9584,14z?hl=en","Maplink2")</f>
        <v>Maplink2</v>
      </c>
      <c r="AY2458" s="88" t="str">
        <f>HYPERLINK("http://www.bing.com/maps/?lvl=14&amp;sty=h&amp;cp=35.6283~44.9584&amp;sp=point.35.6283_44.9584","Maplink3")</f>
        <v>Maplink3</v>
      </c>
      <c r="AZ2458" s="76"/>
    </row>
    <row r="2459" spans="1:52" x14ac:dyDescent="0.25">
      <c r="A2459" s="86">
        <v>5189</v>
      </c>
      <c r="B2459" s="87" t="s">
        <v>27</v>
      </c>
      <c r="C2459" s="87" t="s">
        <v>4641</v>
      </c>
      <c r="D2459" s="87" t="s">
        <v>4723</v>
      </c>
      <c r="E2459" s="87" t="s">
        <v>4724</v>
      </c>
      <c r="F2459" s="87">
        <v>35.717513500000003</v>
      </c>
      <c r="G2459" s="87">
        <v>44.869535499999998</v>
      </c>
      <c r="H2459" s="86">
        <v>9</v>
      </c>
      <c r="I2459" s="86">
        <v>54</v>
      </c>
      <c r="J2459" s="87"/>
      <c r="K2459" s="87">
        <v>2</v>
      </c>
      <c r="L2459" s="87">
        <v>3</v>
      </c>
      <c r="M2459" s="87"/>
      <c r="N2459" s="87"/>
      <c r="O2459" s="87"/>
      <c r="P2459" s="87"/>
      <c r="Q2459" s="87"/>
      <c r="R2459" s="87"/>
      <c r="S2459" s="87"/>
      <c r="T2459" s="87"/>
      <c r="U2459" s="87"/>
      <c r="V2459" s="87">
        <v>4</v>
      </c>
      <c r="W2459" s="87"/>
      <c r="X2459" s="87"/>
      <c r="Y2459" s="87"/>
      <c r="Z2459" s="87"/>
      <c r="AA2459" s="87"/>
      <c r="AB2459" s="87"/>
      <c r="AC2459" s="87"/>
      <c r="AD2459" s="87"/>
      <c r="AE2459" s="87"/>
      <c r="AF2459" s="87"/>
      <c r="AG2459" s="87"/>
      <c r="AH2459" s="87">
        <v>9</v>
      </c>
      <c r="AI2459" s="87"/>
      <c r="AJ2459" s="87"/>
      <c r="AK2459" s="87"/>
      <c r="AL2459" s="87"/>
      <c r="AM2459" s="87"/>
      <c r="AN2459" s="87"/>
      <c r="AO2459" s="87">
        <v>2</v>
      </c>
      <c r="AP2459" s="87">
        <v>3</v>
      </c>
      <c r="AQ2459" s="87">
        <v>1</v>
      </c>
      <c r="AR2459" s="87"/>
      <c r="AS2459" s="87"/>
      <c r="AT2459" s="87">
        <v>2</v>
      </c>
      <c r="AU2459" s="87">
        <v>1</v>
      </c>
      <c r="AV2459" s="87"/>
      <c r="AW2459" s="88" t="str">
        <f>HYPERLINK("http://www.openstreetmap.org/?mlat=35.7175&amp;mlon=44.8695&amp;zoom=12#map=12/35.7175/44.8695","Maplink1")</f>
        <v>Maplink1</v>
      </c>
      <c r="AX2459" s="88" t="str">
        <f>HYPERLINK("https://www.google.iq/maps/search/+35.7175,44.8695/@35.7175,44.8695,14z?hl=en","Maplink2")</f>
        <v>Maplink2</v>
      </c>
      <c r="AY2459" s="88" t="str">
        <f>HYPERLINK("http://www.bing.com/maps/?lvl=14&amp;sty=h&amp;cp=35.7175~44.8695&amp;sp=point.35.7175_44.8695","Maplink3")</f>
        <v>Maplink3</v>
      </c>
      <c r="AZ2459" s="76"/>
    </row>
    <row r="2460" spans="1:52" x14ac:dyDescent="0.25">
      <c r="A2460" s="86">
        <v>5128</v>
      </c>
      <c r="B2460" s="87" t="s">
        <v>27</v>
      </c>
      <c r="C2460" s="87" t="s">
        <v>4725</v>
      </c>
      <c r="D2460" s="87" t="s">
        <v>4726</v>
      </c>
      <c r="E2460" s="87" t="s">
        <v>4727</v>
      </c>
      <c r="F2460" s="87">
        <v>35.203994100000003</v>
      </c>
      <c r="G2460" s="87">
        <v>45.723684400000003</v>
      </c>
      <c r="H2460" s="86">
        <v>5</v>
      </c>
      <c r="I2460" s="86">
        <v>30</v>
      </c>
      <c r="J2460" s="87">
        <v>3</v>
      </c>
      <c r="K2460" s="87"/>
      <c r="L2460" s="87"/>
      <c r="M2460" s="87"/>
      <c r="N2460" s="87"/>
      <c r="O2460" s="87">
        <v>2</v>
      </c>
      <c r="P2460" s="87"/>
      <c r="Q2460" s="87"/>
      <c r="R2460" s="87"/>
      <c r="S2460" s="87"/>
      <c r="T2460" s="87"/>
      <c r="U2460" s="87"/>
      <c r="V2460" s="87"/>
      <c r="W2460" s="87"/>
      <c r="X2460" s="87"/>
      <c r="Y2460" s="87"/>
      <c r="Z2460" s="87"/>
      <c r="AA2460" s="87"/>
      <c r="AB2460" s="87"/>
      <c r="AC2460" s="87"/>
      <c r="AD2460" s="87"/>
      <c r="AE2460" s="87"/>
      <c r="AF2460" s="87"/>
      <c r="AG2460" s="87"/>
      <c r="AH2460" s="87">
        <v>5</v>
      </c>
      <c r="AI2460" s="87"/>
      <c r="AJ2460" s="87"/>
      <c r="AK2460" s="87"/>
      <c r="AL2460" s="87"/>
      <c r="AM2460" s="87"/>
      <c r="AN2460" s="87"/>
      <c r="AO2460" s="87">
        <v>3</v>
      </c>
      <c r="AP2460" s="87"/>
      <c r="AQ2460" s="87">
        <v>2</v>
      </c>
      <c r="AR2460" s="87"/>
      <c r="AS2460" s="87"/>
      <c r="AT2460" s="87"/>
      <c r="AU2460" s="87"/>
      <c r="AV2460" s="87"/>
      <c r="AW2460" s="88" t="str">
        <f>HYPERLINK("http://www.openstreetmap.org/?mlat=35.204&amp;mlon=45.7237&amp;zoom=12#map=12/35.204/45.7237","Maplink1")</f>
        <v>Maplink1</v>
      </c>
      <c r="AX2460" s="88" t="str">
        <f>HYPERLINK("https://www.google.iq/maps/search/+35.204,45.7237/@35.204,45.7237,14z?hl=en","Maplink2")</f>
        <v>Maplink2</v>
      </c>
      <c r="AY2460" s="88" t="str">
        <f>HYPERLINK("http://www.bing.com/maps/?lvl=14&amp;sty=h&amp;cp=35.204~45.7237&amp;sp=point.35.204_45.7237","Maplink3")</f>
        <v>Maplink3</v>
      </c>
      <c r="AZ2460" s="76"/>
    </row>
    <row r="2461" spans="1:52" x14ac:dyDescent="0.25">
      <c r="A2461" s="86">
        <v>33464</v>
      </c>
      <c r="B2461" s="87" t="s">
        <v>27</v>
      </c>
      <c r="C2461" s="87" t="s">
        <v>4725</v>
      </c>
      <c r="D2461" s="87" t="s">
        <v>4728</v>
      </c>
      <c r="E2461" s="87" t="s">
        <v>4729</v>
      </c>
      <c r="F2461" s="87">
        <v>35.0172837</v>
      </c>
      <c r="G2461" s="87">
        <v>45.589735300000001</v>
      </c>
      <c r="H2461" s="86">
        <v>6</v>
      </c>
      <c r="I2461" s="86">
        <v>36</v>
      </c>
      <c r="J2461" s="87"/>
      <c r="K2461" s="87"/>
      <c r="L2461" s="87"/>
      <c r="M2461" s="87"/>
      <c r="N2461" s="87"/>
      <c r="O2461" s="87">
        <v>5</v>
      </c>
      <c r="P2461" s="87"/>
      <c r="Q2461" s="87"/>
      <c r="R2461" s="87"/>
      <c r="S2461" s="87"/>
      <c r="T2461" s="87"/>
      <c r="U2461" s="87"/>
      <c r="V2461" s="87"/>
      <c r="W2461" s="87"/>
      <c r="X2461" s="87">
        <v>1</v>
      </c>
      <c r="Y2461" s="87"/>
      <c r="Z2461" s="87"/>
      <c r="AA2461" s="87"/>
      <c r="AB2461" s="87"/>
      <c r="AC2461" s="87"/>
      <c r="AD2461" s="87"/>
      <c r="AE2461" s="87"/>
      <c r="AF2461" s="87"/>
      <c r="AG2461" s="87"/>
      <c r="AH2461" s="87">
        <v>6</v>
      </c>
      <c r="AI2461" s="87"/>
      <c r="AJ2461" s="87"/>
      <c r="AK2461" s="87"/>
      <c r="AL2461" s="87"/>
      <c r="AM2461" s="87"/>
      <c r="AN2461" s="87"/>
      <c r="AO2461" s="87">
        <v>2</v>
      </c>
      <c r="AP2461" s="87"/>
      <c r="AQ2461" s="87">
        <v>2</v>
      </c>
      <c r="AR2461" s="87"/>
      <c r="AS2461" s="87"/>
      <c r="AT2461" s="87"/>
      <c r="AU2461" s="87">
        <v>1</v>
      </c>
      <c r="AV2461" s="87">
        <v>1</v>
      </c>
      <c r="AW2461" s="88" t="str">
        <f>HYPERLINK("http://www.openstreetmap.org/?mlat=35.0173&amp;mlon=45.5897&amp;zoom=12#map=12/35.0173/45.5897","Maplink1")</f>
        <v>Maplink1</v>
      </c>
      <c r="AX2461" s="88" t="str">
        <f>HYPERLINK("https://www.google.iq/maps/search/+35.0173,45.5897/@35.0173,45.5897,14z?hl=en","Maplink2")</f>
        <v>Maplink2</v>
      </c>
      <c r="AY2461" s="88" t="str">
        <f>HYPERLINK("http://www.bing.com/maps/?lvl=14&amp;sty=h&amp;cp=35.0173~45.5897&amp;sp=point.35.0173_45.5897","Maplink3")</f>
        <v>Maplink3</v>
      </c>
      <c r="AZ2461" s="76"/>
    </row>
    <row r="2462" spans="1:52" x14ac:dyDescent="0.25">
      <c r="A2462" s="86">
        <v>24253</v>
      </c>
      <c r="B2462" s="87" t="s">
        <v>27</v>
      </c>
      <c r="C2462" s="87" t="s">
        <v>4725</v>
      </c>
      <c r="D2462" s="87" t="s">
        <v>4730</v>
      </c>
      <c r="E2462" s="87" t="s">
        <v>4731</v>
      </c>
      <c r="F2462" s="87">
        <v>35.097431200000003</v>
      </c>
      <c r="G2462" s="87">
        <v>45.694901399999999</v>
      </c>
      <c r="H2462" s="86">
        <v>34</v>
      </c>
      <c r="I2462" s="86">
        <v>204</v>
      </c>
      <c r="J2462" s="87">
        <v>7</v>
      </c>
      <c r="K2462" s="87"/>
      <c r="L2462" s="87">
        <v>6</v>
      </c>
      <c r="M2462" s="87"/>
      <c r="N2462" s="87"/>
      <c r="O2462" s="87">
        <v>20</v>
      </c>
      <c r="P2462" s="87"/>
      <c r="Q2462" s="87"/>
      <c r="R2462" s="87"/>
      <c r="S2462" s="87"/>
      <c r="T2462" s="87"/>
      <c r="U2462" s="87"/>
      <c r="V2462" s="87"/>
      <c r="W2462" s="87"/>
      <c r="X2462" s="87">
        <v>1</v>
      </c>
      <c r="Y2462" s="87"/>
      <c r="Z2462" s="87"/>
      <c r="AA2462" s="87"/>
      <c r="AB2462" s="87"/>
      <c r="AC2462" s="87"/>
      <c r="AD2462" s="87"/>
      <c r="AE2462" s="87"/>
      <c r="AF2462" s="87"/>
      <c r="AG2462" s="87"/>
      <c r="AH2462" s="87">
        <v>34</v>
      </c>
      <c r="AI2462" s="87"/>
      <c r="AJ2462" s="87"/>
      <c r="AK2462" s="87"/>
      <c r="AL2462" s="87"/>
      <c r="AM2462" s="87"/>
      <c r="AN2462" s="87"/>
      <c r="AO2462" s="87">
        <v>19</v>
      </c>
      <c r="AP2462" s="87">
        <v>1</v>
      </c>
      <c r="AQ2462" s="87">
        <v>8</v>
      </c>
      <c r="AR2462" s="87">
        <v>4</v>
      </c>
      <c r="AS2462" s="87"/>
      <c r="AT2462" s="87">
        <v>2</v>
      </c>
      <c r="AU2462" s="87"/>
      <c r="AV2462" s="87"/>
      <c r="AW2462" s="88" t="str">
        <f>HYPERLINK("http://www.openstreetmap.org/?mlat=35.0974&amp;mlon=45.6949&amp;zoom=12#map=12/35.0974/45.6949","Maplink1")</f>
        <v>Maplink1</v>
      </c>
      <c r="AX2462" s="88" t="str">
        <f>HYPERLINK("https://www.google.iq/maps/search/+35.0974,45.6949/@35.0974,45.6949,14z?hl=en","Maplink2")</f>
        <v>Maplink2</v>
      </c>
      <c r="AY2462" s="88" t="str">
        <f>HYPERLINK("http://www.bing.com/maps/?lvl=14&amp;sty=h&amp;cp=35.0974~45.6949&amp;sp=point.35.0974_45.6949","Maplink3")</f>
        <v>Maplink3</v>
      </c>
      <c r="AZ2462" s="76"/>
    </row>
    <row r="2463" spans="1:52" x14ac:dyDescent="0.25">
      <c r="A2463" s="86">
        <v>3565</v>
      </c>
      <c r="B2463" s="87" t="s">
        <v>27</v>
      </c>
      <c r="C2463" s="87" t="s">
        <v>4725</v>
      </c>
      <c r="D2463" s="87" t="s">
        <v>4732</v>
      </c>
      <c r="E2463" s="87" t="s">
        <v>4733</v>
      </c>
      <c r="F2463" s="87">
        <v>35.1831326</v>
      </c>
      <c r="G2463" s="87">
        <v>45.573954700000002</v>
      </c>
      <c r="H2463" s="86">
        <v>9</v>
      </c>
      <c r="I2463" s="86">
        <v>54</v>
      </c>
      <c r="J2463" s="87"/>
      <c r="K2463" s="87"/>
      <c r="L2463" s="87"/>
      <c r="M2463" s="87"/>
      <c r="N2463" s="87"/>
      <c r="O2463" s="87">
        <v>1</v>
      </c>
      <c r="P2463" s="87"/>
      <c r="Q2463" s="87"/>
      <c r="R2463" s="87"/>
      <c r="S2463" s="87"/>
      <c r="T2463" s="87"/>
      <c r="U2463" s="87"/>
      <c r="V2463" s="87"/>
      <c r="W2463" s="87"/>
      <c r="X2463" s="87">
        <v>8</v>
      </c>
      <c r="Y2463" s="87"/>
      <c r="Z2463" s="87"/>
      <c r="AA2463" s="87"/>
      <c r="AB2463" s="87"/>
      <c r="AC2463" s="87"/>
      <c r="AD2463" s="87"/>
      <c r="AE2463" s="87"/>
      <c r="AF2463" s="87"/>
      <c r="AG2463" s="87"/>
      <c r="AH2463" s="87">
        <v>9</v>
      </c>
      <c r="AI2463" s="87"/>
      <c r="AJ2463" s="87"/>
      <c r="AK2463" s="87"/>
      <c r="AL2463" s="87"/>
      <c r="AM2463" s="87"/>
      <c r="AN2463" s="87"/>
      <c r="AO2463" s="87">
        <v>7</v>
      </c>
      <c r="AP2463" s="87"/>
      <c r="AQ2463" s="87"/>
      <c r="AR2463" s="87"/>
      <c r="AS2463" s="87">
        <v>2</v>
      </c>
      <c r="AT2463" s="87"/>
      <c r="AU2463" s="87"/>
      <c r="AV2463" s="87"/>
      <c r="AW2463" s="88" t="str">
        <f>HYPERLINK("http://www.openstreetmap.org/?mlat=35.1831&amp;mlon=45.574&amp;zoom=12#map=12/35.1831/45.574","Maplink1")</f>
        <v>Maplink1</v>
      </c>
      <c r="AX2463" s="88" t="str">
        <f>HYPERLINK("https://www.google.iq/maps/search/+35.1831,45.574/@35.1831,45.574,14z?hl=en","Maplink2")</f>
        <v>Maplink2</v>
      </c>
      <c r="AY2463" s="88" t="str">
        <f>HYPERLINK("http://www.bing.com/maps/?lvl=14&amp;sty=h&amp;cp=35.1831~45.574&amp;sp=point.35.1831_45.574","Maplink3")</f>
        <v>Maplink3</v>
      </c>
      <c r="AZ2463" s="76"/>
    </row>
    <row r="2464" spans="1:52" x14ac:dyDescent="0.25">
      <c r="A2464" s="86">
        <v>6301</v>
      </c>
      <c r="B2464" s="87" t="s">
        <v>27</v>
      </c>
      <c r="C2464" s="87" t="s">
        <v>4725</v>
      </c>
      <c r="D2464" s="87" t="s">
        <v>4734</v>
      </c>
      <c r="E2464" s="87" t="s">
        <v>4735</v>
      </c>
      <c r="F2464" s="87">
        <v>35.124132899999999</v>
      </c>
      <c r="G2464" s="87">
        <v>45.682646400000003</v>
      </c>
      <c r="H2464" s="86">
        <v>96</v>
      </c>
      <c r="I2464" s="86">
        <v>576</v>
      </c>
      <c r="J2464" s="87">
        <v>9</v>
      </c>
      <c r="K2464" s="87"/>
      <c r="L2464" s="87">
        <v>15</v>
      </c>
      <c r="M2464" s="87"/>
      <c r="N2464" s="87"/>
      <c r="O2464" s="87">
        <v>27</v>
      </c>
      <c r="P2464" s="87"/>
      <c r="Q2464" s="87"/>
      <c r="R2464" s="87">
        <v>1</v>
      </c>
      <c r="S2464" s="87"/>
      <c r="T2464" s="87"/>
      <c r="U2464" s="87"/>
      <c r="V2464" s="87">
        <v>1</v>
      </c>
      <c r="W2464" s="87"/>
      <c r="X2464" s="87">
        <v>43</v>
      </c>
      <c r="Y2464" s="87"/>
      <c r="Z2464" s="87"/>
      <c r="AA2464" s="87"/>
      <c r="AB2464" s="87"/>
      <c r="AC2464" s="87"/>
      <c r="AD2464" s="87"/>
      <c r="AE2464" s="87"/>
      <c r="AF2464" s="87"/>
      <c r="AG2464" s="87"/>
      <c r="AH2464" s="87">
        <v>96</v>
      </c>
      <c r="AI2464" s="87"/>
      <c r="AJ2464" s="87"/>
      <c r="AK2464" s="87"/>
      <c r="AL2464" s="87"/>
      <c r="AM2464" s="87"/>
      <c r="AN2464" s="87">
        <v>6</v>
      </c>
      <c r="AO2464" s="87">
        <v>37</v>
      </c>
      <c r="AP2464" s="87">
        <v>5</v>
      </c>
      <c r="AQ2464" s="87">
        <v>29</v>
      </c>
      <c r="AR2464" s="87">
        <v>9</v>
      </c>
      <c r="AS2464" s="87">
        <v>7</v>
      </c>
      <c r="AT2464" s="87">
        <v>2</v>
      </c>
      <c r="AU2464" s="87">
        <v>1</v>
      </c>
      <c r="AV2464" s="87"/>
      <c r="AW2464" s="88" t="str">
        <f>HYPERLINK("http://www.openstreetmap.org/?mlat=35.1241&amp;mlon=45.6826&amp;zoom=12#map=12/35.1241/45.6826","Maplink1")</f>
        <v>Maplink1</v>
      </c>
      <c r="AX2464" s="88" t="str">
        <f>HYPERLINK("https://www.google.iq/maps/search/+35.1241,45.6826/@35.1241,45.6826,14z?hl=en","Maplink2")</f>
        <v>Maplink2</v>
      </c>
      <c r="AY2464" s="88" t="str">
        <f>HYPERLINK("http://www.bing.com/maps/?lvl=14&amp;sty=h&amp;cp=35.1241~45.6826&amp;sp=point.35.1241_45.6826","Maplink3")</f>
        <v>Maplink3</v>
      </c>
      <c r="AZ2464" s="76"/>
    </row>
    <row r="2465" spans="1:52" x14ac:dyDescent="0.25">
      <c r="A2465" s="86">
        <v>33463</v>
      </c>
      <c r="B2465" s="87" t="s">
        <v>27</v>
      </c>
      <c r="C2465" s="87" t="s">
        <v>4725</v>
      </c>
      <c r="D2465" s="87" t="s">
        <v>4736</v>
      </c>
      <c r="E2465" s="87" t="s">
        <v>4737</v>
      </c>
      <c r="F2465" s="87">
        <v>35.1491349</v>
      </c>
      <c r="G2465" s="87">
        <v>45.647586199999999</v>
      </c>
      <c r="H2465" s="86">
        <v>10</v>
      </c>
      <c r="I2465" s="86">
        <v>60</v>
      </c>
      <c r="J2465" s="87"/>
      <c r="K2465" s="87"/>
      <c r="L2465" s="87">
        <v>2</v>
      </c>
      <c r="M2465" s="87"/>
      <c r="N2465" s="87"/>
      <c r="O2465" s="87">
        <v>3</v>
      </c>
      <c r="P2465" s="87"/>
      <c r="Q2465" s="87"/>
      <c r="R2465" s="87"/>
      <c r="S2465" s="87"/>
      <c r="T2465" s="87"/>
      <c r="U2465" s="87"/>
      <c r="V2465" s="87"/>
      <c r="W2465" s="87"/>
      <c r="X2465" s="87">
        <v>5</v>
      </c>
      <c r="Y2465" s="87"/>
      <c r="Z2465" s="87"/>
      <c r="AA2465" s="87"/>
      <c r="AB2465" s="87"/>
      <c r="AC2465" s="87"/>
      <c r="AD2465" s="87"/>
      <c r="AE2465" s="87"/>
      <c r="AF2465" s="87"/>
      <c r="AG2465" s="87"/>
      <c r="AH2465" s="87">
        <v>10</v>
      </c>
      <c r="AI2465" s="87"/>
      <c r="AJ2465" s="87"/>
      <c r="AK2465" s="87"/>
      <c r="AL2465" s="87"/>
      <c r="AM2465" s="87"/>
      <c r="AN2465" s="87"/>
      <c r="AO2465" s="87">
        <v>5</v>
      </c>
      <c r="AP2465" s="87">
        <v>1</v>
      </c>
      <c r="AQ2465" s="87">
        <v>1</v>
      </c>
      <c r="AR2465" s="87"/>
      <c r="AS2465" s="87">
        <v>2</v>
      </c>
      <c r="AT2465" s="87"/>
      <c r="AU2465" s="87"/>
      <c r="AV2465" s="87">
        <v>1</v>
      </c>
      <c r="AW2465" s="88" t="str">
        <f>HYPERLINK("http://www.openstreetmap.org/?mlat=35.1491&amp;mlon=45.6476&amp;zoom=12#map=12/35.1491/45.6476","Maplink1")</f>
        <v>Maplink1</v>
      </c>
      <c r="AX2465" s="88" t="str">
        <f>HYPERLINK("https://www.google.iq/maps/search/+35.1491,45.6476/@35.1491,45.6476,14z?hl=en","Maplink2")</f>
        <v>Maplink2</v>
      </c>
      <c r="AY2465" s="88" t="str">
        <f>HYPERLINK("http://www.bing.com/maps/?lvl=14&amp;sty=h&amp;cp=35.1491~45.6476&amp;sp=point.35.1491_45.6476","Maplink3")</f>
        <v>Maplink3</v>
      </c>
      <c r="AZ2465" s="76"/>
    </row>
    <row r="2466" spans="1:52" x14ac:dyDescent="0.25">
      <c r="A2466" s="86">
        <v>29693</v>
      </c>
      <c r="B2466" s="87" t="s">
        <v>27</v>
      </c>
      <c r="C2466" s="87" t="s">
        <v>4725</v>
      </c>
      <c r="D2466" s="87" t="s">
        <v>4738</v>
      </c>
      <c r="E2466" s="87" t="s">
        <v>4739</v>
      </c>
      <c r="F2466" s="87">
        <v>35.305016600000002</v>
      </c>
      <c r="G2466" s="87">
        <v>45.677793999999999</v>
      </c>
      <c r="H2466" s="86">
        <v>40</v>
      </c>
      <c r="I2466" s="86">
        <v>240</v>
      </c>
      <c r="J2466" s="87">
        <v>7</v>
      </c>
      <c r="K2466" s="87">
        <v>2</v>
      </c>
      <c r="L2466" s="87">
        <v>16</v>
      </c>
      <c r="M2466" s="87"/>
      <c r="N2466" s="87"/>
      <c r="O2466" s="87">
        <v>8</v>
      </c>
      <c r="P2466" s="87"/>
      <c r="Q2466" s="87"/>
      <c r="R2466" s="87"/>
      <c r="S2466" s="87"/>
      <c r="T2466" s="87"/>
      <c r="U2466" s="87"/>
      <c r="V2466" s="87"/>
      <c r="W2466" s="87"/>
      <c r="X2466" s="87">
        <v>7</v>
      </c>
      <c r="Y2466" s="87"/>
      <c r="Z2466" s="87"/>
      <c r="AA2466" s="87"/>
      <c r="AB2466" s="87"/>
      <c r="AC2466" s="87"/>
      <c r="AD2466" s="87"/>
      <c r="AE2466" s="87"/>
      <c r="AF2466" s="87"/>
      <c r="AG2466" s="87"/>
      <c r="AH2466" s="87">
        <v>40</v>
      </c>
      <c r="AI2466" s="87"/>
      <c r="AJ2466" s="87"/>
      <c r="AK2466" s="87"/>
      <c r="AL2466" s="87"/>
      <c r="AM2466" s="87"/>
      <c r="AN2466" s="87"/>
      <c r="AO2466" s="87">
        <v>7</v>
      </c>
      <c r="AP2466" s="87">
        <v>3</v>
      </c>
      <c r="AQ2466" s="87">
        <v>6</v>
      </c>
      <c r="AR2466" s="87">
        <v>12</v>
      </c>
      <c r="AS2466" s="87">
        <v>4</v>
      </c>
      <c r="AT2466" s="87">
        <v>2</v>
      </c>
      <c r="AU2466" s="87">
        <v>1</v>
      </c>
      <c r="AV2466" s="87">
        <v>5</v>
      </c>
      <c r="AW2466" s="88" t="str">
        <f>HYPERLINK("http://www.openstreetmap.org/?mlat=35.305&amp;mlon=45.6778&amp;zoom=12#map=12/35.305/45.6778","Maplink1")</f>
        <v>Maplink1</v>
      </c>
      <c r="AX2466" s="88" t="str">
        <f>HYPERLINK("https://www.google.iq/maps/search/+35.305,45.6778/@35.305,45.6778,14z?hl=en","Maplink2")</f>
        <v>Maplink2</v>
      </c>
      <c r="AY2466" s="88" t="str">
        <f>HYPERLINK("http://www.bing.com/maps/?lvl=14&amp;sty=h&amp;cp=35.305~45.6778&amp;sp=point.35.305_45.6778","Maplink3")</f>
        <v>Maplink3</v>
      </c>
      <c r="AZ2466" s="76"/>
    </row>
    <row r="2467" spans="1:52" x14ac:dyDescent="0.25">
      <c r="A2467" s="86">
        <v>24252</v>
      </c>
      <c r="B2467" s="87" t="s">
        <v>27</v>
      </c>
      <c r="C2467" s="87" t="s">
        <v>4725</v>
      </c>
      <c r="D2467" s="87" t="s">
        <v>4740</v>
      </c>
      <c r="E2467" s="87" t="s">
        <v>4741</v>
      </c>
      <c r="F2467" s="87">
        <v>35.117258700000001</v>
      </c>
      <c r="G2467" s="87">
        <v>45.667113000000001</v>
      </c>
      <c r="H2467" s="86">
        <v>81</v>
      </c>
      <c r="I2467" s="86">
        <v>486</v>
      </c>
      <c r="J2467" s="87">
        <v>5</v>
      </c>
      <c r="K2467" s="87"/>
      <c r="L2467" s="87"/>
      <c r="M2467" s="87"/>
      <c r="N2467" s="87"/>
      <c r="O2467" s="87">
        <v>48</v>
      </c>
      <c r="P2467" s="87"/>
      <c r="Q2467" s="87"/>
      <c r="R2467" s="87"/>
      <c r="S2467" s="87"/>
      <c r="T2467" s="87"/>
      <c r="U2467" s="87"/>
      <c r="V2467" s="87"/>
      <c r="W2467" s="87"/>
      <c r="X2467" s="87">
        <v>28</v>
      </c>
      <c r="Y2467" s="87"/>
      <c r="Z2467" s="87"/>
      <c r="AA2467" s="87"/>
      <c r="AB2467" s="87"/>
      <c r="AC2467" s="87"/>
      <c r="AD2467" s="87"/>
      <c r="AE2467" s="87"/>
      <c r="AF2467" s="87"/>
      <c r="AG2467" s="87"/>
      <c r="AH2467" s="87">
        <v>81</v>
      </c>
      <c r="AI2467" s="87"/>
      <c r="AJ2467" s="87"/>
      <c r="AK2467" s="87"/>
      <c r="AL2467" s="87"/>
      <c r="AM2467" s="87"/>
      <c r="AN2467" s="87"/>
      <c r="AO2467" s="87">
        <v>26</v>
      </c>
      <c r="AP2467" s="87">
        <v>18</v>
      </c>
      <c r="AQ2467" s="87">
        <v>23</v>
      </c>
      <c r="AR2467" s="87">
        <v>5</v>
      </c>
      <c r="AS2467" s="87">
        <v>9</v>
      </c>
      <c r="AT2467" s="87"/>
      <c r="AU2467" s="87"/>
      <c r="AV2467" s="87"/>
      <c r="AW2467" s="88" t="str">
        <f>HYPERLINK("http://www.openstreetmap.org/?mlat=35.1173&amp;mlon=45.6671&amp;zoom=12#map=12/35.1173/45.6671","Maplink1")</f>
        <v>Maplink1</v>
      </c>
      <c r="AX2467" s="88" t="str">
        <f>HYPERLINK("https://www.google.iq/maps/search/+35.1173,45.6671/@35.1173,45.6671,14z?hl=en","Maplink2")</f>
        <v>Maplink2</v>
      </c>
      <c r="AY2467" s="88" t="str">
        <f>HYPERLINK("http://www.bing.com/maps/?lvl=14&amp;sty=h&amp;cp=35.1173~45.6671&amp;sp=point.35.1173_45.6671","Maplink3")</f>
        <v>Maplink3</v>
      </c>
      <c r="AZ2467" s="76"/>
    </row>
    <row r="2468" spans="1:52" x14ac:dyDescent="0.25">
      <c r="A2468" s="86">
        <v>24251</v>
      </c>
      <c r="B2468" s="87" t="s">
        <v>27</v>
      </c>
      <c r="C2468" s="87" t="s">
        <v>4725</v>
      </c>
      <c r="D2468" s="87" t="s">
        <v>4742</v>
      </c>
      <c r="E2468" s="87" t="s">
        <v>4743</v>
      </c>
      <c r="F2468" s="87">
        <v>35.112480499999997</v>
      </c>
      <c r="G2468" s="87">
        <v>45.689632199999998</v>
      </c>
      <c r="H2468" s="86">
        <v>116</v>
      </c>
      <c r="I2468" s="86">
        <v>696</v>
      </c>
      <c r="J2468" s="87">
        <v>6</v>
      </c>
      <c r="K2468" s="87"/>
      <c r="L2468" s="87">
        <v>7</v>
      </c>
      <c r="M2468" s="87"/>
      <c r="N2468" s="87"/>
      <c r="O2468" s="87">
        <v>81</v>
      </c>
      <c r="P2468" s="87"/>
      <c r="Q2468" s="87"/>
      <c r="R2468" s="87"/>
      <c r="S2468" s="87"/>
      <c r="T2468" s="87"/>
      <c r="U2468" s="87"/>
      <c r="V2468" s="87"/>
      <c r="W2468" s="87"/>
      <c r="X2468" s="87">
        <v>22</v>
      </c>
      <c r="Y2468" s="87"/>
      <c r="Z2468" s="87"/>
      <c r="AA2468" s="87"/>
      <c r="AB2468" s="87"/>
      <c r="AC2468" s="87"/>
      <c r="AD2468" s="87"/>
      <c r="AE2468" s="87"/>
      <c r="AF2468" s="87"/>
      <c r="AG2468" s="87"/>
      <c r="AH2468" s="87">
        <v>116</v>
      </c>
      <c r="AI2468" s="87"/>
      <c r="AJ2468" s="87"/>
      <c r="AK2468" s="87"/>
      <c r="AL2468" s="87"/>
      <c r="AM2468" s="87"/>
      <c r="AN2468" s="87">
        <v>4</v>
      </c>
      <c r="AO2468" s="87">
        <v>30</v>
      </c>
      <c r="AP2468" s="87">
        <v>13</v>
      </c>
      <c r="AQ2468" s="87">
        <v>37</v>
      </c>
      <c r="AR2468" s="87">
        <v>11</v>
      </c>
      <c r="AS2468" s="87">
        <v>16</v>
      </c>
      <c r="AT2468" s="87">
        <v>4</v>
      </c>
      <c r="AU2468" s="87">
        <v>1</v>
      </c>
      <c r="AV2468" s="87"/>
      <c r="AW2468" s="88" t="str">
        <f>HYPERLINK("http://www.openstreetmap.org/?mlat=35.1125&amp;mlon=45.6896&amp;zoom=12#map=12/35.1125/45.6896","Maplink1")</f>
        <v>Maplink1</v>
      </c>
      <c r="AX2468" s="88" t="str">
        <f>HYPERLINK("https://www.google.iq/maps/search/+35.1125,45.6896/@35.1125,45.6896,14z?hl=en","Maplink2")</f>
        <v>Maplink2</v>
      </c>
      <c r="AY2468" s="88" t="str">
        <f>HYPERLINK("http://www.bing.com/maps/?lvl=14&amp;sty=h&amp;cp=35.1125~45.6896&amp;sp=point.35.1125_45.6896","Maplink3")</f>
        <v>Maplink3</v>
      </c>
      <c r="AZ2468" s="76"/>
    </row>
    <row r="2469" spans="1:52" x14ac:dyDescent="0.25">
      <c r="A2469" s="86">
        <v>29517</v>
      </c>
      <c r="B2469" s="87" t="s">
        <v>27</v>
      </c>
      <c r="C2469" s="87" t="s">
        <v>4725</v>
      </c>
      <c r="D2469" s="87" t="s">
        <v>4744</v>
      </c>
      <c r="E2469" s="87" t="s">
        <v>4745</v>
      </c>
      <c r="F2469" s="87">
        <v>35.110135900000003</v>
      </c>
      <c r="G2469" s="87">
        <v>45.683906100000002</v>
      </c>
      <c r="H2469" s="86">
        <v>117</v>
      </c>
      <c r="I2469" s="86">
        <v>702</v>
      </c>
      <c r="J2469" s="87">
        <v>11</v>
      </c>
      <c r="K2469" s="87"/>
      <c r="L2469" s="87">
        <v>16</v>
      </c>
      <c r="M2469" s="87"/>
      <c r="N2469" s="87"/>
      <c r="O2469" s="87">
        <v>72</v>
      </c>
      <c r="P2469" s="87"/>
      <c r="Q2469" s="87"/>
      <c r="R2469" s="87"/>
      <c r="S2469" s="87"/>
      <c r="T2469" s="87"/>
      <c r="U2469" s="87"/>
      <c r="V2469" s="87"/>
      <c r="W2469" s="87"/>
      <c r="X2469" s="87">
        <v>18</v>
      </c>
      <c r="Y2469" s="87"/>
      <c r="Z2469" s="87"/>
      <c r="AA2469" s="87"/>
      <c r="AB2469" s="87"/>
      <c r="AC2469" s="87"/>
      <c r="AD2469" s="87"/>
      <c r="AE2469" s="87"/>
      <c r="AF2469" s="87"/>
      <c r="AG2469" s="87"/>
      <c r="AH2469" s="87">
        <v>117</v>
      </c>
      <c r="AI2469" s="87"/>
      <c r="AJ2469" s="87"/>
      <c r="AK2469" s="87"/>
      <c r="AL2469" s="87"/>
      <c r="AM2469" s="87"/>
      <c r="AN2469" s="87">
        <v>3</v>
      </c>
      <c r="AO2469" s="87">
        <v>24</v>
      </c>
      <c r="AP2469" s="87">
        <v>13</v>
      </c>
      <c r="AQ2469" s="87">
        <v>28</v>
      </c>
      <c r="AR2469" s="87">
        <v>19</v>
      </c>
      <c r="AS2469" s="87">
        <v>16</v>
      </c>
      <c r="AT2469" s="87">
        <v>11</v>
      </c>
      <c r="AU2469" s="87">
        <v>3</v>
      </c>
      <c r="AV2469" s="87"/>
      <c r="AW2469" s="88" t="str">
        <f>HYPERLINK("http://www.openstreetmap.org/?mlat=35.1101&amp;mlon=45.6839&amp;zoom=12#map=12/35.1101/45.6839","Maplink1")</f>
        <v>Maplink1</v>
      </c>
      <c r="AX2469" s="88" t="str">
        <f>HYPERLINK("https://www.google.iq/maps/search/+35.1101,45.6839/@35.1101,45.6839,14z?hl=en","Maplink2")</f>
        <v>Maplink2</v>
      </c>
      <c r="AY2469" s="88" t="str">
        <f>HYPERLINK("http://www.bing.com/maps/?lvl=14&amp;sty=h&amp;cp=35.1101~45.6839&amp;sp=point.35.1101_45.6839","Maplink3")</f>
        <v>Maplink3</v>
      </c>
      <c r="AZ2469" s="76"/>
    </row>
    <row r="2470" spans="1:52" x14ac:dyDescent="0.25">
      <c r="A2470" s="86">
        <v>29704</v>
      </c>
      <c r="B2470" s="87" t="s">
        <v>27</v>
      </c>
      <c r="C2470" s="87" t="s">
        <v>4725</v>
      </c>
      <c r="D2470" s="87" t="s">
        <v>4746</v>
      </c>
      <c r="E2470" s="87" t="s">
        <v>2597</v>
      </c>
      <c r="F2470" s="87">
        <v>35.316499700000001</v>
      </c>
      <c r="G2470" s="87">
        <v>45.668822200000001</v>
      </c>
      <c r="H2470" s="86">
        <v>32</v>
      </c>
      <c r="I2470" s="86">
        <v>192</v>
      </c>
      <c r="J2470" s="87">
        <v>15</v>
      </c>
      <c r="K2470" s="87">
        <v>2</v>
      </c>
      <c r="L2470" s="87">
        <v>4</v>
      </c>
      <c r="M2470" s="87"/>
      <c r="N2470" s="87"/>
      <c r="O2470" s="87">
        <v>8</v>
      </c>
      <c r="P2470" s="87"/>
      <c r="Q2470" s="87"/>
      <c r="R2470" s="87"/>
      <c r="S2470" s="87"/>
      <c r="T2470" s="87"/>
      <c r="U2470" s="87"/>
      <c r="V2470" s="87">
        <v>1</v>
      </c>
      <c r="W2470" s="87"/>
      <c r="X2470" s="87">
        <v>2</v>
      </c>
      <c r="Y2470" s="87"/>
      <c r="Z2470" s="87"/>
      <c r="AA2470" s="87"/>
      <c r="AB2470" s="87"/>
      <c r="AC2470" s="87"/>
      <c r="AD2470" s="87"/>
      <c r="AE2470" s="87"/>
      <c r="AF2470" s="87"/>
      <c r="AG2470" s="87"/>
      <c r="AH2470" s="87">
        <v>32</v>
      </c>
      <c r="AI2470" s="87"/>
      <c r="AJ2470" s="87"/>
      <c r="AK2470" s="87"/>
      <c r="AL2470" s="87"/>
      <c r="AM2470" s="87"/>
      <c r="AN2470" s="87"/>
      <c r="AO2470" s="87">
        <v>5</v>
      </c>
      <c r="AP2470" s="87">
        <v>2</v>
      </c>
      <c r="AQ2470" s="87">
        <v>10</v>
      </c>
      <c r="AR2470" s="87">
        <v>10</v>
      </c>
      <c r="AS2470" s="87">
        <v>5</v>
      </c>
      <c r="AT2470" s="87"/>
      <c r="AU2470" s="87"/>
      <c r="AV2470" s="87"/>
      <c r="AW2470" s="88" t="str">
        <f>HYPERLINK("http://www.openstreetmap.org/?mlat=35.3165&amp;mlon=45.6688&amp;zoom=12#map=12/35.3165/45.6688","Maplink1")</f>
        <v>Maplink1</v>
      </c>
      <c r="AX2470" s="88" t="str">
        <f>HYPERLINK("https://www.google.iq/maps/search/+35.3165,45.6688/@35.3165,45.6688,14z?hl=en","Maplink2")</f>
        <v>Maplink2</v>
      </c>
      <c r="AY2470" s="88" t="str">
        <f>HYPERLINK("http://www.bing.com/maps/?lvl=14&amp;sty=h&amp;cp=35.3165~45.6688&amp;sp=point.35.3165_45.6688","Maplink3")</f>
        <v>Maplink3</v>
      </c>
      <c r="AZ2470" s="76"/>
    </row>
    <row r="2471" spans="1:52" x14ac:dyDescent="0.25">
      <c r="A2471" s="86">
        <v>29705</v>
      </c>
      <c r="B2471" s="87" t="s">
        <v>27</v>
      </c>
      <c r="C2471" s="87" t="s">
        <v>4725</v>
      </c>
      <c r="D2471" s="87" t="s">
        <v>4747</v>
      </c>
      <c r="E2471" s="87" t="s">
        <v>4748</v>
      </c>
      <c r="F2471" s="87">
        <v>35.315982099999999</v>
      </c>
      <c r="G2471" s="87">
        <v>45.676947800000001</v>
      </c>
      <c r="H2471" s="86">
        <v>19</v>
      </c>
      <c r="I2471" s="86">
        <v>114</v>
      </c>
      <c r="J2471" s="87">
        <v>4</v>
      </c>
      <c r="K2471" s="87"/>
      <c r="L2471" s="87">
        <v>3</v>
      </c>
      <c r="M2471" s="87"/>
      <c r="N2471" s="87"/>
      <c r="O2471" s="87">
        <v>6</v>
      </c>
      <c r="P2471" s="87"/>
      <c r="Q2471" s="87"/>
      <c r="R2471" s="87"/>
      <c r="S2471" s="87"/>
      <c r="T2471" s="87"/>
      <c r="U2471" s="87"/>
      <c r="V2471" s="87"/>
      <c r="W2471" s="87"/>
      <c r="X2471" s="87">
        <v>6</v>
      </c>
      <c r="Y2471" s="87"/>
      <c r="Z2471" s="87"/>
      <c r="AA2471" s="87"/>
      <c r="AB2471" s="87"/>
      <c r="AC2471" s="87"/>
      <c r="AD2471" s="87"/>
      <c r="AE2471" s="87"/>
      <c r="AF2471" s="87"/>
      <c r="AG2471" s="87"/>
      <c r="AH2471" s="87">
        <v>19</v>
      </c>
      <c r="AI2471" s="87"/>
      <c r="AJ2471" s="87"/>
      <c r="AK2471" s="87"/>
      <c r="AL2471" s="87"/>
      <c r="AM2471" s="87"/>
      <c r="AN2471" s="87"/>
      <c r="AO2471" s="87">
        <v>5</v>
      </c>
      <c r="AP2471" s="87">
        <v>2</v>
      </c>
      <c r="AQ2471" s="87">
        <v>7</v>
      </c>
      <c r="AR2471" s="87">
        <v>2</v>
      </c>
      <c r="AS2471" s="87">
        <v>3</v>
      </c>
      <c r="AT2471" s="87"/>
      <c r="AU2471" s="87"/>
      <c r="AV2471" s="87"/>
      <c r="AW2471" s="88" t="str">
        <f>HYPERLINK("http://www.openstreetmap.org/?mlat=35.316&amp;mlon=45.6769&amp;zoom=12#map=12/35.316/45.6769","Maplink1")</f>
        <v>Maplink1</v>
      </c>
      <c r="AX2471" s="88" t="str">
        <f>HYPERLINK("https://www.google.iq/maps/search/+35.316,45.6769/@35.316,45.6769,14z?hl=en","Maplink2")</f>
        <v>Maplink2</v>
      </c>
      <c r="AY2471" s="88" t="str">
        <f>HYPERLINK("http://www.bing.com/maps/?lvl=14&amp;sty=h&amp;cp=35.316~45.6769&amp;sp=point.35.316_45.6769","Maplink3")</f>
        <v>Maplink3</v>
      </c>
      <c r="AZ2471" s="76"/>
    </row>
    <row r="2472" spans="1:52" x14ac:dyDescent="0.25">
      <c r="A2472" s="86">
        <v>24670</v>
      </c>
      <c r="B2472" s="87" t="s">
        <v>27</v>
      </c>
      <c r="C2472" s="87" t="s">
        <v>4725</v>
      </c>
      <c r="D2472" s="87" t="s">
        <v>4749</v>
      </c>
      <c r="E2472" s="87" t="s">
        <v>4750</v>
      </c>
      <c r="F2472" s="87">
        <v>35.1079729</v>
      </c>
      <c r="G2472" s="87">
        <v>45.688610599999997</v>
      </c>
      <c r="H2472" s="86">
        <v>82</v>
      </c>
      <c r="I2472" s="86">
        <v>492</v>
      </c>
      <c r="J2472" s="87">
        <v>5</v>
      </c>
      <c r="K2472" s="87"/>
      <c r="L2472" s="87">
        <v>9</v>
      </c>
      <c r="M2472" s="87"/>
      <c r="N2472" s="87"/>
      <c r="O2472" s="87">
        <v>45</v>
      </c>
      <c r="P2472" s="87"/>
      <c r="Q2472" s="87"/>
      <c r="R2472" s="87"/>
      <c r="S2472" s="87"/>
      <c r="T2472" s="87"/>
      <c r="U2472" s="87"/>
      <c r="V2472" s="87">
        <v>5</v>
      </c>
      <c r="W2472" s="87"/>
      <c r="X2472" s="87">
        <v>18</v>
      </c>
      <c r="Y2472" s="87"/>
      <c r="Z2472" s="87"/>
      <c r="AA2472" s="87"/>
      <c r="AB2472" s="87"/>
      <c r="AC2472" s="87"/>
      <c r="AD2472" s="87"/>
      <c r="AE2472" s="87"/>
      <c r="AF2472" s="87"/>
      <c r="AG2472" s="87"/>
      <c r="AH2472" s="87">
        <v>82</v>
      </c>
      <c r="AI2472" s="87"/>
      <c r="AJ2472" s="87"/>
      <c r="AK2472" s="87"/>
      <c r="AL2472" s="87"/>
      <c r="AM2472" s="87"/>
      <c r="AN2472" s="87"/>
      <c r="AO2472" s="87">
        <v>29</v>
      </c>
      <c r="AP2472" s="87">
        <v>15</v>
      </c>
      <c r="AQ2472" s="87">
        <v>20</v>
      </c>
      <c r="AR2472" s="87">
        <v>8</v>
      </c>
      <c r="AS2472" s="87">
        <v>5</v>
      </c>
      <c r="AT2472" s="87">
        <v>4</v>
      </c>
      <c r="AU2472" s="87">
        <v>1</v>
      </c>
      <c r="AV2472" s="87"/>
      <c r="AW2472" s="88" t="str">
        <f>HYPERLINK("http://www.openstreetmap.org/?mlat=35.108&amp;mlon=45.6886&amp;zoom=12#map=12/35.108/45.6886","Maplink1")</f>
        <v>Maplink1</v>
      </c>
      <c r="AX2472" s="88" t="str">
        <f>HYPERLINK("https://www.google.iq/maps/search/+35.108,45.6886/@35.108,45.6886,14z?hl=en","Maplink2")</f>
        <v>Maplink2</v>
      </c>
      <c r="AY2472" s="88" t="str">
        <f>HYPERLINK("http://www.bing.com/maps/?lvl=14&amp;sty=h&amp;cp=35.108~45.6886&amp;sp=point.35.108_45.6886","Maplink3")</f>
        <v>Maplink3</v>
      </c>
      <c r="AZ2472" s="76"/>
    </row>
    <row r="2473" spans="1:52" x14ac:dyDescent="0.25">
      <c r="A2473" s="86">
        <v>29514</v>
      </c>
      <c r="B2473" s="87" t="s">
        <v>27</v>
      </c>
      <c r="C2473" s="87" t="s">
        <v>4725</v>
      </c>
      <c r="D2473" s="87" t="s">
        <v>2054</v>
      </c>
      <c r="E2473" s="87" t="s">
        <v>2055</v>
      </c>
      <c r="F2473" s="87">
        <v>35.114108100000003</v>
      </c>
      <c r="G2473" s="87">
        <v>45.677517299999998</v>
      </c>
      <c r="H2473" s="86">
        <v>10</v>
      </c>
      <c r="I2473" s="86">
        <v>60</v>
      </c>
      <c r="J2473" s="87"/>
      <c r="K2473" s="87"/>
      <c r="L2473" s="87">
        <v>1</v>
      </c>
      <c r="M2473" s="87"/>
      <c r="N2473" s="87"/>
      <c r="O2473" s="87">
        <v>6</v>
      </c>
      <c r="P2473" s="87"/>
      <c r="Q2473" s="87"/>
      <c r="R2473" s="87"/>
      <c r="S2473" s="87"/>
      <c r="T2473" s="87"/>
      <c r="U2473" s="87"/>
      <c r="V2473" s="87"/>
      <c r="W2473" s="87"/>
      <c r="X2473" s="87">
        <v>3</v>
      </c>
      <c r="Y2473" s="87"/>
      <c r="Z2473" s="87"/>
      <c r="AA2473" s="87"/>
      <c r="AB2473" s="87"/>
      <c r="AC2473" s="87"/>
      <c r="AD2473" s="87"/>
      <c r="AE2473" s="87"/>
      <c r="AF2473" s="87"/>
      <c r="AG2473" s="87"/>
      <c r="AH2473" s="87">
        <v>10</v>
      </c>
      <c r="AI2473" s="87"/>
      <c r="AJ2473" s="87"/>
      <c r="AK2473" s="87"/>
      <c r="AL2473" s="87"/>
      <c r="AM2473" s="87"/>
      <c r="AN2473" s="87">
        <v>2</v>
      </c>
      <c r="AO2473" s="87">
        <v>3</v>
      </c>
      <c r="AP2473" s="87"/>
      <c r="AQ2473" s="87">
        <v>1</v>
      </c>
      <c r="AR2473" s="87"/>
      <c r="AS2473" s="87">
        <v>2</v>
      </c>
      <c r="AT2473" s="87"/>
      <c r="AU2473" s="87">
        <v>2</v>
      </c>
      <c r="AV2473" s="87"/>
      <c r="AW2473" s="88" t="str">
        <f>HYPERLINK("http://www.openstreetmap.org/?mlat=35.1141&amp;mlon=45.6775&amp;zoom=12#map=12/35.1141/45.6775","Maplink1")</f>
        <v>Maplink1</v>
      </c>
      <c r="AX2473" s="88" t="str">
        <f>HYPERLINK("https://www.google.iq/maps/search/+35.1141,45.6775/@35.1141,45.6775,14z?hl=en","Maplink2")</f>
        <v>Maplink2</v>
      </c>
      <c r="AY2473" s="88" t="str">
        <f>HYPERLINK("http://www.bing.com/maps/?lvl=14&amp;sty=h&amp;cp=35.1141~45.6775&amp;sp=point.35.1141_45.6775","Maplink3")</f>
        <v>Maplink3</v>
      </c>
      <c r="AZ2473" s="76"/>
    </row>
    <row r="2474" spans="1:52" x14ac:dyDescent="0.25">
      <c r="A2474" s="86">
        <v>29516</v>
      </c>
      <c r="B2474" s="87" t="s">
        <v>27</v>
      </c>
      <c r="C2474" s="87" t="s">
        <v>4725</v>
      </c>
      <c r="D2474" s="87" t="s">
        <v>4710</v>
      </c>
      <c r="E2474" s="87" t="s">
        <v>2779</v>
      </c>
      <c r="F2474" s="87">
        <v>35.113545700000003</v>
      </c>
      <c r="G2474" s="87">
        <v>45.6819658</v>
      </c>
      <c r="H2474" s="86">
        <v>78</v>
      </c>
      <c r="I2474" s="86">
        <v>468</v>
      </c>
      <c r="J2474" s="87">
        <v>4</v>
      </c>
      <c r="K2474" s="87"/>
      <c r="L2474" s="87">
        <v>15</v>
      </c>
      <c r="M2474" s="87"/>
      <c r="N2474" s="87"/>
      <c r="O2474" s="87">
        <v>29</v>
      </c>
      <c r="P2474" s="87"/>
      <c r="Q2474" s="87"/>
      <c r="R2474" s="87"/>
      <c r="S2474" s="87"/>
      <c r="T2474" s="87"/>
      <c r="U2474" s="87"/>
      <c r="V2474" s="87">
        <v>1</v>
      </c>
      <c r="W2474" s="87"/>
      <c r="X2474" s="87">
        <v>29</v>
      </c>
      <c r="Y2474" s="87"/>
      <c r="Z2474" s="87"/>
      <c r="AA2474" s="87"/>
      <c r="AB2474" s="87"/>
      <c r="AC2474" s="87"/>
      <c r="AD2474" s="87"/>
      <c r="AE2474" s="87"/>
      <c r="AF2474" s="87"/>
      <c r="AG2474" s="87"/>
      <c r="AH2474" s="87">
        <v>78</v>
      </c>
      <c r="AI2474" s="87"/>
      <c r="AJ2474" s="87"/>
      <c r="AK2474" s="87"/>
      <c r="AL2474" s="87"/>
      <c r="AM2474" s="87"/>
      <c r="AN2474" s="87"/>
      <c r="AO2474" s="87">
        <v>20</v>
      </c>
      <c r="AP2474" s="87">
        <v>8</v>
      </c>
      <c r="AQ2474" s="87">
        <v>14</v>
      </c>
      <c r="AR2474" s="87">
        <v>17</v>
      </c>
      <c r="AS2474" s="87">
        <v>7</v>
      </c>
      <c r="AT2474" s="87">
        <v>8</v>
      </c>
      <c r="AU2474" s="87">
        <v>4</v>
      </c>
      <c r="AV2474" s="87"/>
      <c r="AW2474" s="88" t="str">
        <f>HYPERLINK("http://www.openstreetmap.org/?mlat=35.1135&amp;mlon=45.682&amp;zoom=12#map=12/35.1135/45.682","Maplink1")</f>
        <v>Maplink1</v>
      </c>
      <c r="AX2474" s="88" t="str">
        <f>HYPERLINK("https://www.google.iq/maps/search/+35.1135,45.682/@35.1135,45.682,14z?hl=en","Maplink2")</f>
        <v>Maplink2</v>
      </c>
      <c r="AY2474" s="88" t="str">
        <f>HYPERLINK("http://www.bing.com/maps/?lvl=14&amp;sty=h&amp;cp=35.1135~45.682&amp;sp=point.35.1135_45.682","Maplink3")</f>
        <v>Maplink3</v>
      </c>
      <c r="AZ2474" s="76"/>
    </row>
    <row r="2475" spans="1:52" x14ac:dyDescent="0.25">
      <c r="A2475" s="86">
        <v>29515</v>
      </c>
      <c r="B2475" s="87" t="s">
        <v>27</v>
      </c>
      <c r="C2475" s="87" t="s">
        <v>4725</v>
      </c>
      <c r="D2475" s="87" t="s">
        <v>4751</v>
      </c>
      <c r="E2475" s="87" t="s">
        <v>2156</v>
      </c>
      <c r="F2475" s="87">
        <v>35.114073599999998</v>
      </c>
      <c r="G2475" s="87">
        <v>45.679698799999997</v>
      </c>
      <c r="H2475" s="86">
        <v>23</v>
      </c>
      <c r="I2475" s="86">
        <v>138</v>
      </c>
      <c r="J2475" s="87">
        <v>2</v>
      </c>
      <c r="K2475" s="87">
        <v>2</v>
      </c>
      <c r="L2475" s="87">
        <v>2</v>
      </c>
      <c r="M2475" s="87"/>
      <c r="N2475" s="87"/>
      <c r="O2475" s="87">
        <v>11</v>
      </c>
      <c r="P2475" s="87"/>
      <c r="Q2475" s="87"/>
      <c r="R2475" s="87"/>
      <c r="S2475" s="87"/>
      <c r="T2475" s="87"/>
      <c r="U2475" s="87"/>
      <c r="V2475" s="87"/>
      <c r="W2475" s="87"/>
      <c r="X2475" s="87">
        <v>6</v>
      </c>
      <c r="Y2475" s="87"/>
      <c r="Z2475" s="87"/>
      <c r="AA2475" s="87"/>
      <c r="AB2475" s="87"/>
      <c r="AC2475" s="87"/>
      <c r="AD2475" s="87"/>
      <c r="AE2475" s="87"/>
      <c r="AF2475" s="87"/>
      <c r="AG2475" s="87"/>
      <c r="AH2475" s="87">
        <v>23</v>
      </c>
      <c r="AI2475" s="87"/>
      <c r="AJ2475" s="87"/>
      <c r="AK2475" s="87"/>
      <c r="AL2475" s="87"/>
      <c r="AM2475" s="87"/>
      <c r="AN2475" s="87"/>
      <c r="AO2475" s="87">
        <v>10</v>
      </c>
      <c r="AP2475" s="87">
        <v>3</v>
      </c>
      <c r="AQ2475" s="87">
        <v>4</v>
      </c>
      <c r="AR2475" s="87">
        <v>2</v>
      </c>
      <c r="AS2475" s="87">
        <v>3</v>
      </c>
      <c r="AT2475" s="87">
        <v>1</v>
      </c>
      <c r="AU2475" s="87"/>
      <c r="AV2475" s="87"/>
      <c r="AW2475" s="88" t="str">
        <f>HYPERLINK("http://www.openstreetmap.org/?mlat=35.1141&amp;mlon=45.6797&amp;zoom=12#map=12/35.1141/45.6797","Maplink1")</f>
        <v>Maplink1</v>
      </c>
      <c r="AX2475" s="88" t="str">
        <f>HYPERLINK("https://www.google.iq/maps/search/+35.1141,45.6797/@35.1141,45.6797,14z?hl=en","Maplink2")</f>
        <v>Maplink2</v>
      </c>
      <c r="AY2475" s="88" t="str">
        <f>HYPERLINK("http://www.bing.com/maps/?lvl=14&amp;sty=h&amp;cp=35.1141~45.6797&amp;sp=point.35.1141_45.6797","Maplink3")</f>
        <v>Maplink3</v>
      </c>
      <c r="AZ2475" s="76"/>
    </row>
    <row r="2476" spans="1:52" x14ac:dyDescent="0.25">
      <c r="A2476" s="86">
        <v>5093</v>
      </c>
      <c r="B2476" s="87" t="s">
        <v>27</v>
      </c>
      <c r="C2476" s="87" t="s">
        <v>4725</v>
      </c>
      <c r="D2476" s="87" t="s">
        <v>4752</v>
      </c>
      <c r="E2476" s="87" t="s">
        <v>4753</v>
      </c>
      <c r="F2476" s="87">
        <v>35.300752000000003</v>
      </c>
      <c r="G2476" s="87">
        <v>45.680982499999999</v>
      </c>
      <c r="H2476" s="86">
        <v>25</v>
      </c>
      <c r="I2476" s="86">
        <v>150</v>
      </c>
      <c r="J2476" s="87">
        <v>11</v>
      </c>
      <c r="K2476" s="87"/>
      <c r="L2476" s="87">
        <v>7</v>
      </c>
      <c r="M2476" s="87"/>
      <c r="N2476" s="87"/>
      <c r="O2476" s="87">
        <v>6</v>
      </c>
      <c r="P2476" s="87"/>
      <c r="Q2476" s="87"/>
      <c r="R2476" s="87"/>
      <c r="S2476" s="87"/>
      <c r="T2476" s="87"/>
      <c r="U2476" s="87"/>
      <c r="V2476" s="87"/>
      <c r="W2476" s="87"/>
      <c r="X2476" s="87">
        <v>1</v>
      </c>
      <c r="Y2476" s="87"/>
      <c r="Z2476" s="87"/>
      <c r="AA2476" s="87"/>
      <c r="AB2476" s="87"/>
      <c r="AC2476" s="87"/>
      <c r="AD2476" s="87"/>
      <c r="AE2476" s="87"/>
      <c r="AF2476" s="87"/>
      <c r="AG2476" s="87"/>
      <c r="AH2476" s="87">
        <v>25</v>
      </c>
      <c r="AI2476" s="87"/>
      <c r="AJ2476" s="87"/>
      <c r="AK2476" s="87"/>
      <c r="AL2476" s="87"/>
      <c r="AM2476" s="87"/>
      <c r="AN2476" s="87"/>
      <c r="AO2476" s="87">
        <v>6</v>
      </c>
      <c r="AP2476" s="87">
        <v>5</v>
      </c>
      <c r="AQ2476" s="87">
        <v>6</v>
      </c>
      <c r="AR2476" s="87">
        <v>3</v>
      </c>
      <c r="AS2476" s="87">
        <v>4</v>
      </c>
      <c r="AT2476" s="87"/>
      <c r="AU2476" s="87">
        <v>1</v>
      </c>
      <c r="AV2476" s="87"/>
      <c r="AW2476" s="88" t="str">
        <f>HYPERLINK("http://www.openstreetmap.org/?mlat=35.3008&amp;mlon=45.681&amp;zoom=12#map=12/35.3008/45.681","Maplink1")</f>
        <v>Maplink1</v>
      </c>
      <c r="AX2476" s="88" t="str">
        <f>HYPERLINK("https://www.google.iq/maps/search/+35.3008,45.681/@35.3008,45.681,14z?hl=en","Maplink2")</f>
        <v>Maplink2</v>
      </c>
      <c r="AY2476" s="88" t="str">
        <f>HYPERLINK("http://www.bing.com/maps/?lvl=14&amp;sty=h&amp;cp=35.3008~45.681&amp;sp=point.35.3008_45.681","Maplink3")</f>
        <v>Maplink3</v>
      </c>
      <c r="AZ2476" s="76"/>
    </row>
    <row r="2477" spans="1:52" x14ac:dyDescent="0.25">
      <c r="A2477" s="86">
        <v>32091</v>
      </c>
      <c r="B2477" s="87" t="s">
        <v>27</v>
      </c>
      <c r="C2477" s="87" t="s">
        <v>4754</v>
      </c>
      <c r="D2477" s="87" t="s">
        <v>4755</v>
      </c>
      <c r="E2477" s="87" t="s">
        <v>4756</v>
      </c>
      <c r="F2477" s="87">
        <v>35.7286742</v>
      </c>
      <c r="G2477" s="87">
        <v>45.141780199999999</v>
      </c>
      <c r="H2477" s="86">
        <v>53</v>
      </c>
      <c r="I2477" s="86">
        <v>318</v>
      </c>
      <c r="J2477" s="87">
        <v>5</v>
      </c>
      <c r="K2477" s="87">
        <v>26</v>
      </c>
      <c r="L2477" s="87">
        <v>4</v>
      </c>
      <c r="M2477" s="87"/>
      <c r="N2477" s="87"/>
      <c r="O2477" s="87">
        <v>10</v>
      </c>
      <c r="P2477" s="87"/>
      <c r="Q2477" s="87"/>
      <c r="R2477" s="87"/>
      <c r="S2477" s="87"/>
      <c r="T2477" s="87"/>
      <c r="U2477" s="87"/>
      <c r="V2477" s="87">
        <v>4</v>
      </c>
      <c r="W2477" s="87"/>
      <c r="X2477" s="87">
        <v>4</v>
      </c>
      <c r="Y2477" s="87"/>
      <c r="Z2477" s="87"/>
      <c r="AA2477" s="87"/>
      <c r="AB2477" s="87"/>
      <c r="AC2477" s="87"/>
      <c r="AD2477" s="87"/>
      <c r="AE2477" s="87"/>
      <c r="AF2477" s="87"/>
      <c r="AG2477" s="87"/>
      <c r="AH2477" s="87">
        <v>52</v>
      </c>
      <c r="AI2477" s="87"/>
      <c r="AJ2477" s="87"/>
      <c r="AK2477" s="87"/>
      <c r="AL2477" s="87">
        <v>1</v>
      </c>
      <c r="AM2477" s="87"/>
      <c r="AN2477" s="87">
        <v>13</v>
      </c>
      <c r="AO2477" s="87">
        <v>20</v>
      </c>
      <c r="AP2477" s="87">
        <v>3</v>
      </c>
      <c r="AQ2477" s="87">
        <v>14</v>
      </c>
      <c r="AR2477" s="87"/>
      <c r="AS2477" s="87"/>
      <c r="AT2477" s="87"/>
      <c r="AU2477" s="87">
        <v>3</v>
      </c>
      <c r="AV2477" s="87"/>
      <c r="AW2477" s="88" t="str">
        <f>HYPERLINK("http://www.openstreetmap.org/?mlat=35.7287&amp;mlon=45.1418&amp;zoom=12#map=12/35.7287/45.1418","Maplink1")</f>
        <v>Maplink1</v>
      </c>
      <c r="AX2477" s="88" t="str">
        <f>HYPERLINK("https://www.google.iq/maps/search/+35.7287,45.1418/@35.7287,45.1418,14z?hl=en","Maplink2")</f>
        <v>Maplink2</v>
      </c>
      <c r="AY2477" s="88" t="str">
        <f>HYPERLINK("http://www.bing.com/maps/?lvl=14&amp;sty=h&amp;cp=35.7287~45.1418&amp;sp=point.35.7287_45.1418","Maplink3")</f>
        <v>Maplink3</v>
      </c>
      <c r="AZ2477" s="76"/>
    </row>
    <row r="2478" spans="1:52" x14ac:dyDescent="0.25">
      <c r="A2478" s="86">
        <v>23924</v>
      </c>
      <c r="B2478" s="87" t="s">
        <v>27</v>
      </c>
      <c r="C2478" s="87" t="s">
        <v>4754</v>
      </c>
      <c r="D2478" s="87" t="s">
        <v>4757</v>
      </c>
      <c r="E2478" s="87" t="s">
        <v>4758</v>
      </c>
      <c r="F2478" s="87">
        <v>35.932836100000003</v>
      </c>
      <c r="G2478" s="87">
        <v>44.964229199999998</v>
      </c>
      <c r="H2478" s="86">
        <v>23</v>
      </c>
      <c r="I2478" s="86">
        <v>138</v>
      </c>
      <c r="J2478" s="87">
        <v>11</v>
      </c>
      <c r="K2478" s="87">
        <v>2</v>
      </c>
      <c r="L2478" s="87"/>
      <c r="M2478" s="87"/>
      <c r="N2478" s="87"/>
      <c r="O2478" s="87">
        <v>3</v>
      </c>
      <c r="P2478" s="87"/>
      <c r="Q2478" s="87"/>
      <c r="R2478" s="87">
        <v>4</v>
      </c>
      <c r="S2478" s="87"/>
      <c r="T2478" s="87"/>
      <c r="U2478" s="87"/>
      <c r="V2478" s="87">
        <v>3</v>
      </c>
      <c r="W2478" s="87"/>
      <c r="X2478" s="87"/>
      <c r="Y2478" s="87"/>
      <c r="Z2478" s="87"/>
      <c r="AA2478" s="87"/>
      <c r="AB2478" s="87"/>
      <c r="AC2478" s="87"/>
      <c r="AD2478" s="87"/>
      <c r="AE2478" s="87"/>
      <c r="AF2478" s="87"/>
      <c r="AG2478" s="87"/>
      <c r="AH2478" s="87">
        <v>21</v>
      </c>
      <c r="AI2478" s="87"/>
      <c r="AJ2478" s="87"/>
      <c r="AK2478" s="87"/>
      <c r="AL2478" s="87">
        <v>2</v>
      </c>
      <c r="AM2478" s="87"/>
      <c r="AN2478" s="87">
        <v>2</v>
      </c>
      <c r="AO2478" s="87">
        <v>6</v>
      </c>
      <c r="AP2478" s="87">
        <v>4</v>
      </c>
      <c r="AQ2478" s="87">
        <v>4</v>
      </c>
      <c r="AR2478" s="87">
        <v>2</v>
      </c>
      <c r="AS2478" s="87"/>
      <c r="AT2478" s="87"/>
      <c r="AU2478" s="87">
        <v>4</v>
      </c>
      <c r="AV2478" s="87">
        <v>1</v>
      </c>
      <c r="AW2478" s="88" t="str">
        <f>HYPERLINK("http://www.openstreetmap.org/?mlat=35.9328&amp;mlon=44.9642&amp;zoom=12#map=12/35.9328/44.9642","Maplink1")</f>
        <v>Maplink1</v>
      </c>
      <c r="AX2478" s="88" t="str">
        <f>HYPERLINK("https://www.google.iq/maps/search/+35.9328,44.9642/@35.9328,44.9642,14z?hl=en","Maplink2")</f>
        <v>Maplink2</v>
      </c>
      <c r="AY2478" s="88" t="str">
        <f>HYPERLINK("http://www.bing.com/maps/?lvl=14&amp;sty=h&amp;cp=35.9328~44.9642&amp;sp=point.35.9328_44.9642","Maplink3")</f>
        <v>Maplink3</v>
      </c>
      <c r="AZ2478" s="76"/>
    </row>
    <row r="2479" spans="1:52" x14ac:dyDescent="0.25">
      <c r="A2479" s="86">
        <v>31968</v>
      </c>
      <c r="B2479" s="87" t="s">
        <v>27</v>
      </c>
      <c r="C2479" s="87" t="s">
        <v>4754</v>
      </c>
      <c r="D2479" s="87" t="s">
        <v>4759</v>
      </c>
      <c r="E2479" s="87" t="s">
        <v>4760</v>
      </c>
      <c r="F2479" s="87">
        <v>36.022710600000003</v>
      </c>
      <c r="G2479" s="87">
        <v>44.834444400000002</v>
      </c>
      <c r="H2479" s="86">
        <v>2</v>
      </c>
      <c r="I2479" s="86">
        <v>12</v>
      </c>
      <c r="J2479" s="87"/>
      <c r="K2479" s="87"/>
      <c r="L2479" s="87">
        <v>1</v>
      </c>
      <c r="M2479" s="87"/>
      <c r="N2479" s="87"/>
      <c r="O2479" s="87"/>
      <c r="P2479" s="87"/>
      <c r="Q2479" s="87"/>
      <c r="R2479" s="87"/>
      <c r="S2479" s="87"/>
      <c r="T2479" s="87"/>
      <c r="U2479" s="87"/>
      <c r="V2479" s="87">
        <v>1</v>
      </c>
      <c r="W2479" s="87"/>
      <c r="X2479" s="87"/>
      <c r="Y2479" s="87"/>
      <c r="Z2479" s="87"/>
      <c r="AA2479" s="87"/>
      <c r="AB2479" s="87"/>
      <c r="AC2479" s="87"/>
      <c r="AD2479" s="87"/>
      <c r="AE2479" s="87"/>
      <c r="AF2479" s="87"/>
      <c r="AG2479" s="87"/>
      <c r="AH2479" s="87">
        <v>2</v>
      </c>
      <c r="AI2479" s="87"/>
      <c r="AJ2479" s="87"/>
      <c r="AK2479" s="87"/>
      <c r="AL2479" s="87"/>
      <c r="AM2479" s="87"/>
      <c r="AN2479" s="87"/>
      <c r="AO2479" s="87">
        <v>1</v>
      </c>
      <c r="AP2479" s="87"/>
      <c r="AQ2479" s="87">
        <v>1</v>
      </c>
      <c r="AR2479" s="87"/>
      <c r="AS2479" s="87"/>
      <c r="AT2479" s="87"/>
      <c r="AU2479" s="87"/>
      <c r="AV2479" s="87"/>
      <c r="AW2479" s="88" t="str">
        <f>HYPERLINK("http://www.openstreetmap.org/?mlat=36.0227&amp;mlon=44.8344&amp;zoom=12#map=12/36.0227/44.8344","Maplink1")</f>
        <v>Maplink1</v>
      </c>
      <c r="AX2479" s="88" t="str">
        <f>HYPERLINK("https://www.google.iq/maps/search/+36.0227,44.8344/@36.0227,44.8344,14z?hl=en","Maplink2")</f>
        <v>Maplink2</v>
      </c>
      <c r="AY2479" s="88" t="str">
        <f>HYPERLINK("http://www.bing.com/maps/?lvl=14&amp;sty=h&amp;cp=36.0227~44.8344&amp;sp=point.36.0227_44.8344","Maplink3")</f>
        <v>Maplink3</v>
      </c>
      <c r="AZ2479" s="76"/>
    </row>
    <row r="2480" spans="1:52" x14ac:dyDescent="0.25">
      <c r="A2480" s="86">
        <v>4714</v>
      </c>
      <c r="B2480" s="87" t="s">
        <v>27</v>
      </c>
      <c r="C2480" s="87" t="s">
        <v>4754</v>
      </c>
      <c r="D2480" s="87" t="s">
        <v>4761</v>
      </c>
      <c r="E2480" s="87" t="s">
        <v>4762</v>
      </c>
      <c r="F2480" s="87">
        <v>35.724029399999999</v>
      </c>
      <c r="G2480" s="87">
        <v>45.136850799999998</v>
      </c>
      <c r="H2480" s="86">
        <v>19</v>
      </c>
      <c r="I2480" s="86">
        <v>114</v>
      </c>
      <c r="J2480" s="87"/>
      <c r="K2480" s="87"/>
      <c r="L2480" s="87">
        <v>3</v>
      </c>
      <c r="M2480" s="87"/>
      <c r="N2480" s="87"/>
      <c r="O2480" s="87"/>
      <c r="P2480" s="87"/>
      <c r="Q2480" s="87"/>
      <c r="R2480" s="87">
        <v>1</v>
      </c>
      <c r="S2480" s="87"/>
      <c r="T2480" s="87"/>
      <c r="U2480" s="87"/>
      <c r="V2480" s="87">
        <v>13</v>
      </c>
      <c r="W2480" s="87"/>
      <c r="X2480" s="87">
        <v>2</v>
      </c>
      <c r="Y2480" s="87"/>
      <c r="Z2480" s="87"/>
      <c r="AA2480" s="87"/>
      <c r="AB2480" s="87"/>
      <c r="AC2480" s="87"/>
      <c r="AD2480" s="87"/>
      <c r="AE2480" s="87"/>
      <c r="AF2480" s="87"/>
      <c r="AG2480" s="87"/>
      <c r="AH2480" s="87">
        <v>19</v>
      </c>
      <c r="AI2480" s="87"/>
      <c r="AJ2480" s="87"/>
      <c r="AK2480" s="87"/>
      <c r="AL2480" s="87"/>
      <c r="AM2480" s="87"/>
      <c r="AN2480" s="87"/>
      <c r="AO2480" s="87">
        <v>7</v>
      </c>
      <c r="AP2480" s="87">
        <v>11</v>
      </c>
      <c r="AQ2480" s="87">
        <v>1</v>
      </c>
      <c r="AR2480" s="87"/>
      <c r="AS2480" s="87"/>
      <c r="AT2480" s="87"/>
      <c r="AU2480" s="87"/>
      <c r="AV2480" s="87"/>
      <c r="AW2480" s="88" t="str">
        <f>HYPERLINK("http://www.openstreetmap.org/?mlat=35.724&amp;mlon=45.1369&amp;zoom=12#map=12/35.724/45.1369","Maplink1")</f>
        <v>Maplink1</v>
      </c>
      <c r="AX2480" s="88" t="str">
        <f>HYPERLINK("https://www.google.iq/maps/search/+35.724,45.1369/@35.724,45.1369,14z?hl=en","Maplink2")</f>
        <v>Maplink2</v>
      </c>
      <c r="AY2480" s="88" t="str">
        <f>HYPERLINK("http://www.bing.com/maps/?lvl=14&amp;sty=h&amp;cp=35.724~45.1369&amp;sp=point.35.724_45.1369","Maplink3")</f>
        <v>Maplink3</v>
      </c>
      <c r="AZ2480" s="76"/>
    </row>
    <row r="2481" spans="1:52" x14ac:dyDescent="0.25">
      <c r="A2481" s="86">
        <v>23721</v>
      </c>
      <c r="B2481" s="87" t="s">
        <v>27</v>
      </c>
      <c r="C2481" s="87" t="s">
        <v>4754</v>
      </c>
      <c r="D2481" s="87" t="s">
        <v>4763</v>
      </c>
      <c r="E2481" s="87" t="s">
        <v>4764</v>
      </c>
      <c r="F2481" s="87">
        <v>35.931398399999999</v>
      </c>
      <c r="G2481" s="87">
        <v>44.969087700000003</v>
      </c>
      <c r="H2481" s="86">
        <v>56</v>
      </c>
      <c r="I2481" s="86">
        <v>336</v>
      </c>
      <c r="J2481" s="87">
        <v>19</v>
      </c>
      <c r="K2481" s="87">
        <v>10</v>
      </c>
      <c r="L2481" s="87">
        <v>4</v>
      </c>
      <c r="M2481" s="87"/>
      <c r="N2481" s="87"/>
      <c r="O2481" s="87">
        <v>11</v>
      </c>
      <c r="P2481" s="87"/>
      <c r="Q2481" s="87"/>
      <c r="R2481" s="87">
        <v>4</v>
      </c>
      <c r="S2481" s="87"/>
      <c r="T2481" s="87"/>
      <c r="U2481" s="87"/>
      <c r="V2481" s="87">
        <v>4</v>
      </c>
      <c r="W2481" s="87"/>
      <c r="X2481" s="87">
        <v>4</v>
      </c>
      <c r="Y2481" s="87"/>
      <c r="Z2481" s="87"/>
      <c r="AA2481" s="87"/>
      <c r="AB2481" s="87"/>
      <c r="AC2481" s="87"/>
      <c r="AD2481" s="87"/>
      <c r="AE2481" s="87"/>
      <c r="AF2481" s="87"/>
      <c r="AG2481" s="87"/>
      <c r="AH2481" s="87">
        <v>55</v>
      </c>
      <c r="AI2481" s="87"/>
      <c r="AJ2481" s="87"/>
      <c r="AK2481" s="87"/>
      <c r="AL2481" s="87">
        <v>1</v>
      </c>
      <c r="AM2481" s="87"/>
      <c r="AN2481" s="87">
        <v>9</v>
      </c>
      <c r="AO2481" s="87">
        <v>17</v>
      </c>
      <c r="AP2481" s="87">
        <v>6</v>
      </c>
      <c r="AQ2481" s="87">
        <v>13</v>
      </c>
      <c r="AR2481" s="87">
        <v>5</v>
      </c>
      <c r="AS2481" s="87"/>
      <c r="AT2481" s="87"/>
      <c r="AU2481" s="87">
        <v>6</v>
      </c>
      <c r="AV2481" s="87"/>
      <c r="AW2481" s="88" t="str">
        <f>HYPERLINK("http://www.openstreetmap.org/?mlat=35.9314&amp;mlon=44.9691&amp;zoom=12#map=12/35.9314/44.9691","Maplink1")</f>
        <v>Maplink1</v>
      </c>
      <c r="AX2481" s="88" t="str">
        <f>HYPERLINK("https://www.google.iq/maps/search/+35.9314,44.9691/@35.9314,44.9691,14z?hl=en","Maplink2")</f>
        <v>Maplink2</v>
      </c>
      <c r="AY2481" s="88" t="str">
        <f>HYPERLINK("http://www.bing.com/maps/?lvl=14&amp;sty=h&amp;cp=35.9314~44.9691&amp;sp=point.35.9314_44.9691","Maplink3")</f>
        <v>Maplink3</v>
      </c>
      <c r="AZ2481" s="76"/>
    </row>
    <row r="2482" spans="1:52" x14ac:dyDescent="0.25">
      <c r="A2482" s="86">
        <v>23162</v>
      </c>
      <c r="B2482" s="87" t="s">
        <v>27</v>
      </c>
      <c r="C2482" s="87" t="s">
        <v>4754</v>
      </c>
      <c r="D2482" s="87" t="s">
        <v>4765</v>
      </c>
      <c r="E2482" s="87" t="s">
        <v>4766</v>
      </c>
      <c r="F2482" s="87">
        <v>35.943505799999997</v>
      </c>
      <c r="G2482" s="87">
        <v>44.969144499999999</v>
      </c>
      <c r="H2482" s="86">
        <v>7</v>
      </c>
      <c r="I2482" s="86">
        <v>42</v>
      </c>
      <c r="J2482" s="87">
        <v>1</v>
      </c>
      <c r="K2482" s="87"/>
      <c r="L2482" s="87">
        <v>1</v>
      </c>
      <c r="M2482" s="87"/>
      <c r="N2482" s="87"/>
      <c r="O2482" s="87"/>
      <c r="P2482" s="87"/>
      <c r="Q2482" s="87"/>
      <c r="R2482" s="87"/>
      <c r="S2482" s="87"/>
      <c r="T2482" s="87"/>
      <c r="U2482" s="87"/>
      <c r="V2482" s="87">
        <v>5</v>
      </c>
      <c r="W2482" s="87"/>
      <c r="X2482" s="87"/>
      <c r="Y2482" s="87"/>
      <c r="Z2482" s="87"/>
      <c r="AA2482" s="87"/>
      <c r="AB2482" s="87"/>
      <c r="AC2482" s="87"/>
      <c r="AD2482" s="87"/>
      <c r="AE2482" s="87"/>
      <c r="AF2482" s="87"/>
      <c r="AG2482" s="87"/>
      <c r="AH2482" s="87">
        <v>7</v>
      </c>
      <c r="AI2482" s="87"/>
      <c r="AJ2482" s="87"/>
      <c r="AK2482" s="87"/>
      <c r="AL2482" s="87"/>
      <c r="AM2482" s="87"/>
      <c r="AN2482" s="87">
        <v>2</v>
      </c>
      <c r="AO2482" s="87"/>
      <c r="AP2482" s="87">
        <v>5</v>
      </c>
      <c r="AQ2482" s="87"/>
      <c r="AR2482" s="87"/>
      <c r="AS2482" s="87"/>
      <c r="AT2482" s="87"/>
      <c r="AU2482" s="87"/>
      <c r="AV2482" s="87"/>
      <c r="AW2482" s="88" t="str">
        <f>HYPERLINK("http://www.openstreetmap.org/?mlat=35.9435&amp;mlon=44.9691&amp;zoom=12#map=12/35.9435/44.9691","Maplink1")</f>
        <v>Maplink1</v>
      </c>
      <c r="AX2482" s="88" t="str">
        <f>HYPERLINK("https://www.google.iq/maps/search/+35.9435,44.9691/@35.9435,44.9691,14z?hl=en","Maplink2")</f>
        <v>Maplink2</v>
      </c>
      <c r="AY2482" s="88" t="str">
        <f>HYPERLINK("http://www.bing.com/maps/?lvl=14&amp;sty=h&amp;cp=35.9435~44.9691&amp;sp=point.35.9435_44.9691","Maplink3")</f>
        <v>Maplink3</v>
      </c>
      <c r="AZ2482" s="76"/>
    </row>
    <row r="2483" spans="1:52" x14ac:dyDescent="0.25">
      <c r="A2483" s="86">
        <v>32093</v>
      </c>
      <c r="B2483" s="87" t="s">
        <v>27</v>
      </c>
      <c r="C2483" s="87" t="s">
        <v>4754</v>
      </c>
      <c r="D2483" s="87" t="s">
        <v>4767</v>
      </c>
      <c r="E2483" s="87" t="s">
        <v>4768</v>
      </c>
      <c r="F2483" s="87">
        <v>35.688487199999997</v>
      </c>
      <c r="G2483" s="87">
        <v>45.238581000000003</v>
      </c>
      <c r="H2483" s="86">
        <v>3</v>
      </c>
      <c r="I2483" s="86">
        <v>18</v>
      </c>
      <c r="J2483" s="87"/>
      <c r="K2483" s="87"/>
      <c r="L2483" s="87"/>
      <c r="M2483" s="87"/>
      <c r="N2483" s="87"/>
      <c r="O2483" s="87"/>
      <c r="P2483" s="87"/>
      <c r="Q2483" s="87"/>
      <c r="R2483" s="87"/>
      <c r="S2483" s="87"/>
      <c r="T2483" s="87"/>
      <c r="U2483" s="87"/>
      <c r="V2483" s="87">
        <v>3</v>
      </c>
      <c r="W2483" s="87"/>
      <c r="X2483" s="87"/>
      <c r="Y2483" s="87"/>
      <c r="Z2483" s="87"/>
      <c r="AA2483" s="87"/>
      <c r="AB2483" s="87"/>
      <c r="AC2483" s="87"/>
      <c r="AD2483" s="87"/>
      <c r="AE2483" s="87"/>
      <c r="AF2483" s="87"/>
      <c r="AG2483" s="87"/>
      <c r="AH2483" s="87">
        <v>3</v>
      </c>
      <c r="AI2483" s="87"/>
      <c r="AJ2483" s="87"/>
      <c r="AK2483" s="87"/>
      <c r="AL2483" s="87"/>
      <c r="AM2483" s="87"/>
      <c r="AN2483" s="87"/>
      <c r="AO2483" s="87">
        <v>3</v>
      </c>
      <c r="AP2483" s="87"/>
      <c r="AQ2483" s="87"/>
      <c r="AR2483" s="87"/>
      <c r="AS2483" s="87"/>
      <c r="AT2483" s="87"/>
      <c r="AU2483" s="87"/>
      <c r="AV2483" s="87"/>
      <c r="AW2483" s="88" t="str">
        <f>HYPERLINK("http://www.openstreetmap.org/?mlat=35.6885&amp;mlon=45.2386&amp;zoom=12#map=12/35.6885/45.2386","Maplink1")</f>
        <v>Maplink1</v>
      </c>
      <c r="AX2483" s="88" t="str">
        <f>HYPERLINK("https://www.google.iq/maps/search/+35.6885,45.2386/@35.6885,45.2386,14z?hl=en","Maplink2")</f>
        <v>Maplink2</v>
      </c>
      <c r="AY2483" s="88" t="str">
        <f>HYPERLINK("http://www.bing.com/maps/?lvl=14&amp;sty=h&amp;cp=35.6885~45.2386&amp;sp=point.35.6885_45.2386","Maplink3")</f>
        <v>Maplink3</v>
      </c>
      <c r="AZ2483" s="76"/>
    </row>
    <row r="2484" spans="1:52" x14ac:dyDescent="0.25">
      <c r="A2484" s="86">
        <v>24553</v>
      </c>
      <c r="B2484" s="87" t="s">
        <v>27</v>
      </c>
      <c r="C2484" s="87" t="s">
        <v>4754</v>
      </c>
      <c r="D2484" s="87" t="s">
        <v>4769</v>
      </c>
      <c r="E2484" s="87" t="s">
        <v>4770</v>
      </c>
      <c r="F2484" s="87">
        <v>35.935155399999999</v>
      </c>
      <c r="G2484" s="87">
        <v>44.955748700000001</v>
      </c>
      <c r="H2484" s="86">
        <v>24</v>
      </c>
      <c r="I2484" s="86">
        <v>144</v>
      </c>
      <c r="J2484" s="87">
        <v>8</v>
      </c>
      <c r="K2484" s="87">
        <v>2</v>
      </c>
      <c r="L2484" s="87">
        <v>3</v>
      </c>
      <c r="M2484" s="87"/>
      <c r="N2484" s="87"/>
      <c r="O2484" s="87">
        <v>8</v>
      </c>
      <c r="P2484" s="87"/>
      <c r="Q2484" s="87"/>
      <c r="R2484" s="87"/>
      <c r="S2484" s="87"/>
      <c r="T2484" s="87"/>
      <c r="U2484" s="87"/>
      <c r="V2484" s="87"/>
      <c r="W2484" s="87"/>
      <c r="X2484" s="87">
        <v>3</v>
      </c>
      <c r="Y2484" s="87"/>
      <c r="Z2484" s="87"/>
      <c r="AA2484" s="87"/>
      <c r="AB2484" s="87"/>
      <c r="AC2484" s="87"/>
      <c r="AD2484" s="87"/>
      <c r="AE2484" s="87"/>
      <c r="AF2484" s="87"/>
      <c r="AG2484" s="87"/>
      <c r="AH2484" s="87">
        <v>24</v>
      </c>
      <c r="AI2484" s="87"/>
      <c r="AJ2484" s="87"/>
      <c r="AK2484" s="87"/>
      <c r="AL2484" s="87"/>
      <c r="AM2484" s="87"/>
      <c r="AN2484" s="87">
        <v>8</v>
      </c>
      <c r="AO2484" s="87">
        <v>8</v>
      </c>
      <c r="AP2484" s="87">
        <v>3</v>
      </c>
      <c r="AQ2484" s="87">
        <v>5</v>
      </c>
      <c r="AR2484" s="87"/>
      <c r="AS2484" s="87"/>
      <c r="AT2484" s="87"/>
      <c r="AU2484" s="87"/>
      <c r="AV2484" s="87"/>
      <c r="AW2484" s="88" t="str">
        <f>HYPERLINK("http://www.openstreetmap.org/?mlat=35.9352&amp;mlon=44.9557&amp;zoom=12#map=12/35.9352/44.9557","Maplink1")</f>
        <v>Maplink1</v>
      </c>
      <c r="AX2484" s="88" t="str">
        <f>HYPERLINK("https://www.google.iq/maps/search/+35.9352,44.9557/@35.9352,44.9557,14z?hl=en","Maplink2")</f>
        <v>Maplink2</v>
      </c>
      <c r="AY2484" s="88" t="str">
        <f>HYPERLINK("http://www.bing.com/maps/?lvl=14&amp;sty=h&amp;cp=35.9352~44.9557&amp;sp=point.35.9352_44.9557","Maplink3")</f>
        <v>Maplink3</v>
      </c>
      <c r="AZ2484" s="76"/>
    </row>
    <row r="2485" spans="1:52" x14ac:dyDescent="0.25">
      <c r="A2485" s="86">
        <v>6157</v>
      </c>
      <c r="B2485" s="87" t="s">
        <v>27</v>
      </c>
      <c r="C2485" s="87" t="s">
        <v>4754</v>
      </c>
      <c r="D2485" s="87" t="s">
        <v>4771</v>
      </c>
      <c r="E2485" s="87" t="s">
        <v>4772</v>
      </c>
      <c r="F2485" s="87">
        <v>36.009081899999998</v>
      </c>
      <c r="G2485" s="87">
        <v>44.852396300000002</v>
      </c>
      <c r="H2485" s="86">
        <v>3</v>
      </c>
      <c r="I2485" s="86">
        <v>18</v>
      </c>
      <c r="J2485" s="87">
        <v>2</v>
      </c>
      <c r="K2485" s="87"/>
      <c r="L2485" s="87"/>
      <c r="M2485" s="87"/>
      <c r="N2485" s="87"/>
      <c r="O2485" s="87">
        <v>1</v>
      </c>
      <c r="P2485" s="87"/>
      <c r="Q2485" s="87"/>
      <c r="R2485" s="87"/>
      <c r="S2485" s="87"/>
      <c r="T2485" s="87"/>
      <c r="U2485" s="87"/>
      <c r="V2485" s="87"/>
      <c r="W2485" s="87"/>
      <c r="X2485" s="87"/>
      <c r="Y2485" s="87"/>
      <c r="Z2485" s="87"/>
      <c r="AA2485" s="87"/>
      <c r="AB2485" s="87"/>
      <c r="AC2485" s="87"/>
      <c r="AD2485" s="87"/>
      <c r="AE2485" s="87"/>
      <c r="AF2485" s="87"/>
      <c r="AG2485" s="87"/>
      <c r="AH2485" s="87">
        <v>3</v>
      </c>
      <c r="AI2485" s="87"/>
      <c r="AJ2485" s="87"/>
      <c r="AK2485" s="87"/>
      <c r="AL2485" s="87"/>
      <c r="AM2485" s="87"/>
      <c r="AN2485" s="87"/>
      <c r="AO2485" s="87">
        <v>1</v>
      </c>
      <c r="AP2485" s="87">
        <v>2</v>
      </c>
      <c r="AQ2485" s="87"/>
      <c r="AR2485" s="87"/>
      <c r="AS2485" s="87"/>
      <c r="AT2485" s="87"/>
      <c r="AU2485" s="87"/>
      <c r="AV2485" s="87"/>
      <c r="AW2485" s="88" t="str">
        <f>HYPERLINK("http://www.openstreetmap.org/?mlat=36.0091&amp;mlon=44.8524&amp;zoom=12#map=12/36.0091/44.8524","Maplink1")</f>
        <v>Maplink1</v>
      </c>
      <c r="AX2485" s="88" t="str">
        <f>HYPERLINK("https://www.google.iq/maps/search/+36.0091,44.8524/@36.0091,44.8524,14z?hl=en","Maplink2")</f>
        <v>Maplink2</v>
      </c>
      <c r="AY2485" s="88" t="str">
        <f>HYPERLINK("http://www.bing.com/maps/?lvl=14&amp;sty=h&amp;cp=36.0091~44.8524&amp;sp=point.36.0091_44.8524","Maplink3")</f>
        <v>Maplink3</v>
      </c>
      <c r="AZ2485" s="76"/>
    </row>
    <row r="2486" spans="1:52" x14ac:dyDescent="0.25">
      <c r="A2486" s="86">
        <v>5245</v>
      </c>
      <c r="B2486" s="87" t="s">
        <v>27</v>
      </c>
      <c r="C2486" s="87" t="s">
        <v>4754</v>
      </c>
      <c r="D2486" s="87" t="s">
        <v>4773</v>
      </c>
      <c r="E2486" s="87" t="s">
        <v>4774</v>
      </c>
      <c r="F2486" s="87">
        <v>35.678713999999999</v>
      </c>
      <c r="G2486" s="87">
        <v>45.177394300000003</v>
      </c>
      <c r="H2486" s="86">
        <v>28</v>
      </c>
      <c r="I2486" s="86">
        <v>168</v>
      </c>
      <c r="J2486" s="87">
        <v>3</v>
      </c>
      <c r="K2486" s="87">
        <v>1</v>
      </c>
      <c r="L2486" s="87">
        <v>8</v>
      </c>
      <c r="M2486" s="87"/>
      <c r="N2486" s="87"/>
      <c r="O2486" s="87">
        <v>2</v>
      </c>
      <c r="P2486" s="87"/>
      <c r="Q2486" s="87"/>
      <c r="R2486" s="87"/>
      <c r="S2486" s="87"/>
      <c r="T2486" s="87"/>
      <c r="U2486" s="87"/>
      <c r="V2486" s="87">
        <v>14</v>
      </c>
      <c r="W2486" s="87"/>
      <c r="X2486" s="87"/>
      <c r="Y2486" s="87"/>
      <c r="Z2486" s="87"/>
      <c r="AA2486" s="87"/>
      <c r="AB2486" s="87"/>
      <c r="AC2486" s="87"/>
      <c r="AD2486" s="87"/>
      <c r="AE2486" s="87"/>
      <c r="AF2486" s="87"/>
      <c r="AG2486" s="87"/>
      <c r="AH2486" s="87">
        <v>28</v>
      </c>
      <c r="AI2486" s="87"/>
      <c r="AJ2486" s="87"/>
      <c r="AK2486" s="87"/>
      <c r="AL2486" s="87"/>
      <c r="AM2486" s="87"/>
      <c r="AN2486" s="87">
        <v>4</v>
      </c>
      <c r="AO2486" s="87">
        <v>3</v>
      </c>
      <c r="AP2486" s="87">
        <v>14</v>
      </c>
      <c r="AQ2486" s="87">
        <v>3</v>
      </c>
      <c r="AR2486" s="87"/>
      <c r="AS2486" s="87"/>
      <c r="AT2486" s="87"/>
      <c r="AU2486" s="87"/>
      <c r="AV2486" s="87">
        <v>4</v>
      </c>
      <c r="AW2486" s="88" t="str">
        <f>HYPERLINK("http://www.openstreetmap.org/?mlat=35.6787&amp;mlon=45.1774&amp;zoom=12#map=12/35.6787/45.1774","Maplink1")</f>
        <v>Maplink1</v>
      </c>
      <c r="AX2486" s="88" t="str">
        <f>HYPERLINK("https://www.google.iq/maps/search/+35.6787,45.1774/@35.6787,45.1774,14z?hl=en","Maplink2")</f>
        <v>Maplink2</v>
      </c>
      <c r="AY2486" s="88" t="str">
        <f>HYPERLINK("http://www.bing.com/maps/?lvl=14&amp;sty=h&amp;cp=35.6787~45.1774&amp;sp=point.35.6787_45.1774","Maplink3")</f>
        <v>Maplink3</v>
      </c>
      <c r="AZ2486" s="76"/>
    </row>
    <row r="2487" spans="1:52" x14ac:dyDescent="0.25">
      <c r="A2487" s="86">
        <v>5229</v>
      </c>
      <c r="B2487" s="87" t="s">
        <v>27</v>
      </c>
      <c r="C2487" s="87" t="s">
        <v>4754</v>
      </c>
      <c r="D2487" s="87" t="s">
        <v>4775</v>
      </c>
      <c r="E2487" s="87" t="s">
        <v>4776</v>
      </c>
      <c r="F2487" s="87">
        <v>35.864159399999998</v>
      </c>
      <c r="G2487" s="87">
        <v>45.041153600000001</v>
      </c>
      <c r="H2487" s="86">
        <v>3</v>
      </c>
      <c r="I2487" s="86">
        <v>18</v>
      </c>
      <c r="J2487" s="87"/>
      <c r="K2487" s="87">
        <v>1</v>
      </c>
      <c r="L2487" s="87"/>
      <c r="M2487" s="87"/>
      <c r="N2487" s="87"/>
      <c r="O2487" s="87"/>
      <c r="P2487" s="87"/>
      <c r="Q2487" s="87"/>
      <c r="R2487" s="87"/>
      <c r="S2487" s="87"/>
      <c r="T2487" s="87"/>
      <c r="U2487" s="87"/>
      <c r="V2487" s="87">
        <v>2</v>
      </c>
      <c r="W2487" s="87"/>
      <c r="X2487" s="87"/>
      <c r="Y2487" s="87"/>
      <c r="Z2487" s="87"/>
      <c r="AA2487" s="87"/>
      <c r="AB2487" s="87"/>
      <c r="AC2487" s="87"/>
      <c r="AD2487" s="87"/>
      <c r="AE2487" s="87"/>
      <c r="AF2487" s="87"/>
      <c r="AG2487" s="87"/>
      <c r="AH2487" s="87">
        <v>3</v>
      </c>
      <c r="AI2487" s="87"/>
      <c r="AJ2487" s="87"/>
      <c r="AK2487" s="87"/>
      <c r="AL2487" s="87"/>
      <c r="AM2487" s="87"/>
      <c r="AN2487" s="87"/>
      <c r="AO2487" s="87">
        <v>1</v>
      </c>
      <c r="AP2487" s="87">
        <v>2</v>
      </c>
      <c r="AQ2487" s="87"/>
      <c r="AR2487" s="87"/>
      <c r="AS2487" s="87"/>
      <c r="AT2487" s="87"/>
      <c r="AU2487" s="87"/>
      <c r="AV2487" s="87"/>
      <c r="AW2487" s="88" t="str">
        <f>HYPERLINK("http://www.openstreetmap.org/?mlat=35.8642&amp;mlon=45.0412&amp;zoom=12#map=12/35.8642/45.0412","Maplink1")</f>
        <v>Maplink1</v>
      </c>
      <c r="AX2487" s="88" t="str">
        <f>HYPERLINK("https://www.google.iq/maps/search/+35.8642,45.0412/@35.8642,45.0412,14z?hl=en","Maplink2")</f>
        <v>Maplink2</v>
      </c>
      <c r="AY2487" s="88" t="str">
        <f>HYPERLINK("http://www.bing.com/maps/?lvl=14&amp;sty=h&amp;cp=35.8642~45.0412&amp;sp=point.35.8642_45.0412","Maplink3")</f>
        <v>Maplink3</v>
      </c>
      <c r="AZ2487" s="76"/>
    </row>
    <row r="2488" spans="1:52" x14ac:dyDescent="0.25">
      <c r="A2488" s="86">
        <v>4836</v>
      </c>
      <c r="B2488" s="87" t="s">
        <v>27</v>
      </c>
      <c r="C2488" s="87" t="s">
        <v>4754</v>
      </c>
      <c r="D2488" s="87" t="s">
        <v>4777</v>
      </c>
      <c r="E2488" s="87" t="s">
        <v>4778</v>
      </c>
      <c r="F2488" s="87">
        <v>36.047343400000003</v>
      </c>
      <c r="G2488" s="87">
        <v>44.8017051</v>
      </c>
      <c r="H2488" s="86">
        <v>6</v>
      </c>
      <c r="I2488" s="86">
        <v>36</v>
      </c>
      <c r="J2488" s="87"/>
      <c r="K2488" s="87"/>
      <c r="L2488" s="87"/>
      <c r="M2488" s="87"/>
      <c r="N2488" s="87"/>
      <c r="O2488" s="87"/>
      <c r="P2488" s="87"/>
      <c r="Q2488" s="87"/>
      <c r="R2488" s="87"/>
      <c r="S2488" s="87"/>
      <c r="T2488" s="87"/>
      <c r="U2488" s="87"/>
      <c r="V2488" s="87">
        <v>6</v>
      </c>
      <c r="W2488" s="87"/>
      <c r="X2488" s="87"/>
      <c r="Y2488" s="87"/>
      <c r="Z2488" s="87"/>
      <c r="AA2488" s="87"/>
      <c r="AB2488" s="87"/>
      <c r="AC2488" s="87"/>
      <c r="AD2488" s="87"/>
      <c r="AE2488" s="87"/>
      <c r="AF2488" s="87"/>
      <c r="AG2488" s="87"/>
      <c r="AH2488" s="87">
        <v>6</v>
      </c>
      <c r="AI2488" s="87"/>
      <c r="AJ2488" s="87"/>
      <c r="AK2488" s="87"/>
      <c r="AL2488" s="87"/>
      <c r="AM2488" s="87"/>
      <c r="AN2488" s="87"/>
      <c r="AO2488" s="87">
        <v>5</v>
      </c>
      <c r="AP2488" s="87">
        <v>1</v>
      </c>
      <c r="AQ2488" s="87"/>
      <c r="AR2488" s="87"/>
      <c r="AS2488" s="87"/>
      <c r="AT2488" s="87"/>
      <c r="AU2488" s="87"/>
      <c r="AV2488" s="87"/>
      <c r="AW2488" s="88" t="str">
        <f>HYPERLINK("http://www.openstreetmap.org/?mlat=36.0473&amp;mlon=44.8017&amp;zoom=12#map=12/36.0473/44.8017","Maplink1")</f>
        <v>Maplink1</v>
      </c>
      <c r="AX2488" s="88" t="str">
        <f>HYPERLINK("https://www.google.iq/maps/search/+36.0473,44.8017/@36.0473,44.8017,14z?hl=en","Maplink2")</f>
        <v>Maplink2</v>
      </c>
      <c r="AY2488" s="88" t="str">
        <f>HYPERLINK("http://www.bing.com/maps/?lvl=14&amp;sty=h&amp;cp=36.0473~44.8017&amp;sp=point.36.0473_44.8017","Maplink3")</f>
        <v>Maplink3</v>
      </c>
      <c r="AZ2488" s="76"/>
    </row>
    <row r="2489" spans="1:52" x14ac:dyDescent="0.25">
      <c r="A2489" s="86">
        <v>3654</v>
      </c>
      <c r="B2489" s="87" t="s">
        <v>27</v>
      </c>
      <c r="C2489" s="87" t="s">
        <v>4754</v>
      </c>
      <c r="D2489" s="87" t="s">
        <v>4779</v>
      </c>
      <c r="E2489" s="87" t="s">
        <v>4780</v>
      </c>
      <c r="F2489" s="87">
        <v>36.085974800000002</v>
      </c>
      <c r="G2489" s="87">
        <v>44.763156700000003</v>
      </c>
      <c r="H2489" s="86">
        <v>6</v>
      </c>
      <c r="I2489" s="86">
        <v>36</v>
      </c>
      <c r="J2489" s="87"/>
      <c r="K2489" s="87"/>
      <c r="L2489" s="87"/>
      <c r="M2489" s="87"/>
      <c r="N2489" s="87"/>
      <c r="O2489" s="87"/>
      <c r="P2489" s="87"/>
      <c r="Q2489" s="87"/>
      <c r="R2489" s="87"/>
      <c r="S2489" s="87"/>
      <c r="T2489" s="87"/>
      <c r="U2489" s="87"/>
      <c r="V2489" s="87">
        <v>6</v>
      </c>
      <c r="W2489" s="87"/>
      <c r="X2489" s="87"/>
      <c r="Y2489" s="87"/>
      <c r="Z2489" s="87"/>
      <c r="AA2489" s="87"/>
      <c r="AB2489" s="87"/>
      <c r="AC2489" s="87"/>
      <c r="AD2489" s="87"/>
      <c r="AE2489" s="87"/>
      <c r="AF2489" s="87"/>
      <c r="AG2489" s="87"/>
      <c r="AH2489" s="87">
        <v>6</v>
      </c>
      <c r="AI2489" s="87"/>
      <c r="AJ2489" s="87"/>
      <c r="AK2489" s="87"/>
      <c r="AL2489" s="87"/>
      <c r="AM2489" s="87"/>
      <c r="AN2489" s="87"/>
      <c r="AO2489" s="87">
        <v>3</v>
      </c>
      <c r="AP2489" s="87">
        <v>3</v>
      </c>
      <c r="AQ2489" s="87"/>
      <c r="AR2489" s="87"/>
      <c r="AS2489" s="87"/>
      <c r="AT2489" s="87"/>
      <c r="AU2489" s="87"/>
      <c r="AV2489" s="87"/>
      <c r="AW2489" s="88" t="str">
        <f>HYPERLINK("http://www.openstreetmap.org/?mlat=36.086&amp;mlon=44.7632&amp;zoom=12#map=12/36.086/44.7632","Maplink1")</f>
        <v>Maplink1</v>
      </c>
      <c r="AX2489" s="88" t="str">
        <f>HYPERLINK("https://www.google.iq/maps/search/+36.086,44.7632/@36.086,44.7632,14z?hl=en","Maplink2")</f>
        <v>Maplink2</v>
      </c>
      <c r="AY2489" s="88" t="str">
        <f>HYPERLINK("http://www.bing.com/maps/?lvl=14&amp;sty=h&amp;cp=36.086~44.7632&amp;sp=point.36.086_44.7632","Maplink3")</f>
        <v>Maplink3</v>
      </c>
      <c r="AZ2489" s="76"/>
    </row>
    <row r="2490" spans="1:52" x14ac:dyDescent="0.25">
      <c r="A2490" s="86">
        <v>31970</v>
      </c>
      <c r="B2490" s="87" t="s">
        <v>27</v>
      </c>
      <c r="C2490" s="87" t="s">
        <v>4754</v>
      </c>
      <c r="D2490" s="87" t="s">
        <v>4781</v>
      </c>
      <c r="E2490" s="87" t="s">
        <v>4782</v>
      </c>
      <c r="F2490" s="87">
        <v>36.023261099999999</v>
      </c>
      <c r="G2490" s="87">
        <v>44.839713000000003</v>
      </c>
      <c r="H2490" s="86">
        <v>4</v>
      </c>
      <c r="I2490" s="86">
        <v>24</v>
      </c>
      <c r="J2490" s="87">
        <v>2</v>
      </c>
      <c r="K2490" s="87"/>
      <c r="L2490" s="87">
        <v>2</v>
      </c>
      <c r="M2490" s="87"/>
      <c r="N2490" s="87"/>
      <c r="O2490" s="87"/>
      <c r="P2490" s="87"/>
      <c r="Q2490" s="87"/>
      <c r="R2490" s="87"/>
      <c r="S2490" s="87"/>
      <c r="T2490" s="87"/>
      <c r="U2490" s="87"/>
      <c r="V2490" s="87"/>
      <c r="W2490" s="87"/>
      <c r="X2490" s="87"/>
      <c r="Y2490" s="87"/>
      <c r="Z2490" s="87"/>
      <c r="AA2490" s="87"/>
      <c r="AB2490" s="87"/>
      <c r="AC2490" s="87"/>
      <c r="AD2490" s="87"/>
      <c r="AE2490" s="87"/>
      <c r="AF2490" s="87"/>
      <c r="AG2490" s="87"/>
      <c r="AH2490" s="87">
        <v>4</v>
      </c>
      <c r="AI2490" s="87"/>
      <c r="AJ2490" s="87"/>
      <c r="AK2490" s="87"/>
      <c r="AL2490" s="87"/>
      <c r="AM2490" s="87"/>
      <c r="AN2490" s="87">
        <v>1</v>
      </c>
      <c r="AO2490" s="87"/>
      <c r="AP2490" s="87"/>
      <c r="AQ2490" s="87"/>
      <c r="AR2490" s="87"/>
      <c r="AS2490" s="87"/>
      <c r="AT2490" s="87">
        <v>2</v>
      </c>
      <c r="AU2490" s="87"/>
      <c r="AV2490" s="87">
        <v>1</v>
      </c>
      <c r="AW2490" s="88" t="str">
        <f>HYPERLINK("http://www.openstreetmap.org/?mlat=36.0233&amp;mlon=44.8397&amp;zoom=12#map=12/36.0233/44.8397","Maplink1")</f>
        <v>Maplink1</v>
      </c>
      <c r="AX2490" s="88" t="str">
        <f>HYPERLINK("https://www.google.iq/maps/search/+36.0233,44.8397/@36.0233,44.8397,14z?hl=en","Maplink2")</f>
        <v>Maplink2</v>
      </c>
      <c r="AY2490" s="88" t="str">
        <f>HYPERLINK("http://www.bing.com/maps/?lvl=14&amp;sty=h&amp;cp=36.0233~44.8397&amp;sp=point.36.0233_44.8397","Maplink3")</f>
        <v>Maplink3</v>
      </c>
      <c r="AZ2490" s="76"/>
    </row>
    <row r="2491" spans="1:52" x14ac:dyDescent="0.25">
      <c r="A2491" s="86">
        <v>3617</v>
      </c>
      <c r="B2491" s="87" t="s">
        <v>27</v>
      </c>
      <c r="C2491" s="87" t="s">
        <v>4754</v>
      </c>
      <c r="D2491" s="87" t="s">
        <v>4783</v>
      </c>
      <c r="E2491" s="87" t="s">
        <v>4784</v>
      </c>
      <c r="F2491" s="87">
        <v>35.838802800000003</v>
      </c>
      <c r="G2491" s="87">
        <v>45.079181900000002</v>
      </c>
      <c r="H2491" s="86">
        <v>18</v>
      </c>
      <c r="I2491" s="86">
        <v>108</v>
      </c>
      <c r="J2491" s="87">
        <v>10</v>
      </c>
      <c r="K2491" s="87">
        <v>2</v>
      </c>
      <c r="L2491" s="87"/>
      <c r="M2491" s="87"/>
      <c r="N2491" s="87"/>
      <c r="O2491" s="87"/>
      <c r="P2491" s="87"/>
      <c r="Q2491" s="87"/>
      <c r="R2491" s="87"/>
      <c r="S2491" s="87"/>
      <c r="T2491" s="87"/>
      <c r="U2491" s="87"/>
      <c r="V2491" s="87">
        <v>5</v>
      </c>
      <c r="W2491" s="87"/>
      <c r="X2491" s="87">
        <v>1</v>
      </c>
      <c r="Y2491" s="87"/>
      <c r="Z2491" s="87"/>
      <c r="AA2491" s="87"/>
      <c r="AB2491" s="87"/>
      <c r="AC2491" s="87"/>
      <c r="AD2491" s="87"/>
      <c r="AE2491" s="87"/>
      <c r="AF2491" s="87"/>
      <c r="AG2491" s="87"/>
      <c r="AH2491" s="87">
        <v>18</v>
      </c>
      <c r="AI2491" s="87"/>
      <c r="AJ2491" s="87"/>
      <c r="AK2491" s="87"/>
      <c r="AL2491" s="87"/>
      <c r="AM2491" s="87"/>
      <c r="AN2491" s="87"/>
      <c r="AO2491" s="87">
        <v>8</v>
      </c>
      <c r="AP2491" s="87">
        <v>10</v>
      </c>
      <c r="AQ2491" s="87"/>
      <c r="AR2491" s="87"/>
      <c r="AS2491" s="87"/>
      <c r="AT2491" s="87"/>
      <c r="AU2491" s="87"/>
      <c r="AV2491" s="87"/>
      <c r="AW2491" s="88" t="str">
        <f>HYPERLINK("http://www.openstreetmap.org/?mlat=35.8388&amp;mlon=45.0792&amp;zoom=12#map=12/35.8388/45.0792","Maplink1")</f>
        <v>Maplink1</v>
      </c>
      <c r="AX2491" s="88" t="str">
        <f>HYPERLINK("https://www.google.iq/maps/search/+35.8388,45.0792/@35.8388,45.0792,14z?hl=en","Maplink2")</f>
        <v>Maplink2</v>
      </c>
      <c r="AY2491" s="88" t="str">
        <f>HYPERLINK("http://www.bing.com/maps/?lvl=14&amp;sty=h&amp;cp=35.8388~45.0792&amp;sp=point.35.8388_45.0792","Maplink3")</f>
        <v>Maplink3</v>
      </c>
      <c r="AZ2491" s="76"/>
    </row>
    <row r="2492" spans="1:52" x14ac:dyDescent="0.25">
      <c r="A2492" s="86">
        <v>5238</v>
      </c>
      <c r="B2492" s="87" t="s">
        <v>27</v>
      </c>
      <c r="C2492" s="87" t="s">
        <v>4754</v>
      </c>
      <c r="D2492" s="87" t="s">
        <v>4785</v>
      </c>
      <c r="E2492" s="87" t="s">
        <v>4786</v>
      </c>
      <c r="F2492" s="87">
        <v>35.795642899999997</v>
      </c>
      <c r="G2492" s="87">
        <v>45.253535900000003</v>
      </c>
      <c r="H2492" s="86">
        <v>33</v>
      </c>
      <c r="I2492" s="86">
        <v>198</v>
      </c>
      <c r="J2492" s="87"/>
      <c r="K2492" s="87"/>
      <c r="L2492" s="87">
        <v>1</v>
      </c>
      <c r="M2492" s="87"/>
      <c r="N2492" s="87"/>
      <c r="O2492" s="87">
        <v>6</v>
      </c>
      <c r="P2492" s="87"/>
      <c r="Q2492" s="87"/>
      <c r="R2492" s="87"/>
      <c r="S2492" s="87"/>
      <c r="T2492" s="87"/>
      <c r="U2492" s="87"/>
      <c r="V2492" s="87">
        <v>26</v>
      </c>
      <c r="W2492" s="87"/>
      <c r="X2492" s="87"/>
      <c r="Y2492" s="87"/>
      <c r="Z2492" s="87"/>
      <c r="AA2492" s="87"/>
      <c r="AB2492" s="87"/>
      <c r="AC2492" s="87"/>
      <c r="AD2492" s="87"/>
      <c r="AE2492" s="87"/>
      <c r="AF2492" s="87"/>
      <c r="AG2492" s="87"/>
      <c r="AH2492" s="87">
        <v>33</v>
      </c>
      <c r="AI2492" s="87"/>
      <c r="AJ2492" s="87"/>
      <c r="AK2492" s="87"/>
      <c r="AL2492" s="87"/>
      <c r="AM2492" s="87"/>
      <c r="AN2492" s="87"/>
      <c r="AO2492" s="87">
        <v>4</v>
      </c>
      <c r="AP2492" s="87">
        <v>29</v>
      </c>
      <c r="AQ2492" s="87"/>
      <c r="AR2492" s="87"/>
      <c r="AS2492" s="87"/>
      <c r="AT2492" s="87"/>
      <c r="AU2492" s="87"/>
      <c r="AV2492" s="87"/>
      <c r="AW2492" s="88" t="str">
        <f>HYPERLINK("http://www.openstreetmap.org/?mlat=35.7956&amp;mlon=45.2535&amp;zoom=12#map=12/35.7956/45.2535","Maplink1")</f>
        <v>Maplink1</v>
      </c>
      <c r="AX2492" s="88" t="str">
        <f>HYPERLINK("https://www.google.iq/maps/search/+35.7956,45.2535/@35.7956,45.2535,14z?hl=en","Maplink2")</f>
        <v>Maplink2</v>
      </c>
      <c r="AY2492" s="88" t="str">
        <f>HYPERLINK("http://www.bing.com/maps/?lvl=14&amp;sty=h&amp;cp=35.7956~45.2535&amp;sp=point.35.7956_45.2535","Maplink3")</f>
        <v>Maplink3</v>
      </c>
      <c r="AZ2492" s="76"/>
    </row>
    <row r="2493" spans="1:52" x14ac:dyDescent="0.25">
      <c r="A2493" s="86">
        <v>4838</v>
      </c>
      <c r="B2493" s="87" t="s">
        <v>27</v>
      </c>
      <c r="C2493" s="87" t="s">
        <v>4754</v>
      </c>
      <c r="D2493" s="87" t="s">
        <v>5809</v>
      </c>
      <c r="E2493" s="87" t="s">
        <v>5810</v>
      </c>
      <c r="F2493" s="87">
        <v>35.783769200000002</v>
      </c>
      <c r="G2493" s="87">
        <v>45.113480600000003</v>
      </c>
      <c r="H2493" s="86">
        <v>6</v>
      </c>
      <c r="I2493" s="86">
        <v>36</v>
      </c>
      <c r="J2493" s="87"/>
      <c r="K2493" s="87"/>
      <c r="L2493" s="87"/>
      <c r="M2493" s="87"/>
      <c r="N2493" s="87"/>
      <c r="O2493" s="87">
        <v>3</v>
      </c>
      <c r="P2493" s="87"/>
      <c r="Q2493" s="87"/>
      <c r="R2493" s="87"/>
      <c r="S2493" s="87"/>
      <c r="T2493" s="87"/>
      <c r="U2493" s="87"/>
      <c r="V2493" s="87">
        <v>3</v>
      </c>
      <c r="W2493" s="87"/>
      <c r="X2493" s="87"/>
      <c r="Y2493" s="87"/>
      <c r="Z2493" s="87"/>
      <c r="AA2493" s="87"/>
      <c r="AB2493" s="87"/>
      <c r="AC2493" s="87"/>
      <c r="AD2493" s="87"/>
      <c r="AE2493" s="87"/>
      <c r="AF2493" s="87"/>
      <c r="AG2493" s="87"/>
      <c r="AH2493" s="87">
        <v>6</v>
      </c>
      <c r="AI2493" s="87"/>
      <c r="AJ2493" s="87"/>
      <c r="AK2493" s="87"/>
      <c r="AL2493" s="87"/>
      <c r="AM2493" s="87"/>
      <c r="AN2493" s="87"/>
      <c r="AO2493" s="87">
        <v>3</v>
      </c>
      <c r="AP2493" s="87">
        <v>3</v>
      </c>
      <c r="AQ2493" s="87"/>
      <c r="AR2493" s="87"/>
      <c r="AS2493" s="87"/>
      <c r="AT2493" s="87"/>
      <c r="AU2493" s="87"/>
      <c r="AV2493" s="87"/>
      <c r="AW2493" s="88" t="str">
        <f>HYPERLINK("http://www.openstreetmap.org/?mlat=35.7838&amp;mlon=45.1135&amp;zoom=12#map=12/35.7838/45.1135","Maplink1")</f>
        <v>Maplink1</v>
      </c>
      <c r="AX2493" s="88" t="str">
        <f>HYPERLINK("https://www.google.iq/maps/search/+35.7838,45.1135/@35.7838,45.1135,14z?hl=en","Maplink2")</f>
        <v>Maplink2</v>
      </c>
      <c r="AY2493" s="88" t="str">
        <f>HYPERLINK("http://www.bing.com/maps/?lvl=14&amp;sty=h&amp;cp=35.7838~45.1135&amp;sp=point.35.7838_45.1135","Maplink3")</f>
        <v>Maplink3</v>
      </c>
      <c r="AZ2493" s="76"/>
    </row>
    <row r="2494" spans="1:52" x14ac:dyDescent="0.25">
      <c r="A2494" s="86">
        <v>23333</v>
      </c>
      <c r="B2494" s="87" t="s">
        <v>27</v>
      </c>
      <c r="C2494" s="87" t="s">
        <v>4754</v>
      </c>
      <c r="D2494" s="87" t="s">
        <v>4787</v>
      </c>
      <c r="E2494" s="87" t="s">
        <v>4788</v>
      </c>
      <c r="F2494" s="87">
        <v>35.737846400000002</v>
      </c>
      <c r="G2494" s="87">
        <v>45.142385099999998</v>
      </c>
      <c r="H2494" s="86">
        <v>94</v>
      </c>
      <c r="I2494" s="86">
        <v>564</v>
      </c>
      <c r="J2494" s="87">
        <v>3</v>
      </c>
      <c r="K2494" s="87">
        <v>33</v>
      </c>
      <c r="L2494" s="87">
        <v>20</v>
      </c>
      <c r="M2494" s="87"/>
      <c r="N2494" s="87"/>
      <c r="O2494" s="87">
        <v>9</v>
      </c>
      <c r="P2494" s="87"/>
      <c r="Q2494" s="87"/>
      <c r="R2494" s="87">
        <v>4</v>
      </c>
      <c r="S2494" s="87"/>
      <c r="T2494" s="87"/>
      <c r="U2494" s="87"/>
      <c r="V2494" s="87">
        <v>5</v>
      </c>
      <c r="W2494" s="87"/>
      <c r="X2494" s="87">
        <v>20</v>
      </c>
      <c r="Y2494" s="87"/>
      <c r="Z2494" s="87"/>
      <c r="AA2494" s="87"/>
      <c r="AB2494" s="87"/>
      <c r="AC2494" s="87"/>
      <c r="AD2494" s="87"/>
      <c r="AE2494" s="87"/>
      <c r="AF2494" s="87"/>
      <c r="AG2494" s="87"/>
      <c r="AH2494" s="87">
        <v>94</v>
      </c>
      <c r="AI2494" s="87"/>
      <c r="AJ2494" s="87"/>
      <c r="AK2494" s="87"/>
      <c r="AL2494" s="87"/>
      <c r="AM2494" s="87"/>
      <c r="AN2494" s="87">
        <v>12</v>
      </c>
      <c r="AO2494" s="87">
        <v>33</v>
      </c>
      <c r="AP2494" s="87">
        <v>5</v>
      </c>
      <c r="AQ2494" s="87">
        <v>24</v>
      </c>
      <c r="AR2494" s="87"/>
      <c r="AS2494" s="87">
        <v>6</v>
      </c>
      <c r="AT2494" s="87"/>
      <c r="AU2494" s="87">
        <v>14</v>
      </c>
      <c r="AV2494" s="87"/>
      <c r="AW2494" s="88" t="str">
        <f>HYPERLINK("http://www.openstreetmap.org/?mlat=35.7378&amp;mlon=45.1424&amp;zoom=12#map=12/35.7378/45.1424","Maplink1")</f>
        <v>Maplink1</v>
      </c>
      <c r="AX2494" s="88" t="str">
        <f>HYPERLINK("https://www.google.iq/maps/search/+35.7378,45.1424/@35.7378,45.1424,14z?hl=en","Maplink2")</f>
        <v>Maplink2</v>
      </c>
      <c r="AY2494" s="88" t="str">
        <f>HYPERLINK("http://www.bing.com/maps/?lvl=14&amp;sty=h&amp;cp=35.7378~45.1424&amp;sp=point.35.7378_45.1424","Maplink3")</f>
        <v>Maplink3</v>
      </c>
      <c r="AZ2494" s="76"/>
    </row>
    <row r="2495" spans="1:52" x14ac:dyDescent="0.25">
      <c r="A2495" s="86">
        <v>32092</v>
      </c>
      <c r="B2495" s="87" t="s">
        <v>27</v>
      </c>
      <c r="C2495" s="87" t="s">
        <v>4754</v>
      </c>
      <c r="D2495" s="87" t="s">
        <v>4789</v>
      </c>
      <c r="E2495" s="87" t="s">
        <v>4790</v>
      </c>
      <c r="F2495" s="87">
        <v>35.629500200000003</v>
      </c>
      <c r="G2495" s="87">
        <v>45.1912235</v>
      </c>
      <c r="H2495" s="86">
        <v>45</v>
      </c>
      <c r="I2495" s="86">
        <v>270</v>
      </c>
      <c r="J2495" s="87">
        <v>7</v>
      </c>
      <c r="K2495" s="87">
        <v>2</v>
      </c>
      <c r="L2495" s="87">
        <v>1</v>
      </c>
      <c r="M2495" s="87"/>
      <c r="N2495" s="87"/>
      <c r="O2495" s="87">
        <v>2</v>
      </c>
      <c r="P2495" s="87"/>
      <c r="Q2495" s="87"/>
      <c r="R2495" s="87"/>
      <c r="S2495" s="87"/>
      <c r="T2495" s="87"/>
      <c r="U2495" s="87"/>
      <c r="V2495" s="87">
        <v>32</v>
      </c>
      <c r="W2495" s="87"/>
      <c r="X2495" s="87">
        <v>1</v>
      </c>
      <c r="Y2495" s="87"/>
      <c r="Z2495" s="87"/>
      <c r="AA2495" s="87"/>
      <c r="AB2495" s="87"/>
      <c r="AC2495" s="87"/>
      <c r="AD2495" s="87"/>
      <c r="AE2495" s="87"/>
      <c r="AF2495" s="87"/>
      <c r="AG2495" s="87"/>
      <c r="AH2495" s="87">
        <v>45</v>
      </c>
      <c r="AI2495" s="87"/>
      <c r="AJ2495" s="87"/>
      <c r="AK2495" s="87"/>
      <c r="AL2495" s="87"/>
      <c r="AM2495" s="87"/>
      <c r="AN2495" s="87"/>
      <c r="AO2495" s="87">
        <v>11</v>
      </c>
      <c r="AP2495" s="87">
        <v>30</v>
      </c>
      <c r="AQ2495" s="87">
        <v>3</v>
      </c>
      <c r="AR2495" s="87"/>
      <c r="AS2495" s="87"/>
      <c r="AT2495" s="87"/>
      <c r="AU2495" s="87"/>
      <c r="AV2495" s="87">
        <v>1</v>
      </c>
      <c r="AW2495" s="88" t="str">
        <f>HYPERLINK("http://www.openstreetmap.org/?mlat=35.6295&amp;mlon=45.1912&amp;zoom=12#map=12/35.6295/45.1912","Maplink1")</f>
        <v>Maplink1</v>
      </c>
      <c r="AX2495" s="88" t="str">
        <f>HYPERLINK("https://www.google.iq/maps/search/+35.6295,45.1912/@35.6295,45.1912,14z?hl=en","Maplink2")</f>
        <v>Maplink2</v>
      </c>
      <c r="AY2495" s="88" t="str">
        <f>HYPERLINK("http://www.bing.com/maps/?lvl=14&amp;sty=h&amp;cp=35.6295~45.1912&amp;sp=point.35.6295_45.1912","Maplink3")</f>
        <v>Maplink3</v>
      </c>
      <c r="AZ2495" s="76"/>
    </row>
    <row r="2496" spans="1:52" x14ac:dyDescent="0.25">
      <c r="A2496" s="86">
        <v>4939</v>
      </c>
      <c r="B2496" s="87" t="s">
        <v>27</v>
      </c>
      <c r="C2496" s="87" t="s">
        <v>4754</v>
      </c>
      <c r="D2496" s="87" t="s">
        <v>2832</v>
      </c>
      <c r="E2496" s="87" t="s">
        <v>2833</v>
      </c>
      <c r="F2496" s="87">
        <v>36.018427600000003</v>
      </c>
      <c r="G2496" s="87">
        <v>44.836934599999999</v>
      </c>
      <c r="H2496" s="86">
        <v>3</v>
      </c>
      <c r="I2496" s="86">
        <v>18</v>
      </c>
      <c r="J2496" s="87"/>
      <c r="K2496" s="87">
        <v>1</v>
      </c>
      <c r="L2496" s="87">
        <v>2</v>
      </c>
      <c r="M2496" s="87"/>
      <c r="N2496" s="87"/>
      <c r="O2496" s="87"/>
      <c r="P2496" s="87"/>
      <c r="Q2496" s="87"/>
      <c r="R2496" s="87"/>
      <c r="S2496" s="87"/>
      <c r="T2496" s="87"/>
      <c r="U2496" s="87"/>
      <c r="V2496" s="87"/>
      <c r="W2496" s="87"/>
      <c r="X2496" s="87"/>
      <c r="Y2496" s="87"/>
      <c r="Z2496" s="87"/>
      <c r="AA2496" s="87"/>
      <c r="AB2496" s="87"/>
      <c r="AC2496" s="87"/>
      <c r="AD2496" s="87"/>
      <c r="AE2496" s="87"/>
      <c r="AF2496" s="87"/>
      <c r="AG2496" s="87"/>
      <c r="AH2496" s="87">
        <v>3</v>
      </c>
      <c r="AI2496" s="87"/>
      <c r="AJ2496" s="87"/>
      <c r="AK2496" s="87"/>
      <c r="AL2496" s="87"/>
      <c r="AM2496" s="87"/>
      <c r="AN2496" s="87">
        <v>1</v>
      </c>
      <c r="AO2496" s="87">
        <v>1</v>
      </c>
      <c r="AP2496" s="87">
        <v>1</v>
      </c>
      <c r="AQ2496" s="87"/>
      <c r="AR2496" s="87"/>
      <c r="AS2496" s="87"/>
      <c r="AT2496" s="87"/>
      <c r="AU2496" s="87"/>
      <c r="AV2496" s="87"/>
      <c r="AW2496" s="88" t="str">
        <f>HYPERLINK("http://www.openstreetmap.org/?mlat=36.0184&amp;mlon=44.8369&amp;zoom=12#map=12/36.0184/44.8369","Maplink1")</f>
        <v>Maplink1</v>
      </c>
      <c r="AX2496" s="88" t="str">
        <f>HYPERLINK("https://www.google.iq/maps/search/+36.0184,44.8369/@36.0184,44.8369,14z?hl=en","Maplink2")</f>
        <v>Maplink2</v>
      </c>
      <c r="AY2496" s="88" t="str">
        <f>HYPERLINK("http://www.bing.com/maps/?lvl=14&amp;sty=h&amp;cp=36.0184~44.8369&amp;sp=point.36.0184_44.8369","Maplink3")</f>
        <v>Maplink3</v>
      </c>
      <c r="AZ2496" s="76"/>
    </row>
    <row r="2497" spans="1:52" x14ac:dyDescent="0.25">
      <c r="A2497" s="86">
        <v>3613</v>
      </c>
      <c r="B2497" s="87" t="s">
        <v>27</v>
      </c>
      <c r="C2497" s="87" t="s">
        <v>4754</v>
      </c>
      <c r="D2497" s="87" t="s">
        <v>4791</v>
      </c>
      <c r="E2497" s="87" t="s">
        <v>4792</v>
      </c>
      <c r="F2497" s="87">
        <v>35.9077476</v>
      </c>
      <c r="G2497" s="87">
        <v>44.979655299999997</v>
      </c>
      <c r="H2497" s="86">
        <v>96</v>
      </c>
      <c r="I2497" s="86">
        <v>576</v>
      </c>
      <c r="J2497" s="87">
        <v>7</v>
      </c>
      <c r="K2497" s="87">
        <v>34</v>
      </c>
      <c r="L2497" s="87">
        <v>6</v>
      </c>
      <c r="M2497" s="87"/>
      <c r="N2497" s="87"/>
      <c r="O2497" s="87">
        <v>6</v>
      </c>
      <c r="P2497" s="87"/>
      <c r="Q2497" s="87"/>
      <c r="R2497" s="87">
        <v>4</v>
      </c>
      <c r="S2497" s="87"/>
      <c r="T2497" s="87"/>
      <c r="U2497" s="87"/>
      <c r="V2497" s="87">
        <v>32</v>
      </c>
      <c r="W2497" s="87"/>
      <c r="X2497" s="87">
        <v>7</v>
      </c>
      <c r="Y2497" s="87"/>
      <c r="Z2497" s="87"/>
      <c r="AA2497" s="87"/>
      <c r="AB2497" s="87"/>
      <c r="AC2497" s="87"/>
      <c r="AD2497" s="87"/>
      <c r="AE2497" s="87"/>
      <c r="AF2497" s="87"/>
      <c r="AG2497" s="87"/>
      <c r="AH2497" s="87">
        <v>94</v>
      </c>
      <c r="AI2497" s="87"/>
      <c r="AJ2497" s="87"/>
      <c r="AK2497" s="87"/>
      <c r="AL2497" s="87">
        <v>2</v>
      </c>
      <c r="AM2497" s="87"/>
      <c r="AN2497" s="87">
        <v>15</v>
      </c>
      <c r="AO2497" s="87">
        <v>18</v>
      </c>
      <c r="AP2497" s="87">
        <v>55</v>
      </c>
      <c r="AQ2497" s="87">
        <v>1</v>
      </c>
      <c r="AR2497" s="87">
        <v>2</v>
      </c>
      <c r="AS2497" s="87"/>
      <c r="AT2497" s="87"/>
      <c r="AU2497" s="87">
        <v>4</v>
      </c>
      <c r="AV2497" s="87">
        <v>1</v>
      </c>
      <c r="AW2497" s="88" t="str">
        <f>HYPERLINK("http://www.openstreetmap.org/?mlat=35.9077&amp;mlon=44.9797&amp;zoom=12#map=12/35.9077/44.9797","Maplink1")</f>
        <v>Maplink1</v>
      </c>
      <c r="AX2497" s="88" t="str">
        <f>HYPERLINK("https://www.google.iq/maps/search/+35.9077,44.9797/@35.9077,44.9797,14z?hl=en","Maplink2")</f>
        <v>Maplink2</v>
      </c>
      <c r="AY2497" s="88" t="str">
        <f>HYPERLINK("http://www.bing.com/maps/?lvl=14&amp;sty=h&amp;cp=35.9077~44.9797&amp;sp=point.35.9077_44.9797","Maplink3")</f>
        <v>Maplink3</v>
      </c>
      <c r="AZ2497" s="76"/>
    </row>
    <row r="2498" spans="1:52" x14ac:dyDescent="0.25">
      <c r="A2498" s="86">
        <v>31969</v>
      </c>
      <c r="B2498" s="87" t="s">
        <v>27</v>
      </c>
      <c r="C2498" s="87" t="s">
        <v>4754</v>
      </c>
      <c r="D2498" s="87" t="s">
        <v>2048</v>
      </c>
      <c r="E2498" s="87" t="s">
        <v>2049</v>
      </c>
      <c r="F2498" s="87">
        <v>36.0201779</v>
      </c>
      <c r="G2498" s="87">
        <v>44.839345600000001</v>
      </c>
      <c r="H2498" s="86">
        <v>4</v>
      </c>
      <c r="I2498" s="86">
        <v>24</v>
      </c>
      <c r="J2498" s="87">
        <v>1</v>
      </c>
      <c r="K2498" s="87"/>
      <c r="L2498" s="87">
        <v>3</v>
      </c>
      <c r="M2498" s="87"/>
      <c r="N2498" s="87"/>
      <c r="O2498" s="87"/>
      <c r="P2498" s="87"/>
      <c r="Q2498" s="87"/>
      <c r="R2498" s="87"/>
      <c r="S2498" s="87"/>
      <c r="T2498" s="87"/>
      <c r="U2498" s="87"/>
      <c r="V2498" s="87"/>
      <c r="W2498" s="87"/>
      <c r="X2498" s="87"/>
      <c r="Y2498" s="87"/>
      <c r="Z2498" s="87"/>
      <c r="AA2498" s="87"/>
      <c r="AB2498" s="87"/>
      <c r="AC2498" s="87"/>
      <c r="AD2498" s="87"/>
      <c r="AE2498" s="87"/>
      <c r="AF2498" s="87"/>
      <c r="AG2498" s="87"/>
      <c r="AH2498" s="87">
        <v>4</v>
      </c>
      <c r="AI2498" s="87"/>
      <c r="AJ2498" s="87"/>
      <c r="AK2498" s="87"/>
      <c r="AL2498" s="87"/>
      <c r="AM2498" s="87"/>
      <c r="AN2498" s="87">
        <v>3</v>
      </c>
      <c r="AO2498" s="87"/>
      <c r="AP2498" s="87"/>
      <c r="AQ2498" s="87">
        <v>1</v>
      </c>
      <c r="AR2498" s="87"/>
      <c r="AS2498" s="87"/>
      <c r="AT2498" s="87"/>
      <c r="AU2498" s="87"/>
      <c r="AV2498" s="87"/>
      <c r="AW2498" s="88" t="str">
        <f>HYPERLINK("http://www.openstreetmap.org/?mlat=36.0202&amp;mlon=44.8393&amp;zoom=12#map=12/36.0202/44.8393","Maplink1")</f>
        <v>Maplink1</v>
      </c>
      <c r="AX2498" s="88" t="str">
        <f>HYPERLINK("https://www.google.iq/maps/search/+36.0202,44.8393/@36.0202,44.8393,14z?hl=en","Maplink2")</f>
        <v>Maplink2</v>
      </c>
      <c r="AY2498" s="88" t="str">
        <f>HYPERLINK("http://www.bing.com/maps/?lvl=14&amp;sty=h&amp;cp=36.0202~44.8393&amp;sp=point.36.0202_44.8393","Maplink3")</f>
        <v>Maplink3</v>
      </c>
      <c r="AZ2498" s="76"/>
    </row>
    <row r="2499" spans="1:52" x14ac:dyDescent="0.25">
      <c r="A2499" s="86">
        <v>24213</v>
      </c>
      <c r="B2499" s="87" t="s">
        <v>27</v>
      </c>
      <c r="C2499" s="87" t="s">
        <v>4754</v>
      </c>
      <c r="D2499" s="87" t="s">
        <v>4749</v>
      </c>
      <c r="E2499" s="87" t="s">
        <v>4793</v>
      </c>
      <c r="F2499" s="87">
        <v>35.7270477</v>
      </c>
      <c r="G2499" s="87">
        <v>45.152467899999998</v>
      </c>
      <c r="H2499" s="86">
        <v>97</v>
      </c>
      <c r="I2499" s="86">
        <v>582</v>
      </c>
      <c r="J2499" s="87">
        <v>10</v>
      </c>
      <c r="K2499" s="87">
        <v>42</v>
      </c>
      <c r="L2499" s="87">
        <v>17</v>
      </c>
      <c r="M2499" s="87"/>
      <c r="N2499" s="87"/>
      <c r="O2499" s="87">
        <v>18</v>
      </c>
      <c r="P2499" s="87"/>
      <c r="Q2499" s="87"/>
      <c r="R2499" s="87"/>
      <c r="S2499" s="87"/>
      <c r="T2499" s="87"/>
      <c r="U2499" s="87"/>
      <c r="V2499" s="87">
        <v>5</v>
      </c>
      <c r="W2499" s="87"/>
      <c r="X2499" s="87">
        <v>5</v>
      </c>
      <c r="Y2499" s="87"/>
      <c r="Z2499" s="87"/>
      <c r="AA2499" s="87"/>
      <c r="AB2499" s="87"/>
      <c r="AC2499" s="87"/>
      <c r="AD2499" s="87"/>
      <c r="AE2499" s="87"/>
      <c r="AF2499" s="87"/>
      <c r="AG2499" s="87"/>
      <c r="AH2499" s="87">
        <v>91</v>
      </c>
      <c r="AI2499" s="87"/>
      <c r="AJ2499" s="87"/>
      <c r="AK2499" s="87"/>
      <c r="AL2499" s="87">
        <v>6</v>
      </c>
      <c r="AM2499" s="87"/>
      <c r="AN2499" s="87">
        <v>24</v>
      </c>
      <c r="AO2499" s="87">
        <v>46</v>
      </c>
      <c r="AP2499" s="87">
        <v>6</v>
      </c>
      <c r="AQ2499" s="87">
        <v>10</v>
      </c>
      <c r="AR2499" s="87">
        <v>3</v>
      </c>
      <c r="AS2499" s="87">
        <v>6</v>
      </c>
      <c r="AT2499" s="87"/>
      <c r="AU2499" s="87"/>
      <c r="AV2499" s="87">
        <v>2</v>
      </c>
      <c r="AW2499" s="88" t="str">
        <f>HYPERLINK("http://www.openstreetmap.org/?mlat=35.727&amp;mlon=45.1525&amp;zoom=12#map=12/35.727/45.1525","Maplink1")</f>
        <v>Maplink1</v>
      </c>
      <c r="AX2499" s="88" t="str">
        <f>HYPERLINK("https://www.google.iq/maps/search/+35.727,45.1525/@35.727,45.1525,14z?hl=en","Maplink2")</f>
        <v>Maplink2</v>
      </c>
      <c r="AY2499" s="88" t="str">
        <f>HYPERLINK("http://www.bing.com/maps/?lvl=14&amp;sty=h&amp;cp=35.727~45.1525&amp;sp=point.35.727_45.1525","Maplink3")</f>
        <v>Maplink3</v>
      </c>
      <c r="AZ2499" s="76"/>
    </row>
    <row r="2500" spans="1:52" x14ac:dyDescent="0.25">
      <c r="A2500" s="86">
        <v>23923</v>
      </c>
      <c r="B2500" s="87" t="s">
        <v>27</v>
      </c>
      <c r="C2500" s="87" t="s">
        <v>4754</v>
      </c>
      <c r="D2500" s="87" t="s">
        <v>4794</v>
      </c>
      <c r="E2500" s="87" t="s">
        <v>4795</v>
      </c>
      <c r="F2500" s="87">
        <v>35.927912200000002</v>
      </c>
      <c r="G2500" s="87">
        <v>44.962274200000003</v>
      </c>
      <c r="H2500" s="86">
        <v>27</v>
      </c>
      <c r="I2500" s="86">
        <v>162</v>
      </c>
      <c r="J2500" s="87">
        <v>13</v>
      </c>
      <c r="K2500" s="87">
        <v>1</v>
      </c>
      <c r="L2500" s="87">
        <v>2</v>
      </c>
      <c r="M2500" s="87"/>
      <c r="N2500" s="87"/>
      <c r="O2500" s="87">
        <v>6</v>
      </c>
      <c r="P2500" s="87"/>
      <c r="Q2500" s="87"/>
      <c r="R2500" s="87"/>
      <c r="S2500" s="87"/>
      <c r="T2500" s="87"/>
      <c r="U2500" s="87"/>
      <c r="V2500" s="87">
        <v>5</v>
      </c>
      <c r="W2500" s="87"/>
      <c r="X2500" s="87"/>
      <c r="Y2500" s="87"/>
      <c r="Z2500" s="87"/>
      <c r="AA2500" s="87"/>
      <c r="AB2500" s="87"/>
      <c r="AC2500" s="87"/>
      <c r="AD2500" s="87"/>
      <c r="AE2500" s="87"/>
      <c r="AF2500" s="87"/>
      <c r="AG2500" s="87"/>
      <c r="AH2500" s="87">
        <v>27</v>
      </c>
      <c r="AI2500" s="87"/>
      <c r="AJ2500" s="87"/>
      <c r="AK2500" s="87"/>
      <c r="AL2500" s="87"/>
      <c r="AM2500" s="87"/>
      <c r="AN2500" s="87">
        <v>7</v>
      </c>
      <c r="AO2500" s="87">
        <v>4</v>
      </c>
      <c r="AP2500" s="87">
        <v>5</v>
      </c>
      <c r="AQ2500" s="87">
        <v>6</v>
      </c>
      <c r="AR2500" s="87">
        <v>4</v>
      </c>
      <c r="AS2500" s="87"/>
      <c r="AT2500" s="87"/>
      <c r="AU2500" s="87"/>
      <c r="AV2500" s="87">
        <v>1</v>
      </c>
      <c r="AW2500" s="88" t="str">
        <f>HYPERLINK("http://www.openstreetmap.org/?mlat=35.9279&amp;mlon=44.9623&amp;zoom=12#map=12/35.9279/44.9623","Maplink1")</f>
        <v>Maplink1</v>
      </c>
      <c r="AX2500" s="88" t="str">
        <f>HYPERLINK("https://www.google.iq/maps/search/+35.9279,44.9623/@35.9279,44.9623,14z?hl=en","Maplink2")</f>
        <v>Maplink2</v>
      </c>
      <c r="AY2500" s="88" t="str">
        <f>HYPERLINK("http://www.bing.com/maps/?lvl=14&amp;sty=h&amp;cp=35.9279~44.9623&amp;sp=point.35.9279_44.9623","Maplink3")</f>
        <v>Maplink3</v>
      </c>
      <c r="AZ2500" s="76"/>
    </row>
    <row r="2501" spans="1:52" x14ac:dyDescent="0.25">
      <c r="A2501" s="86">
        <v>6305</v>
      </c>
      <c r="B2501" s="87" t="s">
        <v>27</v>
      </c>
      <c r="C2501" s="87" t="s">
        <v>4754</v>
      </c>
      <c r="D2501" s="87" t="s">
        <v>4796</v>
      </c>
      <c r="E2501" s="87" t="s">
        <v>2055</v>
      </c>
      <c r="F2501" s="87">
        <v>35.731443499999997</v>
      </c>
      <c r="G2501" s="87">
        <v>45.137407500000002</v>
      </c>
      <c r="H2501" s="86">
        <v>43</v>
      </c>
      <c r="I2501" s="86">
        <v>258</v>
      </c>
      <c r="J2501" s="87">
        <v>5</v>
      </c>
      <c r="K2501" s="87">
        <v>11</v>
      </c>
      <c r="L2501" s="87">
        <v>6</v>
      </c>
      <c r="M2501" s="87"/>
      <c r="N2501" s="87"/>
      <c r="O2501" s="87">
        <v>18</v>
      </c>
      <c r="P2501" s="87"/>
      <c r="Q2501" s="87"/>
      <c r="R2501" s="87">
        <v>1</v>
      </c>
      <c r="S2501" s="87"/>
      <c r="T2501" s="87"/>
      <c r="U2501" s="87"/>
      <c r="V2501" s="87">
        <v>2</v>
      </c>
      <c r="W2501" s="87"/>
      <c r="X2501" s="87"/>
      <c r="Y2501" s="87"/>
      <c r="Z2501" s="87"/>
      <c r="AA2501" s="87"/>
      <c r="AB2501" s="87"/>
      <c r="AC2501" s="87"/>
      <c r="AD2501" s="87"/>
      <c r="AE2501" s="87"/>
      <c r="AF2501" s="87"/>
      <c r="AG2501" s="87"/>
      <c r="AH2501" s="87">
        <v>40</v>
      </c>
      <c r="AI2501" s="87"/>
      <c r="AJ2501" s="87"/>
      <c r="AK2501" s="87"/>
      <c r="AL2501" s="87">
        <v>3</v>
      </c>
      <c r="AM2501" s="87"/>
      <c r="AN2501" s="87">
        <v>5</v>
      </c>
      <c r="AO2501" s="87">
        <v>22</v>
      </c>
      <c r="AP2501" s="87">
        <v>1</v>
      </c>
      <c r="AQ2501" s="87">
        <v>9</v>
      </c>
      <c r="AR2501" s="87"/>
      <c r="AS2501" s="87">
        <v>5</v>
      </c>
      <c r="AT2501" s="87"/>
      <c r="AU2501" s="87">
        <v>1</v>
      </c>
      <c r="AV2501" s="87"/>
      <c r="AW2501" s="88" t="str">
        <f>HYPERLINK("http://www.openstreetmap.org/?mlat=35.7314&amp;mlon=45.1374&amp;zoom=12#map=12/35.7314/45.1374","Maplink1")</f>
        <v>Maplink1</v>
      </c>
      <c r="AX2501" s="88" t="str">
        <f>HYPERLINK("https://www.google.iq/maps/search/+35.7314,45.1374/@35.7314,45.1374,14z?hl=en","Maplink2")</f>
        <v>Maplink2</v>
      </c>
      <c r="AY2501" s="88" t="str">
        <f>HYPERLINK("http://www.bing.com/maps/?lvl=14&amp;sty=h&amp;cp=35.7314~45.1374&amp;sp=point.35.7314_45.1374","Maplink3")</f>
        <v>Maplink3</v>
      </c>
      <c r="AZ2501" s="76"/>
    </row>
    <row r="2502" spans="1:52" x14ac:dyDescent="0.25">
      <c r="A2502" s="86">
        <v>31966</v>
      </c>
      <c r="B2502" s="87" t="s">
        <v>27</v>
      </c>
      <c r="C2502" s="87" t="s">
        <v>4754</v>
      </c>
      <c r="D2502" s="87" t="s">
        <v>2054</v>
      </c>
      <c r="E2502" s="87" t="s">
        <v>2055</v>
      </c>
      <c r="F2502" s="87">
        <v>36.015855600000002</v>
      </c>
      <c r="G2502" s="87">
        <v>44.842044000000001</v>
      </c>
      <c r="H2502" s="86">
        <v>3</v>
      </c>
      <c r="I2502" s="86">
        <v>18</v>
      </c>
      <c r="J2502" s="87"/>
      <c r="K2502" s="87"/>
      <c r="L2502" s="87">
        <v>3</v>
      </c>
      <c r="M2502" s="87"/>
      <c r="N2502" s="87"/>
      <c r="O2502" s="87"/>
      <c r="P2502" s="87"/>
      <c r="Q2502" s="87"/>
      <c r="R2502" s="87"/>
      <c r="S2502" s="87"/>
      <c r="T2502" s="87"/>
      <c r="U2502" s="87"/>
      <c r="V2502" s="87"/>
      <c r="W2502" s="87"/>
      <c r="X2502" s="87"/>
      <c r="Y2502" s="87"/>
      <c r="Z2502" s="87"/>
      <c r="AA2502" s="87"/>
      <c r="AB2502" s="87"/>
      <c r="AC2502" s="87"/>
      <c r="AD2502" s="87"/>
      <c r="AE2502" s="87"/>
      <c r="AF2502" s="87"/>
      <c r="AG2502" s="87"/>
      <c r="AH2502" s="87">
        <v>3</v>
      </c>
      <c r="AI2502" s="87"/>
      <c r="AJ2502" s="87"/>
      <c r="AK2502" s="87"/>
      <c r="AL2502" s="87"/>
      <c r="AM2502" s="87"/>
      <c r="AN2502" s="87"/>
      <c r="AO2502" s="87">
        <v>1</v>
      </c>
      <c r="AP2502" s="87"/>
      <c r="AQ2502" s="87"/>
      <c r="AR2502" s="87"/>
      <c r="AS2502" s="87">
        <v>2</v>
      </c>
      <c r="AT2502" s="87"/>
      <c r="AU2502" s="87"/>
      <c r="AV2502" s="87"/>
      <c r="AW2502" s="88" t="str">
        <f>HYPERLINK("http://www.openstreetmap.org/?mlat=36.0159&amp;mlon=44.842&amp;zoom=12#map=12/36.0159/44.842","Maplink1")</f>
        <v>Maplink1</v>
      </c>
      <c r="AX2502" s="88" t="str">
        <f>HYPERLINK("https://www.google.iq/maps/search/+36.0159,44.842/@36.0159,44.842,14z?hl=en","Maplink2")</f>
        <v>Maplink2</v>
      </c>
      <c r="AY2502" s="88" t="str">
        <f>HYPERLINK("http://www.bing.com/maps/?lvl=14&amp;sty=h&amp;cp=36.0159~44.842&amp;sp=point.36.0159_44.842","Maplink3")</f>
        <v>Maplink3</v>
      </c>
      <c r="AZ2502" s="76"/>
    </row>
    <row r="2503" spans="1:52" x14ac:dyDescent="0.25">
      <c r="A2503" s="86">
        <v>6306</v>
      </c>
      <c r="B2503" s="87" t="s">
        <v>27</v>
      </c>
      <c r="C2503" s="87" t="s">
        <v>4754</v>
      </c>
      <c r="D2503" s="87" t="s">
        <v>2778</v>
      </c>
      <c r="E2503" s="87" t="s">
        <v>4797</v>
      </c>
      <c r="F2503" s="87">
        <v>35.733288999999999</v>
      </c>
      <c r="G2503" s="87">
        <v>45.144674799999997</v>
      </c>
      <c r="H2503" s="86">
        <v>56</v>
      </c>
      <c r="I2503" s="86">
        <v>336</v>
      </c>
      <c r="J2503" s="87">
        <v>4</v>
      </c>
      <c r="K2503" s="87">
        <v>26</v>
      </c>
      <c r="L2503" s="87">
        <v>11</v>
      </c>
      <c r="M2503" s="87"/>
      <c r="N2503" s="87"/>
      <c r="O2503" s="87">
        <v>6</v>
      </c>
      <c r="P2503" s="87"/>
      <c r="Q2503" s="87"/>
      <c r="R2503" s="87">
        <v>1</v>
      </c>
      <c r="S2503" s="87"/>
      <c r="T2503" s="87"/>
      <c r="U2503" s="87"/>
      <c r="V2503" s="87">
        <v>5</v>
      </c>
      <c r="W2503" s="87"/>
      <c r="X2503" s="87">
        <v>3</v>
      </c>
      <c r="Y2503" s="87"/>
      <c r="Z2503" s="87"/>
      <c r="AA2503" s="87"/>
      <c r="AB2503" s="87"/>
      <c r="AC2503" s="87"/>
      <c r="AD2503" s="87"/>
      <c r="AE2503" s="87"/>
      <c r="AF2503" s="87"/>
      <c r="AG2503" s="87"/>
      <c r="AH2503" s="87">
        <v>55</v>
      </c>
      <c r="AI2503" s="87"/>
      <c r="AJ2503" s="87"/>
      <c r="AK2503" s="87"/>
      <c r="AL2503" s="87">
        <v>1</v>
      </c>
      <c r="AM2503" s="87"/>
      <c r="AN2503" s="87">
        <v>8</v>
      </c>
      <c r="AO2503" s="87">
        <v>27</v>
      </c>
      <c r="AP2503" s="87">
        <v>6</v>
      </c>
      <c r="AQ2503" s="87">
        <v>13</v>
      </c>
      <c r="AR2503" s="87"/>
      <c r="AS2503" s="87"/>
      <c r="AT2503" s="87"/>
      <c r="AU2503" s="87">
        <v>2</v>
      </c>
      <c r="AV2503" s="87"/>
      <c r="AW2503" s="88" t="str">
        <f>HYPERLINK("http://www.openstreetmap.org/?mlat=35.7333&amp;mlon=45.1447&amp;zoom=12#map=12/35.7333/45.1447","Maplink1")</f>
        <v>Maplink1</v>
      </c>
      <c r="AX2503" s="88" t="str">
        <f>HYPERLINK("https://www.google.iq/maps/search/+35.7333,45.1447/@35.7333,45.1447,14z?hl=en","Maplink2")</f>
        <v>Maplink2</v>
      </c>
      <c r="AY2503" s="88" t="str">
        <f>HYPERLINK("http://www.bing.com/maps/?lvl=14&amp;sty=h&amp;cp=35.7333~45.1447&amp;sp=point.35.7333_45.1447","Maplink3")</f>
        <v>Maplink3</v>
      </c>
      <c r="AZ2503" s="76"/>
    </row>
    <row r="2504" spans="1:52" x14ac:dyDescent="0.25">
      <c r="A2504" s="86">
        <v>5000</v>
      </c>
      <c r="B2504" s="87" t="s">
        <v>27</v>
      </c>
      <c r="C2504" s="87" t="s">
        <v>4754</v>
      </c>
      <c r="D2504" s="87" t="s">
        <v>4798</v>
      </c>
      <c r="E2504" s="87" t="s">
        <v>4799</v>
      </c>
      <c r="F2504" s="87">
        <v>36.07103</v>
      </c>
      <c r="G2504" s="87">
        <v>44.781736799999997</v>
      </c>
      <c r="H2504" s="86">
        <v>7</v>
      </c>
      <c r="I2504" s="86">
        <v>42</v>
      </c>
      <c r="J2504" s="87"/>
      <c r="K2504" s="87">
        <v>1</v>
      </c>
      <c r="L2504" s="87"/>
      <c r="M2504" s="87"/>
      <c r="N2504" s="87"/>
      <c r="O2504" s="87"/>
      <c r="P2504" s="87"/>
      <c r="Q2504" s="87"/>
      <c r="R2504" s="87"/>
      <c r="S2504" s="87"/>
      <c r="T2504" s="87"/>
      <c r="U2504" s="87"/>
      <c r="V2504" s="87">
        <v>6</v>
      </c>
      <c r="W2504" s="87"/>
      <c r="X2504" s="87"/>
      <c r="Y2504" s="87"/>
      <c r="Z2504" s="87"/>
      <c r="AA2504" s="87"/>
      <c r="AB2504" s="87"/>
      <c r="AC2504" s="87"/>
      <c r="AD2504" s="87"/>
      <c r="AE2504" s="87"/>
      <c r="AF2504" s="87"/>
      <c r="AG2504" s="87"/>
      <c r="AH2504" s="87">
        <v>7</v>
      </c>
      <c r="AI2504" s="87"/>
      <c r="AJ2504" s="87"/>
      <c r="AK2504" s="87"/>
      <c r="AL2504" s="87"/>
      <c r="AM2504" s="87"/>
      <c r="AN2504" s="87"/>
      <c r="AO2504" s="87">
        <v>7</v>
      </c>
      <c r="AP2504" s="87"/>
      <c r="AQ2504" s="87"/>
      <c r="AR2504" s="87"/>
      <c r="AS2504" s="87"/>
      <c r="AT2504" s="87"/>
      <c r="AU2504" s="87"/>
      <c r="AV2504" s="87"/>
      <c r="AW2504" s="88" t="str">
        <f>HYPERLINK("http://www.openstreetmap.org/?mlat=36.071&amp;mlon=44.7817&amp;zoom=12#map=12/36.071/44.7817","Maplink1")</f>
        <v>Maplink1</v>
      </c>
      <c r="AX2504" s="88" t="str">
        <f>HYPERLINK("https://www.google.iq/maps/search/+36.071,44.7817/@36.071,44.7817,14z?hl=en","Maplink2")</f>
        <v>Maplink2</v>
      </c>
      <c r="AY2504" s="88" t="str">
        <f>HYPERLINK("http://www.bing.com/maps/?lvl=14&amp;sty=h&amp;cp=36.071~44.7817&amp;sp=point.36.071_44.7817","Maplink3")</f>
        <v>Maplink3</v>
      </c>
      <c r="AZ2504" s="76"/>
    </row>
    <row r="2505" spans="1:52" x14ac:dyDescent="0.25">
      <c r="A2505" s="86">
        <v>5258</v>
      </c>
      <c r="B2505" s="87" t="s">
        <v>27</v>
      </c>
      <c r="C2505" s="87" t="s">
        <v>4754</v>
      </c>
      <c r="D2505" s="87" t="s">
        <v>4800</v>
      </c>
      <c r="E2505" s="87" t="s">
        <v>4801</v>
      </c>
      <c r="F2505" s="87">
        <v>35.779354900000001</v>
      </c>
      <c r="G2505" s="87">
        <v>45.1368978</v>
      </c>
      <c r="H2505" s="86">
        <v>26</v>
      </c>
      <c r="I2505" s="86">
        <v>156</v>
      </c>
      <c r="J2505" s="87"/>
      <c r="K2505" s="87"/>
      <c r="L2505" s="87"/>
      <c r="M2505" s="87"/>
      <c r="N2505" s="87"/>
      <c r="O2505" s="87">
        <v>2</v>
      </c>
      <c r="P2505" s="87"/>
      <c r="Q2505" s="87"/>
      <c r="R2505" s="87"/>
      <c r="S2505" s="87"/>
      <c r="T2505" s="87"/>
      <c r="U2505" s="87"/>
      <c r="V2505" s="87">
        <v>24</v>
      </c>
      <c r="W2505" s="87"/>
      <c r="X2505" s="87"/>
      <c r="Y2505" s="87"/>
      <c r="Z2505" s="87"/>
      <c r="AA2505" s="87"/>
      <c r="AB2505" s="87"/>
      <c r="AC2505" s="87"/>
      <c r="AD2505" s="87"/>
      <c r="AE2505" s="87"/>
      <c r="AF2505" s="87"/>
      <c r="AG2505" s="87"/>
      <c r="AH2505" s="87">
        <v>26</v>
      </c>
      <c r="AI2505" s="87"/>
      <c r="AJ2505" s="87"/>
      <c r="AK2505" s="87"/>
      <c r="AL2505" s="87"/>
      <c r="AM2505" s="87"/>
      <c r="AN2505" s="87"/>
      <c r="AO2505" s="87">
        <v>6</v>
      </c>
      <c r="AP2505" s="87">
        <v>20</v>
      </c>
      <c r="AQ2505" s="87"/>
      <c r="AR2505" s="87"/>
      <c r="AS2505" s="87"/>
      <c r="AT2505" s="87"/>
      <c r="AU2505" s="87"/>
      <c r="AV2505" s="87"/>
      <c r="AW2505" s="88" t="str">
        <f>HYPERLINK("http://www.openstreetmap.org/?mlat=35.7794&amp;mlon=45.1369&amp;zoom=12#map=12/35.7794/45.1369","Maplink1")</f>
        <v>Maplink1</v>
      </c>
      <c r="AX2505" s="88" t="str">
        <f>HYPERLINK("https://www.google.iq/maps/search/+35.7794,45.1369/@35.7794,45.1369,14z?hl=en","Maplink2")</f>
        <v>Maplink2</v>
      </c>
      <c r="AY2505" s="88" t="str">
        <f>HYPERLINK("http://www.bing.com/maps/?lvl=14&amp;sty=h&amp;cp=35.7794~45.1369&amp;sp=point.35.7794_45.1369","Maplink3")</f>
        <v>Maplink3</v>
      </c>
      <c r="AZ2505" s="76"/>
    </row>
    <row r="2506" spans="1:52" x14ac:dyDescent="0.25">
      <c r="A2506" s="86">
        <v>3605</v>
      </c>
      <c r="B2506" s="87" t="s">
        <v>27</v>
      </c>
      <c r="C2506" s="87" t="s">
        <v>4754</v>
      </c>
      <c r="D2506" s="87" t="s">
        <v>4802</v>
      </c>
      <c r="E2506" s="87" t="s">
        <v>4803</v>
      </c>
      <c r="F2506" s="87">
        <v>35.859137799999999</v>
      </c>
      <c r="G2506" s="87">
        <v>45.101679699999998</v>
      </c>
      <c r="H2506" s="86">
        <v>10</v>
      </c>
      <c r="I2506" s="86">
        <v>60</v>
      </c>
      <c r="J2506" s="87"/>
      <c r="K2506" s="87"/>
      <c r="L2506" s="87">
        <v>1</v>
      </c>
      <c r="M2506" s="87"/>
      <c r="N2506" s="87"/>
      <c r="O2506" s="87">
        <v>2</v>
      </c>
      <c r="P2506" s="87"/>
      <c r="Q2506" s="87"/>
      <c r="R2506" s="87"/>
      <c r="S2506" s="87"/>
      <c r="T2506" s="87"/>
      <c r="U2506" s="87"/>
      <c r="V2506" s="87">
        <v>7</v>
      </c>
      <c r="W2506" s="87"/>
      <c r="X2506" s="87"/>
      <c r="Y2506" s="87"/>
      <c r="Z2506" s="87"/>
      <c r="AA2506" s="87"/>
      <c r="AB2506" s="87"/>
      <c r="AC2506" s="87"/>
      <c r="AD2506" s="87"/>
      <c r="AE2506" s="87"/>
      <c r="AF2506" s="87"/>
      <c r="AG2506" s="87"/>
      <c r="AH2506" s="87">
        <v>10</v>
      </c>
      <c r="AI2506" s="87"/>
      <c r="AJ2506" s="87"/>
      <c r="AK2506" s="87"/>
      <c r="AL2506" s="87"/>
      <c r="AM2506" s="87"/>
      <c r="AN2506" s="87"/>
      <c r="AO2506" s="87">
        <v>3</v>
      </c>
      <c r="AP2506" s="87">
        <v>7</v>
      </c>
      <c r="AQ2506" s="87"/>
      <c r="AR2506" s="87"/>
      <c r="AS2506" s="87"/>
      <c r="AT2506" s="87"/>
      <c r="AU2506" s="87"/>
      <c r="AV2506" s="87"/>
      <c r="AW2506" s="88" t="str">
        <f>HYPERLINK("http://www.openstreetmap.org/?mlat=35.8591&amp;mlon=45.1017&amp;zoom=12#map=12/35.8591/45.1017","Maplink1")</f>
        <v>Maplink1</v>
      </c>
      <c r="AX2506" s="88" t="str">
        <f>HYPERLINK("https://www.google.iq/maps/search/+35.8591,45.1017/@35.8591,45.1017,14z?hl=en","Maplink2")</f>
        <v>Maplink2</v>
      </c>
      <c r="AY2506" s="88" t="str">
        <f>HYPERLINK("http://www.bing.com/maps/?lvl=14&amp;sty=h&amp;cp=35.8591~45.1017&amp;sp=point.35.8591_45.1017","Maplink3")</f>
        <v>Maplink3</v>
      </c>
      <c r="AZ2506" s="76"/>
    </row>
    <row r="2507" spans="1:52" x14ac:dyDescent="0.25">
      <c r="A2507" s="86">
        <v>33154</v>
      </c>
      <c r="B2507" s="87" t="s">
        <v>27</v>
      </c>
      <c r="C2507" s="87" t="s">
        <v>4754</v>
      </c>
      <c r="D2507" s="87" t="s">
        <v>4804</v>
      </c>
      <c r="E2507" s="87" t="s">
        <v>4805</v>
      </c>
      <c r="F2507" s="87">
        <v>35.853259899999998</v>
      </c>
      <c r="G2507" s="87">
        <v>45.092708799999997</v>
      </c>
      <c r="H2507" s="86">
        <v>10</v>
      </c>
      <c r="I2507" s="86">
        <v>60</v>
      </c>
      <c r="J2507" s="87"/>
      <c r="K2507" s="87"/>
      <c r="L2507" s="87"/>
      <c r="M2507" s="87"/>
      <c r="N2507" s="87"/>
      <c r="O2507" s="87"/>
      <c r="P2507" s="87"/>
      <c r="Q2507" s="87"/>
      <c r="R2507" s="87">
        <v>9</v>
      </c>
      <c r="S2507" s="87"/>
      <c r="T2507" s="87"/>
      <c r="U2507" s="87"/>
      <c r="V2507" s="87"/>
      <c r="W2507" s="87"/>
      <c r="X2507" s="87">
        <v>1</v>
      </c>
      <c r="Y2507" s="87"/>
      <c r="Z2507" s="87"/>
      <c r="AA2507" s="87"/>
      <c r="AB2507" s="87">
        <v>10</v>
      </c>
      <c r="AC2507" s="87"/>
      <c r="AD2507" s="87"/>
      <c r="AE2507" s="87"/>
      <c r="AF2507" s="87"/>
      <c r="AG2507" s="87"/>
      <c r="AH2507" s="87"/>
      <c r="AI2507" s="87"/>
      <c r="AJ2507" s="87"/>
      <c r="AK2507" s="87"/>
      <c r="AL2507" s="87"/>
      <c r="AM2507" s="87"/>
      <c r="AN2507" s="87"/>
      <c r="AO2507" s="87"/>
      <c r="AP2507" s="87"/>
      <c r="AQ2507" s="87"/>
      <c r="AR2507" s="87"/>
      <c r="AS2507" s="87"/>
      <c r="AT2507" s="87"/>
      <c r="AU2507" s="87">
        <v>10</v>
      </c>
      <c r="AV2507" s="87"/>
      <c r="AW2507" s="88" t="str">
        <f>HYPERLINK("http://www.openstreetmap.org/?mlat=35.8533&amp;mlon=45.0927&amp;zoom=12#map=12/35.8533/45.0927","Maplink1")</f>
        <v>Maplink1</v>
      </c>
      <c r="AX2507" s="88" t="str">
        <f>HYPERLINK("https://www.google.iq/maps/search/+35.8533,45.0927/@35.8533,45.0927,14z?hl=en","Maplink2")</f>
        <v>Maplink2</v>
      </c>
      <c r="AY2507" s="88" t="str">
        <f>HYPERLINK("http://www.bing.com/maps/?lvl=14&amp;sty=h&amp;cp=35.8533~45.0927&amp;sp=point.35.8533_45.0927","Maplink3")</f>
        <v>Maplink3</v>
      </c>
      <c r="AZ2507" s="76"/>
    </row>
    <row r="2508" spans="1:52" x14ac:dyDescent="0.25">
      <c r="A2508" s="86">
        <v>3595</v>
      </c>
      <c r="B2508" s="87" t="s">
        <v>27</v>
      </c>
      <c r="C2508" s="87" t="s">
        <v>4754</v>
      </c>
      <c r="D2508" s="87" t="s">
        <v>4806</v>
      </c>
      <c r="E2508" s="87" t="s">
        <v>4807</v>
      </c>
      <c r="F2508" s="87">
        <v>35.680964500000002</v>
      </c>
      <c r="G2508" s="87">
        <v>45.135201799999997</v>
      </c>
      <c r="H2508" s="86">
        <v>13</v>
      </c>
      <c r="I2508" s="86">
        <v>78</v>
      </c>
      <c r="J2508" s="87"/>
      <c r="K2508" s="87">
        <v>2</v>
      </c>
      <c r="L2508" s="87"/>
      <c r="M2508" s="87"/>
      <c r="N2508" s="87"/>
      <c r="O2508" s="87"/>
      <c r="P2508" s="87"/>
      <c r="Q2508" s="87"/>
      <c r="R2508" s="87"/>
      <c r="S2508" s="87"/>
      <c r="T2508" s="87"/>
      <c r="U2508" s="87"/>
      <c r="V2508" s="87">
        <v>9</v>
      </c>
      <c r="W2508" s="87"/>
      <c r="X2508" s="87">
        <v>2</v>
      </c>
      <c r="Y2508" s="87"/>
      <c r="Z2508" s="87"/>
      <c r="AA2508" s="87"/>
      <c r="AB2508" s="87"/>
      <c r="AC2508" s="87"/>
      <c r="AD2508" s="87"/>
      <c r="AE2508" s="87"/>
      <c r="AF2508" s="87"/>
      <c r="AG2508" s="87"/>
      <c r="AH2508" s="87">
        <v>13</v>
      </c>
      <c r="AI2508" s="87"/>
      <c r="AJ2508" s="87"/>
      <c r="AK2508" s="87"/>
      <c r="AL2508" s="87"/>
      <c r="AM2508" s="87"/>
      <c r="AN2508" s="87"/>
      <c r="AO2508" s="87">
        <v>4</v>
      </c>
      <c r="AP2508" s="87">
        <v>9</v>
      </c>
      <c r="AQ2508" s="87"/>
      <c r="AR2508" s="87"/>
      <c r="AS2508" s="87"/>
      <c r="AT2508" s="87"/>
      <c r="AU2508" s="87"/>
      <c r="AV2508" s="87"/>
      <c r="AW2508" s="88" t="str">
        <f>HYPERLINK("http://www.openstreetmap.org/?mlat=35.681&amp;mlon=45.1352&amp;zoom=12#map=12/35.681/45.1352","Maplink1")</f>
        <v>Maplink1</v>
      </c>
      <c r="AX2508" s="88" t="str">
        <f>HYPERLINK("https://www.google.iq/maps/search/+35.681,45.1352/@35.681,45.1352,14z?hl=en","Maplink2")</f>
        <v>Maplink2</v>
      </c>
      <c r="AY2508" s="88" t="str">
        <f>HYPERLINK("http://www.bing.com/maps/?lvl=14&amp;sty=h&amp;cp=35.681~45.1352&amp;sp=point.35.681_45.1352","Maplink3")</f>
        <v>Maplink3</v>
      </c>
      <c r="AZ2508" s="76"/>
    </row>
    <row r="2509" spans="1:52" x14ac:dyDescent="0.25">
      <c r="A2509" s="86">
        <v>3593</v>
      </c>
      <c r="B2509" s="87" t="s">
        <v>27</v>
      </c>
      <c r="C2509" s="87" t="s">
        <v>4754</v>
      </c>
      <c r="D2509" s="87" t="s">
        <v>4808</v>
      </c>
      <c r="E2509" s="87" t="s">
        <v>4809</v>
      </c>
      <c r="F2509" s="87">
        <v>35.857441700000003</v>
      </c>
      <c r="G2509" s="87">
        <v>45.0769418</v>
      </c>
      <c r="H2509" s="86">
        <v>7</v>
      </c>
      <c r="I2509" s="86">
        <v>42</v>
      </c>
      <c r="J2509" s="87"/>
      <c r="K2509" s="87">
        <v>3</v>
      </c>
      <c r="L2509" s="87"/>
      <c r="M2509" s="87"/>
      <c r="N2509" s="87"/>
      <c r="O2509" s="87"/>
      <c r="P2509" s="87"/>
      <c r="Q2509" s="87"/>
      <c r="R2509" s="87"/>
      <c r="S2509" s="87"/>
      <c r="T2509" s="87"/>
      <c r="U2509" s="87"/>
      <c r="V2509" s="87">
        <v>3</v>
      </c>
      <c r="W2509" s="87"/>
      <c r="X2509" s="87">
        <v>1</v>
      </c>
      <c r="Y2509" s="87"/>
      <c r="Z2509" s="87"/>
      <c r="AA2509" s="87"/>
      <c r="AB2509" s="87"/>
      <c r="AC2509" s="87"/>
      <c r="AD2509" s="87"/>
      <c r="AE2509" s="87"/>
      <c r="AF2509" s="87"/>
      <c r="AG2509" s="87"/>
      <c r="AH2509" s="87">
        <v>7</v>
      </c>
      <c r="AI2509" s="87"/>
      <c r="AJ2509" s="87"/>
      <c r="AK2509" s="87"/>
      <c r="AL2509" s="87"/>
      <c r="AM2509" s="87"/>
      <c r="AN2509" s="87"/>
      <c r="AO2509" s="87">
        <v>4</v>
      </c>
      <c r="AP2509" s="87">
        <v>3</v>
      </c>
      <c r="AQ2509" s="87"/>
      <c r="AR2509" s="87"/>
      <c r="AS2509" s="87"/>
      <c r="AT2509" s="87"/>
      <c r="AU2509" s="87"/>
      <c r="AV2509" s="87"/>
      <c r="AW2509" s="88" t="str">
        <f>HYPERLINK("http://www.openstreetmap.org/?mlat=35.8574&amp;mlon=45.0769&amp;zoom=12#map=12/35.8574/45.0769","Maplink1")</f>
        <v>Maplink1</v>
      </c>
      <c r="AX2509" s="88" t="str">
        <f>HYPERLINK("https://www.google.iq/maps/search/+35.8574,45.0769/@35.8574,45.0769,14z?hl=en","Maplink2")</f>
        <v>Maplink2</v>
      </c>
      <c r="AY2509" s="88" t="str">
        <f>HYPERLINK("http://www.bing.com/maps/?lvl=14&amp;sty=h&amp;cp=35.8574~45.0769&amp;sp=point.35.8574_45.0769","Maplink3")</f>
        <v>Maplink3</v>
      </c>
      <c r="AZ2509" s="76"/>
    </row>
    <row r="2510" spans="1:52" x14ac:dyDescent="0.25">
      <c r="A2510" s="86">
        <v>24554</v>
      </c>
      <c r="B2510" s="87" t="s">
        <v>27</v>
      </c>
      <c r="C2510" s="87" t="s">
        <v>4754</v>
      </c>
      <c r="D2510" s="87" t="s">
        <v>4810</v>
      </c>
      <c r="E2510" s="87" t="s">
        <v>4811</v>
      </c>
      <c r="F2510" s="87">
        <v>35.724629399999998</v>
      </c>
      <c r="G2510" s="87">
        <v>45.144054799999999</v>
      </c>
      <c r="H2510" s="86">
        <v>20</v>
      </c>
      <c r="I2510" s="86">
        <v>120</v>
      </c>
      <c r="J2510" s="87"/>
      <c r="K2510" s="87">
        <v>6</v>
      </c>
      <c r="L2510" s="87">
        <v>2</v>
      </c>
      <c r="M2510" s="87"/>
      <c r="N2510" s="87"/>
      <c r="O2510" s="87">
        <v>10</v>
      </c>
      <c r="P2510" s="87"/>
      <c r="Q2510" s="87"/>
      <c r="R2510" s="87"/>
      <c r="S2510" s="87"/>
      <c r="T2510" s="87"/>
      <c r="U2510" s="87"/>
      <c r="V2510" s="87">
        <v>1</v>
      </c>
      <c r="W2510" s="87"/>
      <c r="X2510" s="87">
        <v>1</v>
      </c>
      <c r="Y2510" s="87"/>
      <c r="Z2510" s="87"/>
      <c r="AA2510" s="87"/>
      <c r="AB2510" s="87"/>
      <c r="AC2510" s="87"/>
      <c r="AD2510" s="87"/>
      <c r="AE2510" s="87"/>
      <c r="AF2510" s="87"/>
      <c r="AG2510" s="87"/>
      <c r="AH2510" s="87">
        <v>17</v>
      </c>
      <c r="AI2510" s="87"/>
      <c r="AJ2510" s="87"/>
      <c r="AK2510" s="87"/>
      <c r="AL2510" s="87">
        <v>3</v>
      </c>
      <c r="AM2510" s="87"/>
      <c r="AN2510" s="87">
        <v>2</v>
      </c>
      <c r="AO2510" s="87">
        <v>6</v>
      </c>
      <c r="AP2510" s="87"/>
      <c r="AQ2510" s="87">
        <v>10</v>
      </c>
      <c r="AR2510" s="87"/>
      <c r="AS2510" s="87">
        <v>2</v>
      </c>
      <c r="AT2510" s="87"/>
      <c r="AU2510" s="87"/>
      <c r="AV2510" s="87"/>
      <c r="AW2510" s="88" t="str">
        <f>HYPERLINK("http://www.openstreetmap.org/?mlat=35.7246&amp;mlon=45.1441&amp;zoom=12#map=12/35.7246/45.1441","Maplink1")</f>
        <v>Maplink1</v>
      </c>
      <c r="AX2510" s="88" t="str">
        <f>HYPERLINK("https://www.google.iq/maps/search/+35.7246,45.1441/@35.7246,45.1441,14z?hl=en","Maplink2")</f>
        <v>Maplink2</v>
      </c>
      <c r="AY2510" s="88" t="str">
        <f>HYPERLINK("http://www.bing.com/maps/?lvl=14&amp;sty=h&amp;cp=35.7246~45.1441&amp;sp=point.35.7246_45.1441","Maplink3")</f>
        <v>Maplink3</v>
      </c>
      <c r="AZ2510" s="76"/>
    </row>
    <row r="2511" spans="1:52" x14ac:dyDescent="0.25">
      <c r="A2511" s="86">
        <v>5068</v>
      </c>
      <c r="B2511" s="87" t="s">
        <v>27</v>
      </c>
      <c r="C2511" s="87" t="s">
        <v>4754</v>
      </c>
      <c r="D2511" s="87" t="s">
        <v>4812</v>
      </c>
      <c r="E2511" s="87" t="s">
        <v>4813</v>
      </c>
      <c r="F2511" s="87">
        <v>35.957265399999997</v>
      </c>
      <c r="G2511" s="87">
        <v>44.986149599999997</v>
      </c>
      <c r="H2511" s="86">
        <v>10</v>
      </c>
      <c r="I2511" s="86">
        <v>60</v>
      </c>
      <c r="J2511" s="87">
        <v>4</v>
      </c>
      <c r="K2511" s="87">
        <v>2</v>
      </c>
      <c r="L2511" s="87"/>
      <c r="M2511" s="87"/>
      <c r="N2511" s="87"/>
      <c r="O2511" s="87">
        <v>1</v>
      </c>
      <c r="P2511" s="87"/>
      <c r="Q2511" s="87"/>
      <c r="R2511" s="87"/>
      <c r="S2511" s="87"/>
      <c r="T2511" s="87"/>
      <c r="U2511" s="87"/>
      <c r="V2511" s="87">
        <v>1</v>
      </c>
      <c r="W2511" s="87"/>
      <c r="X2511" s="87">
        <v>2</v>
      </c>
      <c r="Y2511" s="87"/>
      <c r="Z2511" s="87"/>
      <c r="AA2511" s="87"/>
      <c r="AB2511" s="87"/>
      <c r="AC2511" s="87"/>
      <c r="AD2511" s="87"/>
      <c r="AE2511" s="87"/>
      <c r="AF2511" s="87"/>
      <c r="AG2511" s="87"/>
      <c r="AH2511" s="87">
        <v>10</v>
      </c>
      <c r="AI2511" s="87"/>
      <c r="AJ2511" s="87"/>
      <c r="AK2511" s="87"/>
      <c r="AL2511" s="87"/>
      <c r="AM2511" s="87"/>
      <c r="AN2511" s="87">
        <v>1</v>
      </c>
      <c r="AO2511" s="87">
        <v>6</v>
      </c>
      <c r="AP2511" s="87">
        <v>1</v>
      </c>
      <c r="AQ2511" s="87">
        <v>1</v>
      </c>
      <c r="AR2511" s="87"/>
      <c r="AS2511" s="87"/>
      <c r="AT2511" s="87"/>
      <c r="AU2511" s="87"/>
      <c r="AV2511" s="87">
        <v>1</v>
      </c>
      <c r="AW2511" s="88" t="str">
        <f>HYPERLINK("http://www.openstreetmap.org/?mlat=35.9573&amp;mlon=44.9861&amp;zoom=12#map=12/35.9573/44.9861","Maplink1")</f>
        <v>Maplink1</v>
      </c>
      <c r="AX2511" s="88" t="str">
        <f>HYPERLINK("https://www.google.iq/maps/search/+35.9573,44.9861/@35.9573,44.9861,14z?hl=en","Maplink2")</f>
        <v>Maplink2</v>
      </c>
      <c r="AY2511" s="88" t="str">
        <f>HYPERLINK("http://www.bing.com/maps/?lvl=14&amp;sty=h&amp;cp=35.9573~44.9861&amp;sp=point.35.9573_44.9861","Maplink3")</f>
        <v>Maplink3</v>
      </c>
      <c r="AZ2511" s="76"/>
    </row>
    <row r="2512" spans="1:52" x14ac:dyDescent="0.25">
      <c r="A2512" s="86">
        <v>3589</v>
      </c>
      <c r="B2512" s="87" t="s">
        <v>27</v>
      </c>
      <c r="C2512" s="87" t="s">
        <v>4754</v>
      </c>
      <c r="D2512" s="87" t="s">
        <v>4814</v>
      </c>
      <c r="E2512" s="87" t="s">
        <v>4815</v>
      </c>
      <c r="F2512" s="87">
        <v>35.751546599999998</v>
      </c>
      <c r="G2512" s="87">
        <v>45.120442400000002</v>
      </c>
      <c r="H2512" s="86">
        <v>7</v>
      </c>
      <c r="I2512" s="86">
        <v>42</v>
      </c>
      <c r="J2512" s="87"/>
      <c r="K2512" s="87"/>
      <c r="L2512" s="87">
        <v>4</v>
      </c>
      <c r="M2512" s="87"/>
      <c r="N2512" s="87"/>
      <c r="O2512" s="87"/>
      <c r="P2512" s="87"/>
      <c r="Q2512" s="87"/>
      <c r="R2512" s="87"/>
      <c r="S2512" s="87"/>
      <c r="T2512" s="87"/>
      <c r="U2512" s="87"/>
      <c r="V2512" s="87">
        <v>3</v>
      </c>
      <c r="W2512" s="87"/>
      <c r="X2512" s="87"/>
      <c r="Y2512" s="87"/>
      <c r="Z2512" s="87"/>
      <c r="AA2512" s="87"/>
      <c r="AB2512" s="87"/>
      <c r="AC2512" s="87"/>
      <c r="AD2512" s="87"/>
      <c r="AE2512" s="87"/>
      <c r="AF2512" s="87"/>
      <c r="AG2512" s="87"/>
      <c r="AH2512" s="87">
        <v>7</v>
      </c>
      <c r="AI2512" s="87"/>
      <c r="AJ2512" s="87"/>
      <c r="AK2512" s="87"/>
      <c r="AL2512" s="87"/>
      <c r="AM2512" s="87"/>
      <c r="AN2512" s="87">
        <v>4</v>
      </c>
      <c r="AO2512" s="87"/>
      <c r="AP2512" s="87">
        <v>3</v>
      </c>
      <c r="AQ2512" s="87"/>
      <c r="AR2512" s="87"/>
      <c r="AS2512" s="87"/>
      <c r="AT2512" s="87"/>
      <c r="AU2512" s="87"/>
      <c r="AV2512" s="87"/>
      <c r="AW2512" s="88" t="str">
        <f>HYPERLINK("http://www.openstreetmap.org/?mlat=35.7515&amp;mlon=45.1204&amp;zoom=12#map=12/35.7515/45.1204","Maplink1")</f>
        <v>Maplink1</v>
      </c>
      <c r="AX2512" s="88" t="str">
        <f>HYPERLINK("https://www.google.iq/maps/search/+35.7515,45.1204/@35.7515,45.1204,14z?hl=en","Maplink2")</f>
        <v>Maplink2</v>
      </c>
      <c r="AY2512" s="88" t="str">
        <f>HYPERLINK("http://www.bing.com/maps/?lvl=14&amp;sty=h&amp;cp=35.7515~45.1204&amp;sp=point.35.7515_45.1204","Maplink3")</f>
        <v>Maplink3</v>
      </c>
      <c r="AZ2512" s="76"/>
    </row>
    <row r="2513" spans="1:52" x14ac:dyDescent="0.25">
      <c r="A2513" s="86">
        <v>5108</v>
      </c>
      <c r="B2513" s="87" t="s">
        <v>27</v>
      </c>
      <c r="C2513" s="87" t="s">
        <v>4816</v>
      </c>
      <c r="D2513" s="87" t="s">
        <v>4817</v>
      </c>
      <c r="E2513" s="87" t="s">
        <v>4818</v>
      </c>
      <c r="F2513" s="87">
        <v>35.299546200000002</v>
      </c>
      <c r="G2513" s="87">
        <v>46.065287499999997</v>
      </c>
      <c r="H2513" s="86">
        <v>1</v>
      </c>
      <c r="I2513" s="86">
        <v>6</v>
      </c>
      <c r="J2513" s="87"/>
      <c r="K2513" s="87">
        <v>1</v>
      </c>
      <c r="L2513" s="87"/>
      <c r="M2513" s="87"/>
      <c r="N2513" s="87"/>
      <c r="O2513" s="87"/>
      <c r="P2513" s="87"/>
      <c r="Q2513" s="87"/>
      <c r="R2513" s="87"/>
      <c r="S2513" s="87"/>
      <c r="T2513" s="87"/>
      <c r="U2513" s="87"/>
      <c r="V2513" s="87"/>
      <c r="W2513" s="87"/>
      <c r="X2513" s="87"/>
      <c r="Y2513" s="87"/>
      <c r="Z2513" s="87"/>
      <c r="AA2513" s="87"/>
      <c r="AB2513" s="87"/>
      <c r="AC2513" s="87"/>
      <c r="AD2513" s="87"/>
      <c r="AE2513" s="87"/>
      <c r="AF2513" s="87"/>
      <c r="AG2513" s="87"/>
      <c r="AH2513" s="87">
        <v>1</v>
      </c>
      <c r="AI2513" s="87"/>
      <c r="AJ2513" s="87"/>
      <c r="AK2513" s="87"/>
      <c r="AL2513" s="87"/>
      <c r="AM2513" s="87"/>
      <c r="AN2513" s="87"/>
      <c r="AO2513" s="87"/>
      <c r="AP2513" s="87"/>
      <c r="AQ2513" s="87">
        <v>1</v>
      </c>
      <c r="AR2513" s="87"/>
      <c r="AS2513" s="87"/>
      <c r="AT2513" s="87"/>
      <c r="AU2513" s="87"/>
      <c r="AV2513" s="87"/>
      <c r="AW2513" s="88" t="str">
        <f>HYPERLINK("http://www.openstreetmap.org/?mlat=35.2995&amp;mlon=46.0653&amp;zoom=12#map=12/35.2995/46.0653","Maplink1")</f>
        <v>Maplink1</v>
      </c>
      <c r="AX2513" s="88" t="str">
        <f>HYPERLINK("https://www.google.iq/maps/search/+35.2995,46.0653/@35.2995,46.0653,14z?hl=en","Maplink2")</f>
        <v>Maplink2</v>
      </c>
      <c r="AY2513" s="88" t="str">
        <f>HYPERLINK("http://www.bing.com/maps/?lvl=14&amp;sty=h&amp;cp=35.2995~46.0653&amp;sp=point.35.2995_46.0653","Maplink3")</f>
        <v>Maplink3</v>
      </c>
      <c r="AZ2513" s="76"/>
    </row>
    <row r="2514" spans="1:52" x14ac:dyDescent="0.25">
      <c r="A2514" s="86">
        <v>22460</v>
      </c>
      <c r="B2514" s="87" t="s">
        <v>27</v>
      </c>
      <c r="C2514" s="87" t="s">
        <v>4816</v>
      </c>
      <c r="D2514" s="87" t="s">
        <v>4819</v>
      </c>
      <c r="E2514" s="87" t="s">
        <v>4820</v>
      </c>
      <c r="F2514" s="87">
        <v>35.299199299999998</v>
      </c>
      <c r="G2514" s="87">
        <v>46.034341900000001</v>
      </c>
      <c r="H2514" s="86">
        <v>10</v>
      </c>
      <c r="I2514" s="86">
        <v>60</v>
      </c>
      <c r="J2514" s="87">
        <v>1</v>
      </c>
      <c r="K2514" s="87"/>
      <c r="L2514" s="87">
        <v>1</v>
      </c>
      <c r="M2514" s="87"/>
      <c r="N2514" s="87"/>
      <c r="O2514" s="87">
        <v>2</v>
      </c>
      <c r="P2514" s="87"/>
      <c r="Q2514" s="87"/>
      <c r="R2514" s="87"/>
      <c r="S2514" s="87"/>
      <c r="T2514" s="87"/>
      <c r="U2514" s="87"/>
      <c r="V2514" s="87">
        <v>1</v>
      </c>
      <c r="W2514" s="87"/>
      <c r="X2514" s="87">
        <v>5</v>
      </c>
      <c r="Y2514" s="87"/>
      <c r="Z2514" s="87"/>
      <c r="AA2514" s="87"/>
      <c r="AB2514" s="87"/>
      <c r="AC2514" s="87"/>
      <c r="AD2514" s="87"/>
      <c r="AE2514" s="87"/>
      <c r="AF2514" s="87"/>
      <c r="AG2514" s="87"/>
      <c r="AH2514" s="87">
        <v>10</v>
      </c>
      <c r="AI2514" s="87"/>
      <c r="AJ2514" s="87"/>
      <c r="AK2514" s="87"/>
      <c r="AL2514" s="87"/>
      <c r="AM2514" s="87"/>
      <c r="AN2514" s="87">
        <v>2</v>
      </c>
      <c r="AO2514" s="87">
        <v>1</v>
      </c>
      <c r="AP2514" s="87"/>
      <c r="AQ2514" s="87"/>
      <c r="AR2514" s="87">
        <v>1</v>
      </c>
      <c r="AS2514" s="87">
        <v>1</v>
      </c>
      <c r="AT2514" s="87">
        <v>4</v>
      </c>
      <c r="AU2514" s="87">
        <v>1</v>
      </c>
      <c r="AV2514" s="87"/>
      <c r="AW2514" s="88" t="str">
        <f>HYPERLINK("http://www.openstreetmap.org/?mlat=35.2992&amp;mlon=46.0343&amp;zoom=12#map=12/35.2992/46.0343","Maplink1")</f>
        <v>Maplink1</v>
      </c>
      <c r="AX2514" s="88" t="str">
        <f>HYPERLINK("https://www.google.iq/maps/search/+35.2992,46.0343/@35.2992,46.0343,14z?hl=en","Maplink2")</f>
        <v>Maplink2</v>
      </c>
      <c r="AY2514" s="88" t="str">
        <f>HYPERLINK("http://www.bing.com/maps/?lvl=14&amp;sty=h&amp;cp=35.2992~46.0343&amp;sp=point.35.2992_46.0343","Maplink3")</f>
        <v>Maplink3</v>
      </c>
      <c r="AZ2514" s="76"/>
    </row>
    <row r="2515" spans="1:52" x14ac:dyDescent="0.25">
      <c r="A2515" s="86">
        <v>3819</v>
      </c>
      <c r="B2515" s="87" t="s">
        <v>27</v>
      </c>
      <c r="C2515" s="87" t="s">
        <v>4816</v>
      </c>
      <c r="D2515" s="87" t="s">
        <v>1968</v>
      </c>
      <c r="E2515" s="87" t="s">
        <v>2624</v>
      </c>
      <c r="F2515" s="87">
        <v>35.301768899999999</v>
      </c>
      <c r="G2515" s="87">
        <v>46.035676100000003</v>
      </c>
      <c r="H2515" s="86">
        <v>3</v>
      </c>
      <c r="I2515" s="86">
        <v>18</v>
      </c>
      <c r="J2515" s="87"/>
      <c r="K2515" s="87"/>
      <c r="L2515" s="87">
        <v>1</v>
      </c>
      <c r="M2515" s="87"/>
      <c r="N2515" s="87"/>
      <c r="O2515" s="87">
        <v>2</v>
      </c>
      <c r="P2515" s="87"/>
      <c r="Q2515" s="87"/>
      <c r="R2515" s="87"/>
      <c r="S2515" s="87"/>
      <c r="T2515" s="87"/>
      <c r="U2515" s="87"/>
      <c r="V2515" s="87"/>
      <c r="W2515" s="87"/>
      <c r="X2515" s="87"/>
      <c r="Y2515" s="87"/>
      <c r="Z2515" s="87"/>
      <c r="AA2515" s="87"/>
      <c r="AB2515" s="87"/>
      <c r="AC2515" s="87"/>
      <c r="AD2515" s="87"/>
      <c r="AE2515" s="87"/>
      <c r="AF2515" s="87"/>
      <c r="AG2515" s="87"/>
      <c r="AH2515" s="87">
        <v>3</v>
      </c>
      <c r="AI2515" s="87"/>
      <c r="AJ2515" s="87"/>
      <c r="AK2515" s="87"/>
      <c r="AL2515" s="87"/>
      <c r="AM2515" s="87"/>
      <c r="AN2515" s="87">
        <v>1</v>
      </c>
      <c r="AO2515" s="87">
        <v>1</v>
      </c>
      <c r="AP2515" s="87"/>
      <c r="AQ2515" s="87"/>
      <c r="AR2515" s="87"/>
      <c r="AS2515" s="87"/>
      <c r="AT2515" s="87">
        <v>1</v>
      </c>
      <c r="AU2515" s="87"/>
      <c r="AV2515" s="87"/>
      <c r="AW2515" s="88" t="str">
        <f>HYPERLINK("http://www.openstreetmap.org/?mlat=35.3018&amp;mlon=46.0357&amp;zoom=12#map=12/35.3018/46.0357","Maplink1")</f>
        <v>Maplink1</v>
      </c>
      <c r="AX2515" s="88" t="str">
        <f>HYPERLINK("https://www.google.iq/maps/search/+35.3018,46.0357/@35.3018,46.0357,14z?hl=en","Maplink2")</f>
        <v>Maplink2</v>
      </c>
      <c r="AY2515" s="88" t="str">
        <f>HYPERLINK("http://www.bing.com/maps/?lvl=14&amp;sty=h&amp;cp=35.3018~46.0357&amp;sp=point.35.3018_46.0357","Maplink3")</f>
        <v>Maplink3</v>
      </c>
      <c r="AZ2515" s="76"/>
    </row>
    <row r="2516" spans="1:52" x14ac:dyDescent="0.25">
      <c r="A2516" s="86">
        <v>25079</v>
      </c>
      <c r="B2516" s="87" t="s">
        <v>27</v>
      </c>
      <c r="C2516" s="87" t="s">
        <v>4816</v>
      </c>
      <c r="D2516" s="87" t="s">
        <v>1902</v>
      </c>
      <c r="E2516" s="87" t="s">
        <v>2817</v>
      </c>
      <c r="F2516" s="87">
        <v>35.316260100000001</v>
      </c>
      <c r="G2516" s="87">
        <v>45.689178300000002</v>
      </c>
      <c r="H2516" s="86">
        <v>25</v>
      </c>
      <c r="I2516" s="86">
        <v>150</v>
      </c>
      <c r="J2516" s="87">
        <v>6</v>
      </c>
      <c r="K2516" s="87"/>
      <c r="L2516" s="87">
        <v>5</v>
      </c>
      <c r="M2516" s="87"/>
      <c r="N2516" s="87"/>
      <c r="O2516" s="87">
        <v>5</v>
      </c>
      <c r="P2516" s="87"/>
      <c r="Q2516" s="87"/>
      <c r="R2516" s="87"/>
      <c r="S2516" s="87"/>
      <c r="T2516" s="87"/>
      <c r="U2516" s="87"/>
      <c r="V2516" s="87"/>
      <c r="W2516" s="87"/>
      <c r="X2516" s="87">
        <v>9</v>
      </c>
      <c r="Y2516" s="87"/>
      <c r="Z2516" s="87"/>
      <c r="AA2516" s="87"/>
      <c r="AB2516" s="87"/>
      <c r="AC2516" s="87"/>
      <c r="AD2516" s="87"/>
      <c r="AE2516" s="87"/>
      <c r="AF2516" s="87"/>
      <c r="AG2516" s="87"/>
      <c r="AH2516" s="87">
        <v>25</v>
      </c>
      <c r="AI2516" s="87"/>
      <c r="AJ2516" s="87"/>
      <c r="AK2516" s="87"/>
      <c r="AL2516" s="87"/>
      <c r="AM2516" s="87"/>
      <c r="AN2516" s="87"/>
      <c r="AO2516" s="87">
        <v>3</v>
      </c>
      <c r="AP2516" s="87">
        <v>1</v>
      </c>
      <c r="AQ2516" s="87">
        <v>8</v>
      </c>
      <c r="AR2516" s="87">
        <v>3</v>
      </c>
      <c r="AS2516" s="87">
        <v>2</v>
      </c>
      <c r="AT2516" s="87">
        <v>4</v>
      </c>
      <c r="AU2516" s="87">
        <v>3</v>
      </c>
      <c r="AV2516" s="87">
        <v>1</v>
      </c>
      <c r="AW2516" s="88" t="str">
        <f>HYPERLINK("http://www.openstreetmap.org/?mlat=35.3163&amp;mlon=45.6892&amp;zoom=12#map=12/35.3163/45.6892","Maplink1")</f>
        <v>Maplink1</v>
      </c>
      <c r="AX2516" s="88" t="str">
        <f>HYPERLINK("https://www.google.iq/maps/search/+35.3163,45.6892/@35.3163,45.6892,14z?hl=en","Maplink2")</f>
        <v>Maplink2</v>
      </c>
      <c r="AY2516" s="88" t="str">
        <f>HYPERLINK("http://www.bing.com/maps/?lvl=14&amp;sty=h&amp;cp=35.3163~45.6892&amp;sp=point.35.3163_45.6892","Maplink3")</f>
        <v>Maplink3</v>
      </c>
      <c r="AZ2516" s="76"/>
    </row>
    <row r="2517" spans="1:52" x14ac:dyDescent="0.25">
      <c r="A2517" s="86">
        <v>31861</v>
      </c>
      <c r="B2517" s="87" t="s">
        <v>27</v>
      </c>
      <c r="C2517" s="87" t="s">
        <v>4816</v>
      </c>
      <c r="D2517" s="87" t="s">
        <v>1902</v>
      </c>
      <c r="E2517" s="87" t="s">
        <v>2817</v>
      </c>
      <c r="F2517" s="87">
        <v>35.251204100000002</v>
      </c>
      <c r="G2517" s="87">
        <v>45.943317299999997</v>
      </c>
      <c r="H2517" s="86">
        <v>29</v>
      </c>
      <c r="I2517" s="86">
        <v>174</v>
      </c>
      <c r="J2517" s="87"/>
      <c r="K2517" s="87">
        <v>10</v>
      </c>
      <c r="L2517" s="87">
        <v>9</v>
      </c>
      <c r="M2517" s="87"/>
      <c r="N2517" s="87"/>
      <c r="O2517" s="87">
        <v>4</v>
      </c>
      <c r="P2517" s="87"/>
      <c r="Q2517" s="87"/>
      <c r="R2517" s="87">
        <v>1</v>
      </c>
      <c r="S2517" s="87"/>
      <c r="T2517" s="87"/>
      <c r="U2517" s="87"/>
      <c r="V2517" s="87"/>
      <c r="W2517" s="87"/>
      <c r="X2517" s="87">
        <v>5</v>
      </c>
      <c r="Y2517" s="87"/>
      <c r="Z2517" s="87"/>
      <c r="AA2517" s="87"/>
      <c r="AB2517" s="87"/>
      <c r="AC2517" s="87"/>
      <c r="AD2517" s="87"/>
      <c r="AE2517" s="87"/>
      <c r="AF2517" s="87"/>
      <c r="AG2517" s="87"/>
      <c r="AH2517" s="87">
        <v>27</v>
      </c>
      <c r="AI2517" s="87"/>
      <c r="AJ2517" s="87"/>
      <c r="AK2517" s="87"/>
      <c r="AL2517" s="87">
        <v>2</v>
      </c>
      <c r="AM2517" s="87"/>
      <c r="AN2517" s="87">
        <v>3</v>
      </c>
      <c r="AO2517" s="87">
        <v>4</v>
      </c>
      <c r="AP2517" s="87"/>
      <c r="AQ2517" s="87">
        <v>8</v>
      </c>
      <c r="AR2517" s="87">
        <v>5</v>
      </c>
      <c r="AS2517" s="87">
        <v>6</v>
      </c>
      <c r="AT2517" s="87"/>
      <c r="AU2517" s="87">
        <v>1</v>
      </c>
      <c r="AV2517" s="87">
        <v>2</v>
      </c>
      <c r="AW2517" s="88" t="str">
        <f>HYPERLINK("http://www.openstreetmap.org/?mlat=35.2512&amp;mlon=45.9433&amp;zoom=12#map=12/35.2512/45.9433","Maplink1")</f>
        <v>Maplink1</v>
      </c>
      <c r="AX2517" s="88" t="str">
        <f>HYPERLINK("https://www.google.iq/maps/search/+35.2512,45.9433/@35.2512,45.9433,14z?hl=en","Maplink2")</f>
        <v>Maplink2</v>
      </c>
      <c r="AY2517" s="88" t="str">
        <f>HYPERLINK("http://www.bing.com/maps/?lvl=14&amp;sty=h&amp;cp=35.2512~45.9433&amp;sp=point.35.2512_45.9433","Maplink3")</f>
        <v>Maplink3</v>
      </c>
      <c r="AZ2517" s="76"/>
    </row>
    <row r="2518" spans="1:52" x14ac:dyDescent="0.25">
      <c r="A2518" s="86">
        <v>23723</v>
      </c>
      <c r="B2518" s="87" t="s">
        <v>27</v>
      </c>
      <c r="C2518" s="87" t="s">
        <v>4816</v>
      </c>
      <c r="D2518" s="87" t="s">
        <v>4821</v>
      </c>
      <c r="E2518" s="87" t="s">
        <v>4822</v>
      </c>
      <c r="F2518" s="87">
        <v>35.324165399999998</v>
      </c>
      <c r="G2518" s="87">
        <v>45.6822497</v>
      </c>
      <c r="H2518" s="86">
        <v>34</v>
      </c>
      <c r="I2518" s="86">
        <v>204</v>
      </c>
      <c r="J2518" s="87">
        <v>8</v>
      </c>
      <c r="K2518" s="87">
        <v>1</v>
      </c>
      <c r="L2518" s="87">
        <v>6</v>
      </c>
      <c r="M2518" s="87"/>
      <c r="N2518" s="87"/>
      <c r="O2518" s="87">
        <v>10</v>
      </c>
      <c r="P2518" s="87"/>
      <c r="Q2518" s="87"/>
      <c r="R2518" s="87"/>
      <c r="S2518" s="87"/>
      <c r="T2518" s="87"/>
      <c r="U2518" s="87"/>
      <c r="V2518" s="87"/>
      <c r="W2518" s="87"/>
      <c r="X2518" s="87">
        <v>9</v>
      </c>
      <c r="Y2518" s="87"/>
      <c r="Z2518" s="87"/>
      <c r="AA2518" s="87"/>
      <c r="AB2518" s="87"/>
      <c r="AC2518" s="87"/>
      <c r="AD2518" s="87"/>
      <c r="AE2518" s="87"/>
      <c r="AF2518" s="87"/>
      <c r="AG2518" s="87"/>
      <c r="AH2518" s="87">
        <v>34</v>
      </c>
      <c r="AI2518" s="87"/>
      <c r="AJ2518" s="87"/>
      <c r="AK2518" s="87"/>
      <c r="AL2518" s="87"/>
      <c r="AM2518" s="87"/>
      <c r="AN2518" s="87"/>
      <c r="AO2518" s="87">
        <v>12</v>
      </c>
      <c r="AP2518" s="87"/>
      <c r="AQ2518" s="87">
        <v>11</v>
      </c>
      <c r="AR2518" s="87"/>
      <c r="AS2518" s="87">
        <v>6</v>
      </c>
      <c r="AT2518" s="87"/>
      <c r="AU2518" s="87">
        <v>5</v>
      </c>
      <c r="AV2518" s="87"/>
      <c r="AW2518" s="88" t="str">
        <f>HYPERLINK("http://www.openstreetmap.org/?mlat=35.3242&amp;mlon=45.6822&amp;zoom=12#map=12/35.3242/45.6822","Maplink1")</f>
        <v>Maplink1</v>
      </c>
      <c r="AX2518" s="88" t="str">
        <f>HYPERLINK("https://www.google.iq/maps/search/+35.3242,45.6822/@35.3242,45.6822,14z?hl=en","Maplink2")</f>
        <v>Maplink2</v>
      </c>
      <c r="AY2518" s="88" t="str">
        <f>HYPERLINK("http://www.bing.com/maps/?lvl=14&amp;sty=h&amp;cp=35.3242~45.6822&amp;sp=point.35.3242_45.6822","Maplink3")</f>
        <v>Maplink3</v>
      </c>
      <c r="AZ2518" s="76"/>
    </row>
    <row r="2519" spans="1:52" x14ac:dyDescent="0.25">
      <c r="A2519" s="86">
        <v>24096</v>
      </c>
      <c r="B2519" s="87" t="s">
        <v>27</v>
      </c>
      <c r="C2519" s="87" t="s">
        <v>4816</v>
      </c>
      <c r="D2519" s="87" t="s">
        <v>4823</v>
      </c>
      <c r="E2519" s="87" t="s">
        <v>4824</v>
      </c>
      <c r="F2519" s="87">
        <v>35.355340300000002</v>
      </c>
      <c r="G2519" s="87">
        <v>45.868833700000003</v>
      </c>
      <c r="H2519" s="86">
        <v>54</v>
      </c>
      <c r="I2519" s="86">
        <v>324</v>
      </c>
      <c r="J2519" s="87">
        <v>5</v>
      </c>
      <c r="K2519" s="87">
        <v>8</v>
      </c>
      <c r="L2519" s="87">
        <v>10</v>
      </c>
      <c r="M2519" s="87"/>
      <c r="N2519" s="87"/>
      <c r="O2519" s="87">
        <v>14</v>
      </c>
      <c r="P2519" s="87"/>
      <c r="Q2519" s="87"/>
      <c r="R2519" s="87">
        <v>2</v>
      </c>
      <c r="S2519" s="87"/>
      <c r="T2519" s="87"/>
      <c r="U2519" s="87"/>
      <c r="V2519" s="87">
        <v>12</v>
      </c>
      <c r="W2519" s="87"/>
      <c r="X2519" s="87">
        <v>3</v>
      </c>
      <c r="Y2519" s="87"/>
      <c r="Z2519" s="87"/>
      <c r="AA2519" s="87"/>
      <c r="AB2519" s="87"/>
      <c r="AC2519" s="87"/>
      <c r="AD2519" s="87"/>
      <c r="AE2519" s="87"/>
      <c r="AF2519" s="87"/>
      <c r="AG2519" s="87"/>
      <c r="AH2519" s="87">
        <v>54</v>
      </c>
      <c r="AI2519" s="87"/>
      <c r="AJ2519" s="87"/>
      <c r="AK2519" s="87"/>
      <c r="AL2519" s="87"/>
      <c r="AM2519" s="87"/>
      <c r="AN2519" s="87">
        <v>7</v>
      </c>
      <c r="AO2519" s="87">
        <v>10</v>
      </c>
      <c r="AP2519" s="87">
        <v>17</v>
      </c>
      <c r="AQ2519" s="87">
        <v>4</v>
      </c>
      <c r="AR2519" s="87">
        <v>2</v>
      </c>
      <c r="AS2519" s="87">
        <v>5</v>
      </c>
      <c r="AT2519" s="87">
        <v>3</v>
      </c>
      <c r="AU2519" s="87">
        <v>6</v>
      </c>
      <c r="AV2519" s="87"/>
      <c r="AW2519" s="88" t="str">
        <f>HYPERLINK("http://www.openstreetmap.org/?mlat=35.3553&amp;mlon=45.8688&amp;zoom=12#map=12/35.3553/45.8688","Maplink1")</f>
        <v>Maplink1</v>
      </c>
      <c r="AX2519" s="88" t="str">
        <f>HYPERLINK("https://www.google.iq/maps/search/+35.3553,45.8688/@35.3553,45.8688,14z?hl=en","Maplink2")</f>
        <v>Maplink2</v>
      </c>
      <c r="AY2519" s="88" t="str">
        <f>HYPERLINK("http://www.bing.com/maps/?lvl=14&amp;sty=h&amp;cp=35.3553~45.8688&amp;sp=point.35.3553_45.8688","Maplink3")</f>
        <v>Maplink3</v>
      </c>
      <c r="AZ2519" s="76"/>
    </row>
    <row r="2520" spans="1:52" x14ac:dyDescent="0.25">
      <c r="A2520" s="86">
        <v>24639</v>
      </c>
      <c r="B2520" s="87" t="s">
        <v>27</v>
      </c>
      <c r="C2520" s="87" t="s">
        <v>4816</v>
      </c>
      <c r="D2520" s="87" t="s">
        <v>4825</v>
      </c>
      <c r="E2520" s="87" t="s">
        <v>4826</v>
      </c>
      <c r="F2520" s="87">
        <v>35.296585800000003</v>
      </c>
      <c r="G2520" s="87">
        <v>46.0369381</v>
      </c>
      <c r="H2520" s="86">
        <v>13</v>
      </c>
      <c r="I2520" s="86">
        <v>78</v>
      </c>
      <c r="J2520" s="87">
        <v>3</v>
      </c>
      <c r="K2520" s="87">
        <v>2</v>
      </c>
      <c r="L2520" s="87"/>
      <c r="M2520" s="87"/>
      <c r="N2520" s="87"/>
      <c r="O2520" s="87">
        <v>6</v>
      </c>
      <c r="P2520" s="87"/>
      <c r="Q2520" s="87"/>
      <c r="R2520" s="87"/>
      <c r="S2520" s="87"/>
      <c r="T2520" s="87"/>
      <c r="U2520" s="87"/>
      <c r="V2520" s="87">
        <v>2</v>
      </c>
      <c r="W2520" s="87"/>
      <c r="X2520" s="87"/>
      <c r="Y2520" s="87"/>
      <c r="Z2520" s="87"/>
      <c r="AA2520" s="87"/>
      <c r="AB2520" s="87"/>
      <c r="AC2520" s="87"/>
      <c r="AD2520" s="87"/>
      <c r="AE2520" s="87"/>
      <c r="AF2520" s="87"/>
      <c r="AG2520" s="87"/>
      <c r="AH2520" s="87">
        <v>13</v>
      </c>
      <c r="AI2520" s="87"/>
      <c r="AJ2520" s="87"/>
      <c r="AK2520" s="87"/>
      <c r="AL2520" s="87"/>
      <c r="AM2520" s="87"/>
      <c r="AN2520" s="87">
        <v>5</v>
      </c>
      <c r="AO2520" s="87">
        <v>3</v>
      </c>
      <c r="AP2520" s="87">
        <v>1</v>
      </c>
      <c r="AQ2520" s="87">
        <v>1</v>
      </c>
      <c r="AR2520" s="87"/>
      <c r="AS2520" s="87">
        <v>2</v>
      </c>
      <c r="AT2520" s="87"/>
      <c r="AU2520" s="87"/>
      <c r="AV2520" s="87">
        <v>1</v>
      </c>
      <c r="AW2520" s="88" t="str">
        <f>HYPERLINK("http://www.openstreetmap.org/?mlat=35.2966&amp;mlon=46.0369&amp;zoom=12#map=12/35.2966/46.0369","Maplink1")</f>
        <v>Maplink1</v>
      </c>
      <c r="AX2520" s="88" t="str">
        <f>HYPERLINK("https://www.google.iq/maps/search/+35.2966,46.0369/@35.2966,46.0369,14z?hl=en","Maplink2")</f>
        <v>Maplink2</v>
      </c>
      <c r="AY2520" s="88" t="str">
        <f>HYPERLINK("http://www.bing.com/maps/?lvl=14&amp;sty=h&amp;cp=35.2966~46.0369&amp;sp=point.35.2966_46.0369","Maplink3")</f>
        <v>Maplink3</v>
      </c>
      <c r="AZ2520" s="76"/>
    </row>
    <row r="2521" spans="1:52" x14ac:dyDescent="0.25">
      <c r="A2521" s="86">
        <v>25757</v>
      </c>
      <c r="B2521" s="87" t="s">
        <v>27</v>
      </c>
      <c r="C2521" s="87" t="s">
        <v>4816</v>
      </c>
      <c r="D2521" s="87" t="s">
        <v>4827</v>
      </c>
      <c r="E2521" s="87" t="s">
        <v>4828</v>
      </c>
      <c r="F2521" s="87">
        <v>35.199377699999999</v>
      </c>
      <c r="G2521" s="87">
        <v>45.966514099999998</v>
      </c>
      <c r="H2521" s="86">
        <v>22</v>
      </c>
      <c r="I2521" s="86">
        <v>132</v>
      </c>
      <c r="J2521" s="87">
        <v>3</v>
      </c>
      <c r="K2521" s="87">
        <v>7</v>
      </c>
      <c r="L2521" s="87">
        <v>5</v>
      </c>
      <c r="M2521" s="87"/>
      <c r="N2521" s="87"/>
      <c r="O2521" s="87">
        <v>4</v>
      </c>
      <c r="P2521" s="87"/>
      <c r="Q2521" s="87"/>
      <c r="R2521" s="87"/>
      <c r="S2521" s="87"/>
      <c r="T2521" s="87"/>
      <c r="U2521" s="87"/>
      <c r="V2521" s="87"/>
      <c r="W2521" s="87"/>
      <c r="X2521" s="87">
        <v>3</v>
      </c>
      <c r="Y2521" s="87"/>
      <c r="Z2521" s="87"/>
      <c r="AA2521" s="87"/>
      <c r="AB2521" s="87"/>
      <c r="AC2521" s="87"/>
      <c r="AD2521" s="87"/>
      <c r="AE2521" s="87"/>
      <c r="AF2521" s="87"/>
      <c r="AG2521" s="87"/>
      <c r="AH2521" s="87">
        <v>22</v>
      </c>
      <c r="AI2521" s="87"/>
      <c r="AJ2521" s="87"/>
      <c r="AK2521" s="87"/>
      <c r="AL2521" s="87"/>
      <c r="AM2521" s="87"/>
      <c r="AN2521" s="87">
        <v>9</v>
      </c>
      <c r="AO2521" s="87">
        <v>2</v>
      </c>
      <c r="AP2521" s="87"/>
      <c r="AQ2521" s="87">
        <v>1</v>
      </c>
      <c r="AR2521" s="87">
        <v>8</v>
      </c>
      <c r="AS2521" s="87">
        <v>2</v>
      </c>
      <c r="AT2521" s="87"/>
      <c r="AU2521" s="87"/>
      <c r="AV2521" s="87"/>
      <c r="AW2521" s="88" t="str">
        <f>HYPERLINK("http://www.openstreetmap.org/?mlat=35.1994&amp;mlon=45.9665&amp;zoom=12#map=12/35.1994/45.9665","Maplink1")</f>
        <v>Maplink1</v>
      </c>
      <c r="AX2521" s="88" t="str">
        <f>HYPERLINK("https://www.google.iq/maps/search/+35.1994,45.9665/@35.1994,45.9665,14z?hl=en","Maplink2")</f>
        <v>Maplink2</v>
      </c>
      <c r="AY2521" s="88" t="str">
        <f>HYPERLINK("http://www.bing.com/maps/?lvl=14&amp;sty=h&amp;cp=35.1994~45.9665&amp;sp=point.35.1994_45.9665","Maplink3")</f>
        <v>Maplink3</v>
      </c>
      <c r="AZ2521" s="76"/>
    </row>
    <row r="2522" spans="1:52" x14ac:dyDescent="0.25">
      <c r="A2522" s="86">
        <v>21960</v>
      </c>
      <c r="B2522" s="87" t="s">
        <v>27</v>
      </c>
      <c r="C2522" s="87" t="s">
        <v>4816</v>
      </c>
      <c r="D2522" s="87" t="s">
        <v>4769</v>
      </c>
      <c r="E2522" s="87" t="s">
        <v>4770</v>
      </c>
      <c r="F2522" s="87">
        <v>35.185482</v>
      </c>
      <c r="G2522" s="87">
        <v>45.980287500000003</v>
      </c>
      <c r="H2522" s="86">
        <v>16</v>
      </c>
      <c r="I2522" s="86">
        <v>96</v>
      </c>
      <c r="J2522" s="87">
        <v>14</v>
      </c>
      <c r="K2522" s="87"/>
      <c r="L2522" s="87"/>
      <c r="M2522" s="87"/>
      <c r="N2522" s="87"/>
      <c r="O2522" s="87">
        <v>1</v>
      </c>
      <c r="P2522" s="87"/>
      <c r="Q2522" s="87"/>
      <c r="R2522" s="87"/>
      <c r="S2522" s="87"/>
      <c r="T2522" s="87"/>
      <c r="U2522" s="87"/>
      <c r="V2522" s="87">
        <v>1</v>
      </c>
      <c r="W2522" s="87"/>
      <c r="X2522" s="87"/>
      <c r="Y2522" s="87"/>
      <c r="Z2522" s="87"/>
      <c r="AA2522" s="87"/>
      <c r="AB2522" s="87"/>
      <c r="AC2522" s="87"/>
      <c r="AD2522" s="87"/>
      <c r="AE2522" s="87"/>
      <c r="AF2522" s="87"/>
      <c r="AG2522" s="87"/>
      <c r="AH2522" s="87">
        <v>16</v>
      </c>
      <c r="AI2522" s="87"/>
      <c r="AJ2522" s="87"/>
      <c r="AK2522" s="87"/>
      <c r="AL2522" s="87"/>
      <c r="AM2522" s="87"/>
      <c r="AN2522" s="87">
        <v>4</v>
      </c>
      <c r="AO2522" s="87">
        <v>1</v>
      </c>
      <c r="AP2522" s="87"/>
      <c r="AQ2522" s="87">
        <v>2</v>
      </c>
      <c r="AR2522" s="87"/>
      <c r="AS2522" s="87">
        <v>9</v>
      </c>
      <c r="AT2522" s="87"/>
      <c r="AU2522" s="87"/>
      <c r="AV2522" s="87"/>
      <c r="AW2522" s="88" t="str">
        <f>HYPERLINK("http://www.openstreetmap.org/?mlat=35.1855&amp;mlon=45.9803&amp;zoom=12#map=12/35.1855/45.9803","Maplink1")</f>
        <v>Maplink1</v>
      </c>
      <c r="AX2522" s="88" t="str">
        <f>HYPERLINK("https://www.google.iq/maps/search/+35.1855,45.9803/@35.1855,45.9803,14z?hl=en","Maplink2")</f>
        <v>Maplink2</v>
      </c>
      <c r="AY2522" s="88" t="str">
        <f>HYPERLINK("http://www.bing.com/maps/?lvl=14&amp;sty=h&amp;cp=35.1855~45.9803&amp;sp=point.35.1855_45.9803","Maplink3")</f>
        <v>Maplink3</v>
      </c>
      <c r="AZ2522" s="76"/>
    </row>
    <row r="2523" spans="1:52" x14ac:dyDescent="0.25">
      <c r="A2523" s="86">
        <v>6120</v>
      </c>
      <c r="B2523" s="87" t="s">
        <v>27</v>
      </c>
      <c r="C2523" s="87" t="s">
        <v>4816</v>
      </c>
      <c r="D2523" s="87" t="s">
        <v>4829</v>
      </c>
      <c r="E2523" s="87" t="s">
        <v>4830</v>
      </c>
      <c r="F2523" s="87">
        <v>35.350797200000002</v>
      </c>
      <c r="G2523" s="87">
        <v>45.9044861</v>
      </c>
      <c r="H2523" s="86">
        <v>18</v>
      </c>
      <c r="I2523" s="86">
        <v>108</v>
      </c>
      <c r="J2523" s="87">
        <v>3</v>
      </c>
      <c r="K2523" s="87">
        <v>4</v>
      </c>
      <c r="L2523" s="87">
        <v>2</v>
      </c>
      <c r="M2523" s="87"/>
      <c r="N2523" s="87"/>
      <c r="O2523" s="87">
        <v>4</v>
      </c>
      <c r="P2523" s="87"/>
      <c r="Q2523" s="87"/>
      <c r="R2523" s="87"/>
      <c r="S2523" s="87"/>
      <c r="T2523" s="87"/>
      <c r="U2523" s="87"/>
      <c r="V2523" s="87">
        <v>2</v>
      </c>
      <c r="W2523" s="87"/>
      <c r="X2523" s="87">
        <v>3</v>
      </c>
      <c r="Y2523" s="87"/>
      <c r="Z2523" s="87"/>
      <c r="AA2523" s="87"/>
      <c r="AB2523" s="87"/>
      <c r="AC2523" s="87"/>
      <c r="AD2523" s="87"/>
      <c r="AE2523" s="87"/>
      <c r="AF2523" s="87"/>
      <c r="AG2523" s="87"/>
      <c r="AH2523" s="87">
        <v>18</v>
      </c>
      <c r="AI2523" s="87"/>
      <c r="AJ2523" s="87"/>
      <c r="AK2523" s="87"/>
      <c r="AL2523" s="87"/>
      <c r="AM2523" s="87"/>
      <c r="AN2523" s="87"/>
      <c r="AO2523" s="87">
        <v>2</v>
      </c>
      <c r="AP2523" s="87"/>
      <c r="AQ2523" s="87">
        <v>5</v>
      </c>
      <c r="AR2523" s="87">
        <v>4</v>
      </c>
      <c r="AS2523" s="87">
        <v>1</v>
      </c>
      <c r="AT2523" s="87"/>
      <c r="AU2523" s="87">
        <v>2</v>
      </c>
      <c r="AV2523" s="87">
        <v>4</v>
      </c>
      <c r="AW2523" s="88" t="str">
        <f>HYPERLINK("http://www.openstreetmap.org/?mlat=35.3508&amp;mlon=45.9045&amp;zoom=12#map=12/35.3508/45.9045","Maplink1")</f>
        <v>Maplink1</v>
      </c>
      <c r="AX2523" s="88" t="str">
        <f>HYPERLINK("https://www.google.iq/maps/search/+35.3508,45.9045/@35.3508,45.9045,14z?hl=en","Maplink2")</f>
        <v>Maplink2</v>
      </c>
      <c r="AY2523" s="88" t="str">
        <f>HYPERLINK("http://www.bing.com/maps/?lvl=14&amp;sty=h&amp;cp=35.3508~45.9045&amp;sp=point.35.3508_45.9045","Maplink3")</f>
        <v>Maplink3</v>
      </c>
      <c r="AZ2523" s="76"/>
    </row>
    <row r="2524" spans="1:52" x14ac:dyDescent="0.25">
      <c r="A2524" s="86">
        <v>22104</v>
      </c>
      <c r="B2524" s="87" t="s">
        <v>27</v>
      </c>
      <c r="C2524" s="87" t="s">
        <v>4816</v>
      </c>
      <c r="D2524" s="87" t="s">
        <v>5923</v>
      </c>
      <c r="E2524" s="87" t="s">
        <v>5924</v>
      </c>
      <c r="F2524" s="87">
        <v>35.187050900000003</v>
      </c>
      <c r="G2524" s="87">
        <v>46.009589400000003</v>
      </c>
      <c r="H2524" s="86">
        <v>5</v>
      </c>
      <c r="I2524" s="86">
        <v>30</v>
      </c>
      <c r="J2524" s="87"/>
      <c r="K2524" s="87"/>
      <c r="L2524" s="87"/>
      <c r="M2524" s="87"/>
      <c r="N2524" s="87"/>
      <c r="O2524" s="87"/>
      <c r="P2524" s="87"/>
      <c r="Q2524" s="87"/>
      <c r="R2524" s="87">
        <v>5</v>
      </c>
      <c r="S2524" s="87"/>
      <c r="T2524" s="87"/>
      <c r="U2524" s="87"/>
      <c r="V2524" s="87"/>
      <c r="W2524" s="87"/>
      <c r="X2524" s="87"/>
      <c r="Y2524" s="87"/>
      <c r="Z2524" s="87"/>
      <c r="AA2524" s="87"/>
      <c r="AB2524" s="87"/>
      <c r="AC2524" s="87"/>
      <c r="AD2524" s="87"/>
      <c r="AE2524" s="87"/>
      <c r="AF2524" s="87"/>
      <c r="AG2524" s="87"/>
      <c r="AH2524" s="87">
        <v>5</v>
      </c>
      <c r="AI2524" s="87"/>
      <c r="AJ2524" s="87"/>
      <c r="AK2524" s="87"/>
      <c r="AL2524" s="87"/>
      <c r="AM2524" s="87"/>
      <c r="AN2524" s="87"/>
      <c r="AO2524" s="87"/>
      <c r="AP2524" s="87"/>
      <c r="AQ2524" s="87"/>
      <c r="AR2524" s="87"/>
      <c r="AS2524" s="87"/>
      <c r="AT2524" s="87"/>
      <c r="AU2524" s="87">
        <v>5</v>
      </c>
      <c r="AV2524" s="87"/>
      <c r="AW2524" s="88" t="str">
        <f>HYPERLINK("http://www.openstreetmap.org/?mlat=35.1871&amp;mlon=46.0096&amp;zoom=12#map=12/35.1871/46.0096","Maplink1")</f>
        <v>Maplink1</v>
      </c>
      <c r="AX2524" s="88" t="str">
        <f>HYPERLINK("https://www.google.iq/maps/search/+35.1871,46.0096/@35.1871,46.0096,14z?hl=en","Maplink2")</f>
        <v>Maplink2</v>
      </c>
      <c r="AY2524" s="88" t="str">
        <f>HYPERLINK("http://www.bing.com/maps/?lvl=14&amp;sty=h&amp;cp=35.1871~46.0096&amp;sp=point.35.1871_46.0096","Maplink3")</f>
        <v>Maplink3</v>
      </c>
      <c r="AZ2524" s="76"/>
    </row>
    <row r="2525" spans="1:52" x14ac:dyDescent="0.25">
      <c r="A2525" s="86">
        <v>25647</v>
      </c>
      <c r="B2525" s="87" t="s">
        <v>27</v>
      </c>
      <c r="C2525" s="87" t="s">
        <v>4816</v>
      </c>
      <c r="D2525" s="87" t="s">
        <v>4831</v>
      </c>
      <c r="E2525" s="87" t="s">
        <v>4832</v>
      </c>
      <c r="F2525" s="87">
        <v>35.342426799999998</v>
      </c>
      <c r="G2525" s="87">
        <v>45.925514700000001</v>
      </c>
      <c r="H2525" s="86">
        <v>13</v>
      </c>
      <c r="I2525" s="86">
        <v>78</v>
      </c>
      <c r="J2525" s="87"/>
      <c r="K2525" s="87">
        <v>2</v>
      </c>
      <c r="L2525" s="87"/>
      <c r="M2525" s="87"/>
      <c r="N2525" s="87"/>
      <c r="O2525" s="87">
        <v>1</v>
      </c>
      <c r="P2525" s="87"/>
      <c r="Q2525" s="87"/>
      <c r="R2525" s="87">
        <v>3</v>
      </c>
      <c r="S2525" s="87"/>
      <c r="T2525" s="87"/>
      <c r="U2525" s="87"/>
      <c r="V2525" s="87"/>
      <c r="W2525" s="87"/>
      <c r="X2525" s="87">
        <v>7</v>
      </c>
      <c r="Y2525" s="87"/>
      <c r="Z2525" s="87"/>
      <c r="AA2525" s="87"/>
      <c r="AB2525" s="87"/>
      <c r="AC2525" s="87"/>
      <c r="AD2525" s="87"/>
      <c r="AE2525" s="87"/>
      <c r="AF2525" s="87"/>
      <c r="AG2525" s="87"/>
      <c r="AH2525" s="87">
        <v>13</v>
      </c>
      <c r="AI2525" s="87"/>
      <c r="AJ2525" s="87"/>
      <c r="AK2525" s="87"/>
      <c r="AL2525" s="87"/>
      <c r="AM2525" s="87"/>
      <c r="AN2525" s="87"/>
      <c r="AO2525" s="87">
        <v>2</v>
      </c>
      <c r="AP2525" s="87"/>
      <c r="AQ2525" s="87">
        <v>2</v>
      </c>
      <c r="AR2525" s="87"/>
      <c r="AS2525" s="87"/>
      <c r="AT2525" s="87">
        <v>6</v>
      </c>
      <c r="AU2525" s="87">
        <v>3</v>
      </c>
      <c r="AV2525" s="87"/>
      <c r="AW2525" s="88" t="str">
        <f>HYPERLINK("http://www.openstreetmap.org/?mlat=35.3424&amp;mlon=45.9255&amp;zoom=12#map=12/35.3424/45.9255","Maplink1")</f>
        <v>Maplink1</v>
      </c>
      <c r="AX2525" s="88" t="str">
        <f>HYPERLINK("https://www.google.iq/maps/search/+35.3424,45.9255/@35.3424,45.9255,14z?hl=en","Maplink2")</f>
        <v>Maplink2</v>
      </c>
      <c r="AY2525" s="88" t="str">
        <f>HYPERLINK("http://www.bing.com/maps/?lvl=14&amp;sty=h&amp;cp=35.3424~45.9255&amp;sp=point.35.3424_45.9255","Maplink3")</f>
        <v>Maplink3</v>
      </c>
      <c r="AZ2525" s="76"/>
    </row>
    <row r="2526" spans="1:52" x14ac:dyDescent="0.25">
      <c r="A2526" s="86">
        <v>21862</v>
      </c>
      <c r="B2526" s="87" t="s">
        <v>27</v>
      </c>
      <c r="C2526" s="87" t="s">
        <v>4816</v>
      </c>
      <c r="D2526" s="87" t="s">
        <v>2847</v>
      </c>
      <c r="E2526" s="87" t="s">
        <v>4833</v>
      </c>
      <c r="F2526" s="87">
        <v>35.174437300000001</v>
      </c>
      <c r="G2526" s="87">
        <v>45.981066400000003</v>
      </c>
      <c r="H2526" s="86">
        <v>29</v>
      </c>
      <c r="I2526" s="86">
        <v>174</v>
      </c>
      <c r="J2526" s="87">
        <v>14</v>
      </c>
      <c r="K2526" s="87">
        <v>1</v>
      </c>
      <c r="L2526" s="87">
        <v>3</v>
      </c>
      <c r="M2526" s="87"/>
      <c r="N2526" s="87"/>
      <c r="O2526" s="87">
        <v>7</v>
      </c>
      <c r="P2526" s="87"/>
      <c r="Q2526" s="87"/>
      <c r="R2526" s="87"/>
      <c r="S2526" s="87"/>
      <c r="T2526" s="87"/>
      <c r="U2526" s="87"/>
      <c r="V2526" s="87">
        <v>2</v>
      </c>
      <c r="W2526" s="87"/>
      <c r="X2526" s="87">
        <v>2</v>
      </c>
      <c r="Y2526" s="87"/>
      <c r="Z2526" s="87"/>
      <c r="AA2526" s="87"/>
      <c r="AB2526" s="87"/>
      <c r="AC2526" s="87"/>
      <c r="AD2526" s="87"/>
      <c r="AE2526" s="87"/>
      <c r="AF2526" s="87"/>
      <c r="AG2526" s="87"/>
      <c r="AH2526" s="87">
        <v>29</v>
      </c>
      <c r="AI2526" s="87"/>
      <c r="AJ2526" s="87"/>
      <c r="AK2526" s="87"/>
      <c r="AL2526" s="87"/>
      <c r="AM2526" s="87"/>
      <c r="AN2526" s="87">
        <v>9</v>
      </c>
      <c r="AO2526" s="87">
        <v>6</v>
      </c>
      <c r="AP2526" s="87"/>
      <c r="AQ2526" s="87">
        <v>7</v>
      </c>
      <c r="AR2526" s="87"/>
      <c r="AS2526" s="87">
        <v>4</v>
      </c>
      <c r="AT2526" s="87">
        <v>2</v>
      </c>
      <c r="AU2526" s="87">
        <v>1</v>
      </c>
      <c r="AV2526" s="87"/>
      <c r="AW2526" s="88" t="str">
        <f>HYPERLINK("http://www.openstreetmap.org/?mlat=35.1744&amp;mlon=45.9811&amp;zoom=12#map=12/35.1744/45.9811","Maplink1")</f>
        <v>Maplink1</v>
      </c>
      <c r="AX2526" s="88" t="str">
        <f>HYPERLINK("https://www.google.iq/maps/search/+35.1744,45.9811/@35.1744,45.9811,14z?hl=en","Maplink2")</f>
        <v>Maplink2</v>
      </c>
      <c r="AY2526" s="88" t="str">
        <f>HYPERLINK("http://www.bing.com/maps/?lvl=14&amp;sty=h&amp;cp=35.1744~45.9811&amp;sp=point.35.1744_45.9811","Maplink3")</f>
        <v>Maplink3</v>
      </c>
      <c r="AZ2526" s="76"/>
    </row>
    <row r="2527" spans="1:52" x14ac:dyDescent="0.25">
      <c r="A2527" s="86">
        <v>4974</v>
      </c>
      <c r="B2527" s="87" t="s">
        <v>27</v>
      </c>
      <c r="C2527" s="87" t="s">
        <v>4816</v>
      </c>
      <c r="D2527" s="87" t="s">
        <v>4834</v>
      </c>
      <c r="E2527" s="87" t="s">
        <v>4835</v>
      </c>
      <c r="F2527" s="87">
        <v>35.358491999999998</v>
      </c>
      <c r="G2527" s="87">
        <v>45.971386699999996</v>
      </c>
      <c r="H2527" s="86">
        <v>4</v>
      </c>
      <c r="I2527" s="86">
        <v>24</v>
      </c>
      <c r="J2527" s="87"/>
      <c r="K2527" s="87"/>
      <c r="L2527" s="87"/>
      <c r="M2527" s="87"/>
      <c r="N2527" s="87"/>
      <c r="O2527" s="87">
        <v>4</v>
      </c>
      <c r="P2527" s="87"/>
      <c r="Q2527" s="87"/>
      <c r="R2527" s="87"/>
      <c r="S2527" s="87"/>
      <c r="T2527" s="87"/>
      <c r="U2527" s="87"/>
      <c r="V2527" s="87"/>
      <c r="W2527" s="87"/>
      <c r="X2527" s="87"/>
      <c r="Y2527" s="87"/>
      <c r="Z2527" s="87"/>
      <c r="AA2527" s="87"/>
      <c r="AB2527" s="87"/>
      <c r="AC2527" s="87"/>
      <c r="AD2527" s="87"/>
      <c r="AE2527" s="87"/>
      <c r="AF2527" s="87"/>
      <c r="AG2527" s="87"/>
      <c r="AH2527" s="87">
        <v>4</v>
      </c>
      <c r="AI2527" s="87"/>
      <c r="AJ2527" s="87"/>
      <c r="AK2527" s="87"/>
      <c r="AL2527" s="87"/>
      <c r="AM2527" s="87"/>
      <c r="AN2527" s="87">
        <v>1</v>
      </c>
      <c r="AO2527" s="87"/>
      <c r="AP2527" s="87"/>
      <c r="AQ2527" s="87">
        <v>1</v>
      </c>
      <c r="AR2527" s="87">
        <v>1</v>
      </c>
      <c r="AS2527" s="87"/>
      <c r="AT2527" s="87"/>
      <c r="AU2527" s="87"/>
      <c r="AV2527" s="87">
        <v>1</v>
      </c>
      <c r="AW2527" s="88" t="str">
        <f>HYPERLINK("http://www.openstreetmap.org/?mlat=35.3585&amp;mlon=45.9714&amp;zoom=12#map=12/35.3585/45.9714","Maplink1")</f>
        <v>Maplink1</v>
      </c>
      <c r="AX2527" s="88" t="str">
        <f>HYPERLINK("https://www.google.iq/maps/search/+35.3585,45.9714/@35.3585,45.9714,14z?hl=en","Maplink2")</f>
        <v>Maplink2</v>
      </c>
      <c r="AY2527" s="88" t="str">
        <f>HYPERLINK("http://www.bing.com/maps/?lvl=14&amp;sty=h&amp;cp=35.3585~45.9714&amp;sp=point.35.3585_45.9714","Maplink3")</f>
        <v>Maplink3</v>
      </c>
      <c r="AZ2527" s="76"/>
    </row>
    <row r="2528" spans="1:52" x14ac:dyDescent="0.25">
      <c r="A2528" s="86">
        <v>22920</v>
      </c>
      <c r="B2528" s="87" t="s">
        <v>27</v>
      </c>
      <c r="C2528" s="87" t="s">
        <v>4816</v>
      </c>
      <c r="D2528" s="87" t="s">
        <v>4836</v>
      </c>
      <c r="E2528" s="87" t="s">
        <v>4837</v>
      </c>
      <c r="F2528" s="87">
        <v>35.351558699999998</v>
      </c>
      <c r="G2528" s="87">
        <v>45.872781600000003</v>
      </c>
      <c r="H2528" s="86">
        <v>37</v>
      </c>
      <c r="I2528" s="86">
        <v>222</v>
      </c>
      <c r="J2528" s="87">
        <v>5</v>
      </c>
      <c r="K2528" s="87">
        <v>4</v>
      </c>
      <c r="L2528" s="87">
        <v>2</v>
      </c>
      <c r="M2528" s="87"/>
      <c r="N2528" s="87"/>
      <c r="O2528" s="87">
        <v>18</v>
      </c>
      <c r="P2528" s="87"/>
      <c r="Q2528" s="87"/>
      <c r="R2528" s="87"/>
      <c r="S2528" s="87"/>
      <c r="T2528" s="87"/>
      <c r="U2528" s="87"/>
      <c r="V2528" s="87">
        <v>2</v>
      </c>
      <c r="W2528" s="87"/>
      <c r="X2528" s="87">
        <v>6</v>
      </c>
      <c r="Y2528" s="87"/>
      <c r="Z2528" s="87"/>
      <c r="AA2528" s="87"/>
      <c r="AB2528" s="87"/>
      <c r="AC2528" s="87"/>
      <c r="AD2528" s="87"/>
      <c r="AE2528" s="87"/>
      <c r="AF2528" s="87"/>
      <c r="AG2528" s="87"/>
      <c r="AH2528" s="87">
        <v>37</v>
      </c>
      <c r="AI2528" s="87"/>
      <c r="AJ2528" s="87"/>
      <c r="AK2528" s="87"/>
      <c r="AL2528" s="87"/>
      <c r="AM2528" s="87"/>
      <c r="AN2528" s="87">
        <v>3</v>
      </c>
      <c r="AO2528" s="87">
        <v>14</v>
      </c>
      <c r="AP2528" s="87">
        <v>2</v>
      </c>
      <c r="AQ2528" s="87">
        <v>5</v>
      </c>
      <c r="AR2528" s="87">
        <v>4</v>
      </c>
      <c r="AS2528" s="87">
        <v>6</v>
      </c>
      <c r="AT2528" s="87">
        <v>2</v>
      </c>
      <c r="AU2528" s="87"/>
      <c r="AV2528" s="87">
        <v>1</v>
      </c>
      <c r="AW2528" s="88" t="str">
        <f>HYPERLINK("http://www.openstreetmap.org/?mlat=35.3516&amp;mlon=45.8728&amp;zoom=12#map=12/35.3516/45.8728","Maplink1")</f>
        <v>Maplink1</v>
      </c>
      <c r="AX2528" s="88" t="str">
        <f>HYPERLINK("https://www.google.iq/maps/search/+35.3516,45.8728/@35.3516,45.8728,14z?hl=en","Maplink2")</f>
        <v>Maplink2</v>
      </c>
      <c r="AY2528" s="88" t="str">
        <f>HYPERLINK("http://www.bing.com/maps/?lvl=14&amp;sty=h&amp;cp=35.3516~45.8728&amp;sp=point.35.3516_45.8728","Maplink3")</f>
        <v>Maplink3</v>
      </c>
      <c r="AZ2528" s="76"/>
    </row>
    <row r="2529" spans="1:52" x14ac:dyDescent="0.25">
      <c r="A2529" s="86">
        <v>22998</v>
      </c>
      <c r="B2529" s="87" t="s">
        <v>27</v>
      </c>
      <c r="C2529" s="87" t="s">
        <v>4816</v>
      </c>
      <c r="D2529" s="87" t="s">
        <v>4838</v>
      </c>
      <c r="E2529" s="87" t="s">
        <v>4839</v>
      </c>
      <c r="F2529" s="87">
        <v>35.329550500000003</v>
      </c>
      <c r="G2529" s="87">
        <v>45.692079200000002</v>
      </c>
      <c r="H2529" s="86">
        <v>42</v>
      </c>
      <c r="I2529" s="86">
        <v>252</v>
      </c>
      <c r="J2529" s="87">
        <v>13</v>
      </c>
      <c r="K2529" s="87"/>
      <c r="L2529" s="87">
        <v>10</v>
      </c>
      <c r="M2529" s="87"/>
      <c r="N2529" s="87"/>
      <c r="O2529" s="87">
        <v>8</v>
      </c>
      <c r="P2529" s="87"/>
      <c r="Q2529" s="87"/>
      <c r="R2529" s="87"/>
      <c r="S2529" s="87"/>
      <c r="T2529" s="87"/>
      <c r="U2529" s="87"/>
      <c r="V2529" s="87"/>
      <c r="W2529" s="87"/>
      <c r="X2529" s="87">
        <v>11</v>
      </c>
      <c r="Y2529" s="87"/>
      <c r="Z2529" s="87"/>
      <c r="AA2529" s="87"/>
      <c r="AB2529" s="87"/>
      <c r="AC2529" s="87"/>
      <c r="AD2529" s="87"/>
      <c r="AE2529" s="87"/>
      <c r="AF2529" s="87"/>
      <c r="AG2529" s="87"/>
      <c r="AH2529" s="87">
        <v>42</v>
      </c>
      <c r="AI2529" s="87"/>
      <c r="AJ2529" s="87"/>
      <c r="AK2529" s="87"/>
      <c r="AL2529" s="87"/>
      <c r="AM2529" s="87"/>
      <c r="AN2529" s="87"/>
      <c r="AO2529" s="87">
        <v>10</v>
      </c>
      <c r="AP2529" s="87">
        <v>4</v>
      </c>
      <c r="AQ2529" s="87">
        <v>12</v>
      </c>
      <c r="AR2529" s="87">
        <v>7</v>
      </c>
      <c r="AS2529" s="87">
        <v>7</v>
      </c>
      <c r="AT2529" s="87"/>
      <c r="AU2529" s="87"/>
      <c r="AV2529" s="87">
        <v>2</v>
      </c>
      <c r="AW2529" s="88" t="str">
        <f>HYPERLINK("http://www.openstreetmap.org/?mlat=35.3296&amp;mlon=45.6921&amp;zoom=12#map=12/35.3296/45.6921","Maplink1")</f>
        <v>Maplink1</v>
      </c>
      <c r="AX2529" s="88" t="str">
        <f>HYPERLINK("https://www.google.iq/maps/search/+35.3296,45.6921/@35.3296,45.6921,14z?hl=en","Maplink2")</f>
        <v>Maplink2</v>
      </c>
      <c r="AY2529" s="88" t="str">
        <f>HYPERLINK("http://www.bing.com/maps/?lvl=14&amp;sty=h&amp;cp=35.3296~45.6921&amp;sp=point.35.3296_45.6921","Maplink3")</f>
        <v>Maplink3</v>
      </c>
      <c r="AZ2529" s="76"/>
    </row>
    <row r="2530" spans="1:52" x14ac:dyDescent="0.25">
      <c r="A2530" s="86">
        <v>21961</v>
      </c>
      <c r="B2530" s="87" t="s">
        <v>27</v>
      </c>
      <c r="C2530" s="87" t="s">
        <v>4816</v>
      </c>
      <c r="D2530" s="87" t="s">
        <v>4840</v>
      </c>
      <c r="E2530" s="87" t="s">
        <v>4841</v>
      </c>
      <c r="F2530" s="87">
        <v>35.1696168</v>
      </c>
      <c r="G2530" s="87">
        <v>45.983114</v>
      </c>
      <c r="H2530" s="86">
        <v>77</v>
      </c>
      <c r="I2530" s="86">
        <v>462</v>
      </c>
      <c r="J2530" s="87">
        <v>7</v>
      </c>
      <c r="K2530" s="87">
        <v>7</v>
      </c>
      <c r="L2530" s="87">
        <v>10</v>
      </c>
      <c r="M2530" s="87"/>
      <c r="N2530" s="87"/>
      <c r="O2530" s="87">
        <v>22</v>
      </c>
      <c r="P2530" s="87"/>
      <c r="Q2530" s="87"/>
      <c r="R2530" s="87"/>
      <c r="S2530" s="87"/>
      <c r="T2530" s="87"/>
      <c r="U2530" s="87"/>
      <c r="V2530" s="87"/>
      <c r="W2530" s="87"/>
      <c r="X2530" s="87">
        <v>31</v>
      </c>
      <c r="Y2530" s="87"/>
      <c r="Z2530" s="87"/>
      <c r="AA2530" s="87"/>
      <c r="AB2530" s="87"/>
      <c r="AC2530" s="87"/>
      <c r="AD2530" s="87"/>
      <c r="AE2530" s="87"/>
      <c r="AF2530" s="87"/>
      <c r="AG2530" s="87"/>
      <c r="AH2530" s="87">
        <v>77</v>
      </c>
      <c r="AI2530" s="87"/>
      <c r="AJ2530" s="87"/>
      <c r="AK2530" s="87"/>
      <c r="AL2530" s="87"/>
      <c r="AM2530" s="87"/>
      <c r="AN2530" s="87">
        <v>14</v>
      </c>
      <c r="AO2530" s="87">
        <v>11</v>
      </c>
      <c r="AP2530" s="87">
        <v>4</v>
      </c>
      <c r="AQ2530" s="87">
        <v>5</v>
      </c>
      <c r="AR2530" s="87">
        <v>21</v>
      </c>
      <c r="AS2530" s="87">
        <v>18</v>
      </c>
      <c r="AT2530" s="87">
        <v>2</v>
      </c>
      <c r="AU2530" s="87"/>
      <c r="AV2530" s="87">
        <v>2</v>
      </c>
      <c r="AW2530" s="88" t="str">
        <f>HYPERLINK("http://www.openstreetmap.org/?mlat=35.1696&amp;mlon=45.9831&amp;zoom=12#map=12/35.1696/45.9831","Maplink1")</f>
        <v>Maplink1</v>
      </c>
      <c r="AX2530" s="88" t="str">
        <f>HYPERLINK("https://www.google.iq/maps/search/+35.1696,45.9831/@35.1696,45.9831,14z?hl=en","Maplink2")</f>
        <v>Maplink2</v>
      </c>
      <c r="AY2530" s="88" t="str">
        <f>HYPERLINK("http://www.bing.com/maps/?lvl=14&amp;sty=h&amp;cp=35.1696~45.9831&amp;sp=point.35.1696_45.9831","Maplink3")</f>
        <v>Maplink3</v>
      </c>
      <c r="AZ2530" s="76"/>
    </row>
    <row r="2531" spans="1:52" x14ac:dyDescent="0.25">
      <c r="A2531" s="86">
        <v>25646</v>
      </c>
      <c r="B2531" s="87" t="s">
        <v>27</v>
      </c>
      <c r="C2531" s="87" t="s">
        <v>4816</v>
      </c>
      <c r="D2531" s="87" t="s">
        <v>4842</v>
      </c>
      <c r="E2531" s="87" t="s">
        <v>4843</v>
      </c>
      <c r="F2531" s="87">
        <v>35.381782800000003</v>
      </c>
      <c r="G2531" s="87">
        <v>45.708241600000001</v>
      </c>
      <c r="H2531" s="86">
        <v>7</v>
      </c>
      <c r="I2531" s="86">
        <v>42</v>
      </c>
      <c r="J2531" s="87">
        <v>1</v>
      </c>
      <c r="K2531" s="87"/>
      <c r="L2531" s="87"/>
      <c r="M2531" s="87"/>
      <c r="N2531" s="87"/>
      <c r="O2531" s="87">
        <v>1</v>
      </c>
      <c r="P2531" s="87"/>
      <c r="Q2531" s="87"/>
      <c r="R2531" s="87"/>
      <c r="S2531" s="87"/>
      <c r="T2531" s="87"/>
      <c r="U2531" s="87"/>
      <c r="V2531" s="87"/>
      <c r="W2531" s="87"/>
      <c r="X2531" s="87">
        <v>5</v>
      </c>
      <c r="Y2531" s="87"/>
      <c r="Z2531" s="87"/>
      <c r="AA2531" s="87"/>
      <c r="AB2531" s="87"/>
      <c r="AC2531" s="87"/>
      <c r="AD2531" s="87"/>
      <c r="AE2531" s="87"/>
      <c r="AF2531" s="87"/>
      <c r="AG2531" s="87"/>
      <c r="AH2531" s="87">
        <v>7</v>
      </c>
      <c r="AI2531" s="87"/>
      <c r="AJ2531" s="87"/>
      <c r="AK2531" s="87"/>
      <c r="AL2531" s="87"/>
      <c r="AM2531" s="87"/>
      <c r="AN2531" s="87"/>
      <c r="AO2531" s="87">
        <v>2</v>
      </c>
      <c r="AP2531" s="87"/>
      <c r="AQ2531" s="87">
        <v>1</v>
      </c>
      <c r="AR2531" s="87"/>
      <c r="AS2531" s="87">
        <v>1</v>
      </c>
      <c r="AT2531" s="87">
        <v>3</v>
      </c>
      <c r="AU2531" s="87"/>
      <c r="AV2531" s="87"/>
      <c r="AW2531" s="88" t="str">
        <f>HYPERLINK("http://www.openstreetmap.org/?mlat=35.3818&amp;mlon=45.7082&amp;zoom=12#map=12/35.3818/45.7082","Maplink1")</f>
        <v>Maplink1</v>
      </c>
      <c r="AX2531" s="88" t="str">
        <f>HYPERLINK("https://www.google.iq/maps/search/+35.3818,45.7082/@35.3818,45.7082,14z?hl=en","Maplink2")</f>
        <v>Maplink2</v>
      </c>
      <c r="AY2531" s="88" t="str">
        <f>HYPERLINK("http://www.bing.com/maps/?lvl=14&amp;sty=h&amp;cp=35.3818~45.7082&amp;sp=point.35.3818_45.7082","Maplink3")</f>
        <v>Maplink3</v>
      </c>
      <c r="AZ2531" s="76"/>
    </row>
    <row r="2532" spans="1:52" x14ac:dyDescent="0.25">
      <c r="A2532" s="86">
        <v>22031</v>
      </c>
      <c r="B2532" s="87" t="s">
        <v>27</v>
      </c>
      <c r="C2532" s="87" t="s">
        <v>4816</v>
      </c>
      <c r="D2532" s="87" t="s">
        <v>4844</v>
      </c>
      <c r="E2532" s="87" t="s">
        <v>4845</v>
      </c>
      <c r="F2532" s="87">
        <v>35.186566999999997</v>
      </c>
      <c r="G2532" s="87">
        <v>45.9898819</v>
      </c>
      <c r="H2532" s="86">
        <v>14</v>
      </c>
      <c r="I2532" s="86">
        <v>84</v>
      </c>
      <c r="J2532" s="87">
        <v>5</v>
      </c>
      <c r="K2532" s="87">
        <v>1</v>
      </c>
      <c r="L2532" s="87">
        <v>3</v>
      </c>
      <c r="M2532" s="87"/>
      <c r="N2532" s="87"/>
      <c r="O2532" s="87">
        <v>2</v>
      </c>
      <c r="P2532" s="87"/>
      <c r="Q2532" s="87"/>
      <c r="R2532" s="87"/>
      <c r="S2532" s="87"/>
      <c r="T2532" s="87"/>
      <c r="U2532" s="87"/>
      <c r="V2532" s="87">
        <v>1</v>
      </c>
      <c r="W2532" s="87"/>
      <c r="X2532" s="87">
        <v>2</v>
      </c>
      <c r="Y2532" s="87"/>
      <c r="Z2532" s="87"/>
      <c r="AA2532" s="87"/>
      <c r="AB2532" s="87"/>
      <c r="AC2532" s="87"/>
      <c r="AD2532" s="87"/>
      <c r="AE2532" s="87"/>
      <c r="AF2532" s="87"/>
      <c r="AG2532" s="87"/>
      <c r="AH2532" s="87">
        <v>14</v>
      </c>
      <c r="AI2532" s="87"/>
      <c r="AJ2532" s="87"/>
      <c r="AK2532" s="87"/>
      <c r="AL2532" s="87"/>
      <c r="AM2532" s="87"/>
      <c r="AN2532" s="87">
        <v>2</v>
      </c>
      <c r="AO2532" s="87">
        <v>1</v>
      </c>
      <c r="AP2532" s="87"/>
      <c r="AQ2532" s="87">
        <v>3</v>
      </c>
      <c r="AR2532" s="87">
        <v>3</v>
      </c>
      <c r="AS2532" s="87">
        <v>5</v>
      </c>
      <c r="AT2532" s="87"/>
      <c r="AU2532" s="87"/>
      <c r="AV2532" s="87"/>
      <c r="AW2532" s="88" t="str">
        <f>HYPERLINK("http://www.openstreetmap.org/?mlat=35.1866&amp;mlon=45.9899&amp;zoom=12#map=12/35.1866/45.9899","Maplink1")</f>
        <v>Maplink1</v>
      </c>
      <c r="AX2532" s="88" t="str">
        <f>HYPERLINK("https://www.google.iq/maps/search/+35.1866,45.9899/@35.1866,45.9899,14z?hl=en","Maplink2")</f>
        <v>Maplink2</v>
      </c>
      <c r="AY2532" s="88" t="str">
        <f>HYPERLINK("http://www.bing.com/maps/?lvl=14&amp;sty=h&amp;cp=35.1866~45.9899&amp;sp=point.35.1866_45.9899","Maplink3")</f>
        <v>Maplink3</v>
      </c>
      <c r="AZ2532" s="76"/>
    </row>
    <row r="2533" spans="1:52" x14ac:dyDescent="0.25">
      <c r="A2533" s="86">
        <v>21863</v>
      </c>
      <c r="B2533" s="87" t="s">
        <v>27</v>
      </c>
      <c r="C2533" s="87" t="s">
        <v>4816</v>
      </c>
      <c r="D2533" s="87" t="s">
        <v>4846</v>
      </c>
      <c r="E2533" s="87" t="s">
        <v>2588</v>
      </c>
      <c r="F2533" s="87">
        <v>35.182231399999999</v>
      </c>
      <c r="G2533" s="87">
        <v>45.993631999999998</v>
      </c>
      <c r="H2533" s="86">
        <v>9</v>
      </c>
      <c r="I2533" s="86">
        <v>54</v>
      </c>
      <c r="J2533" s="87">
        <v>5</v>
      </c>
      <c r="K2533" s="87"/>
      <c r="L2533" s="87">
        <v>3</v>
      </c>
      <c r="M2533" s="87"/>
      <c r="N2533" s="87"/>
      <c r="O2533" s="87">
        <v>1</v>
      </c>
      <c r="P2533" s="87"/>
      <c r="Q2533" s="87"/>
      <c r="R2533" s="87"/>
      <c r="S2533" s="87"/>
      <c r="T2533" s="87"/>
      <c r="U2533" s="87"/>
      <c r="V2533" s="87"/>
      <c r="W2533" s="87"/>
      <c r="X2533" s="87"/>
      <c r="Y2533" s="87"/>
      <c r="Z2533" s="87"/>
      <c r="AA2533" s="87"/>
      <c r="AB2533" s="87"/>
      <c r="AC2533" s="87"/>
      <c r="AD2533" s="87"/>
      <c r="AE2533" s="87"/>
      <c r="AF2533" s="87"/>
      <c r="AG2533" s="87"/>
      <c r="AH2533" s="87">
        <v>9</v>
      </c>
      <c r="AI2533" s="87"/>
      <c r="AJ2533" s="87"/>
      <c r="AK2533" s="87"/>
      <c r="AL2533" s="87"/>
      <c r="AM2533" s="87"/>
      <c r="AN2533" s="87">
        <v>4</v>
      </c>
      <c r="AO2533" s="87">
        <v>2</v>
      </c>
      <c r="AP2533" s="87"/>
      <c r="AQ2533" s="87">
        <v>2</v>
      </c>
      <c r="AR2533" s="87"/>
      <c r="AS2533" s="87">
        <v>1</v>
      </c>
      <c r="AT2533" s="87"/>
      <c r="AU2533" s="87"/>
      <c r="AV2533" s="87"/>
      <c r="AW2533" s="88" t="str">
        <f>HYPERLINK("http://www.openstreetmap.org/?mlat=35.1822&amp;mlon=45.9936&amp;zoom=12#map=12/35.1822/45.9936","Maplink1")</f>
        <v>Maplink1</v>
      </c>
      <c r="AX2533" s="88" t="str">
        <f>HYPERLINK("https://www.google.iq/maps/search/+35.1822,45.9936/@35.1822,45.9936,14z?hl=en","Maplink2")</f>
        <v>Maplink2</v>
      </c>
      <c r="AY2533" s="88" t="str">
        <f>HYPERLINK("http://www.bing.com/maps/?lvl=14&amp;sty=h&amp;cp=35.1822~45.9936&amp;sp=point.35.1822_45.9936","Maplink3")</f>
        <v>Maplink3</v>
      </c>
      <c r="AZ2533" s="76"/>
    </row>
    <row r="2534" spans="1:52" x14ac:dyDescent="0.25">
      <c r="A2534" s="86">
        <v>22996</v>
      </c>
      <c r="B2534" s="87" t="s">
        <v>27</v>
      </c>
      <c r="C2534" s="87" t="s">
        <v>4816</v>
      </c>
      <c r="D2534" s="87" t="s">
        <v>2715</v>
      </c>
      <c r="E2534" s="87" t="s">
        <v>2588</v>
      </c>
      <c r="F2534" s="87">
        <v>35.319868399999997</v>
      </c>
      <c r="G2534" s="87">
        <v>45.694836100000003</v>
      </c>
      <c r="H2534" s="86">
        <v>41</v>
      </c>
      <c r="I2534" s="86">
        <v>246</v>
      </c>
      <c r="J2534" s="87">
        <v>6</v>
      </c>
      <c r="K2534" s="87"/>
      <c r="L2534" s="87">
        <v>9</v>
      </c>
      <c r="M2534" s="87"/>
      <c r="N2534" s="87"/>
      <c r="O2534" s="87">
        <v>16</v>
      </c>
      <c r="P2534" s="87"/>
      <c r="Q2534" s="87"/>
      <c r="R2534" s="87"/>
      <c r="S2534" s="87"/>
      <c r="T2534" s="87"/>
      <c r="U2534" s="87"/>
      <c r="V2534" s="87">
        <v>3</v>
      </c>
      <c r="W2534" s="87"/>
      <c r="X2534" s="87">
        <v>7</v>
      </c>
      <c r="Y2534" s="87"/>
      <c r="Z2534" s="87"/>
      <c r="AA2534" s="87"/>
      <c r="AB2534" s="87"/>
      <c r="AC2534" s="87"/>
      <c r="AD2534" s="87"/>
      <c r="AE2534" s="87"/>
      <c r="AF2534" s="87"/>
      <c r="AG2534" s="87"/>
      <c r="AH2534" s="87">
        <v>41</v>
      </c>
      <c r="AI2534" s="87"/>
      <c r="AJ2534" s="87"/>
      <c r="AK2534" s="87"/>
      <c r="AL2534" s="87"/>
      <c r="AM2534" s="87"/>
      <c r="AN2534" s="87"/>
      <c r="AO2534" s="87">
        <v>4</v>
      </c>
      <c r="AP2534" s="87">
        <v>4</v>
      </c>
      <c r="AQ2534" s="87">
        <v>7</v>
      </c>
      <c r="AR2534" s="87">
        <v>11</v>
      </c>
      <c r="AS2534" s="87">
        <v>6</v>
      </c>
      <c r="AT2534" s="87">
        <v>1</v>
      </c>
      <c r="AU2534" s="87">
        <v>4</v>
      </c>
      <c r="AV2534" s="87">
        <v>4</v>
      </c>
      <c r="AW2534" s="88" t="str">
        <f>HYPERLINK("http://www.openstreetmap.org/?mlat=35.3199&amp;mlon=45.6948&amp;zoom=12#map=12/35.3199/45.6948","Maplink1")</f>
        <v>Maplink1</v>
      </c>
      <c r="AX2534" s="88" t="str">
        <f>HYPERLINK("https://www.google.iq/maps/search/+35.3199,45.6948/@35.3199,45.6948,14z?hl=en","Maplink2")</f>
        <v>Maplink2</v>
      </c>
      <c r="AY2534" s="88" t="str">
        <f>HYPERLINK("http://www.bing.com/maps/?lvl=14&amp;sty=h&amp;cp=35.3199~45.6948&amp;sp=point.35.3199_45.6948","Maplink3")</f>
        <v>Maplink3</v>
      </c>
      <c r="AZ2534" s="76"/>
    </row>
    <row r="2535" spans="1:52" x14ac:dyDescent="0.25">
      <c r="A2535" s="86">
        <v>21962</v>
      </c>
      <c r="B2535" s="87" t="s">
        <v>27</v>
      </c>
      <c r="C2535" s="87" t="s">
        <v>4816</v>
      </c>
      <c r="D2535" s="87" t="s">
        <v>4847</v>
      </c>
      <c r="E2535" s="87" t="s">
        <v>4848</v>
      </c>
      <c r="F2535" s="87">
        <v>35.1819165</v>
      </c>
      <c r="G2535" s="87">
        <v>45.984470899999998</v>
      </c>
      <c r="H2535" s="86">
        <v>12</v>
      </c>
      <c r="I2535" s="86">
        <v>72</v>
      </c>
      <c r="J2535" s="87">
        <v>5</v>
      </c>
      <c r="K2535" s="87">
        <v>1</v>
      </c>
      <c r="L2535" s="87">
        <v>5</v>
      </c>
      <c r="M2535" s="87"/>
      <c r="N2535" s="87"/>
      <c r="O2535" s="87"/>
      <c r="P2535" s="87"/>
      <c r="Q2535" s="87"/>
      <c r="R2535" s="87"/>
      <c r="S2535" s="87"/>
      <c r="T2535" s="87"/>
      <c r="U2535" s="87"/>
      <c r="V2535" s="87"/>
      <c r="W2535" s="87"/>
      <c r="X2535" s="87">
        <v>1</v>
      </c>
      <c r="Y2535" s="87"/>
      <c r="Z2535" s="87"/>
      <c r="AA2535" s="87"/>
      <c r="AB2535" s="87"/>
      <c r="AC2535" s="87"/>
      <c r="AD2535" s="87"/>
      <c r="AE2535" s="87"/>
      <c r="AF2535" s="87"/>
      <c r="AG2535" s="87"/>
      <c r="AH2535" s="87">
        <v>12</v>
      </c>
      <c r="AI2535" s="87"/>
      <c r="AJ2535" s="87"/>
      <c r="AK2535" s="87"/>
      <c r="AL2535" s="87"/>
      <c r="AM2535" s="87"/>
      <c r="AN2535" s="87">
        <v>4</v>
      </c>
      <c r="AO2535" s="87"/>
      <c r="AP2535" s="87">
        <v>2</v>
      </c>
      <c r="AQ2535" s="87">
        <v>1</v>
      </c>
      <c r="AR2535" s="87">
        <v>4</v>
      </c>
      <c r="AS2535" s="87"/>
      <c r="AT2535" s="87"/>
      <c r="AU2535" s="87"/>
      <c r="AV2535" s="87">
        <v>1</v>
      </c>
      <c r="AW2535" s="88" t="str">
        <f>HYPERLINK("http://www.openstreetmap.org/?mlat=35.1819&amp;mlon=45.9845&amp;zoom=12#map=12/35.1819/45.9845","Maplink1")</f>
        <v>Maplink1</v>
      </c>
      <c r="AX2535" s="88" t="str">
        <f>HYPERLINK("https://www.google.iq/maps/search/+35.1819,45.9845/@35.1819,45.9845,14z?hl=en","Maplink2")</f>
        <v>Maplink2</v>
      </c>
      <c r="AY2535" s="88" t="str">
        <f>HYPERLINK("http://www.bing.com/maps/?lvl=14&amp;sty=h&amp;cp=35.1819~45.9845&amp;sp=point.35.1819_45.9845","Maplink3")</f>
        <v>Maplink3</v>
      </c>
      <c r="AZ2535" s="76"/>
    </row>
    <row r="2536" spans="1:52" x14ac:dyDescent="0.25">
      <c r="A2536" s="86">
        <v>25759</v>
      </c>
      <c r="B2536" s="87" t="s">
        <v>27</v>
      </c>
      <c r="C2536" s="87" t="s">
        <v>4816</v>
      </c>
      <c r="D2536" s="87" t="s">
        <v>4849</v>
      </c>
      <c r="E2536" s="87" t="s">
        <v>4850</v>
      </c>
      <c r="F2536" s="87">
        <v>35.168148000000002</v>
      </c>
      <c r="G2536" s="87">
        <v>45.990498899999999</v>
      </c>
      <c r="H2536" s="86">
        <v>16</v>
      </c>
      <c r="I2536" s="86">
        <v>96</v>
      </c>
      <c r="J2536" s="87">
        <v>4</v>
      </c>
      <c r="K2536" s="87"/>
      <c r="L2536" s="87">
        <v>3</v>
      </c>
      <c r="M2536" s="87"/>
      <c r="N2536" s="87"/>
      <c r="O2536" s="87">
        <v>3</v>
      </c>
      <c r="P2536" s="87"/>
      <c r="Q2536" s="87"/>
      <c r="R2536" s="87"/>
      <c r="S2536" s="87"/>
      <c r="T2536" s="87"/>
      <c r="U2536" s="87"/>
      <c r="V2536" s="87"/>
      <c r="W2536" s="87"/>
      <c r="X2536" s="87">
        <v>6</v>
      </c>
      <c r="Y2536" s="87"/>
      <c r="Z2536" s="87"/>
      <c r="AA2536" s="87"/>
      <c r="AB2536" s="87"/>
      <c r="AC2536" s="87"/>
      <c r="AD2536" s="87"/>
      <c r="AE2536" s="87"/>
      <c r="AF2536" s="87"/>
      <c r="AG2536" s="87"/>
      <c r="AH2536" s="87">
        <v>16</v>
      </c>
      <c r="AI2536" s="87"/>
      <c r="AJ2536" s="87"/>
      <c r="AK2536" s="87"/>
      <c r="AL2536" s="87"/>
      <c r="AM2536" s="87"/>
      <c r="AN2536" s="87">
        <v>2</v>
      </c>
      <c r="AO2536" s="87">
        <v>3</v>
      </c>
      <c r="AP2536" s="87">
        <v>1</v>
      </c>
      <c r="AQ2536" s="87"/>
      <c r="AR2536" s="87">
        <v>4</v>
      </c>
      <c r="AS2536" s="87">
        <v>5</v>
      </c>
      <c r="AT2536" s="87"/>
      <c r="AU2536" s="87">
        <v>1</v>
      </c>
      <c r="AV2536" s="87"/>
      <c r="AW2536" s="88" t="str">
        <f>HYPERLINK("http://www.openstreetmap.org/?mlat=35.1681&amp;mlon=45.9905&amp;zoom=12#map=12/35.1681/45.9905","Maplink1")</f>
        <v>Maplink1</v>
      </c>
      <c r="AX2536" s="88" t="str">
        <f>HYPERLINK("https://www.google.iq/maps/search/+35.1681,45.9905/@35.1681,45.9905,14z?hl=en","Maplink2")</f>
        <v>Maplink2</v>
      </c>
      <c r="AY2536" s="88" t="str">
        <f>HYPERLINK("http://www.bing.com/maps/?lvl=14&amp;sty=h&amp;cp=35.1681~45.9905&amp;sp=point.35.1681_45.9905","Maplink3")</f>
        <v>Maplink3</v>
      </c>
      <c r="AZ2536" s="76"/>
    </row>
    <row r="2537" spans="1:52" x14ac:dyDescent="0.25">
      <c r="A2537" s="86">
        <v>25645</v>
      </c>
      <c r="B2537" s="87" t="s">
        <v>27</v>
      </c>
      <c r="C2537" s="87" t="s">
        <v>4816</v>
      </c>
      <c r="D2537" s="87" t="s">
        <v>4851</v>
      </c>
      <c r="E2537" s="87" t="s">
        <v>4852</v>
      </c>
      <c r="F2537" s="87">
        <v>35.368018200000002</v>
      </c>
      <c r="G2537" s="87">
        <v>45.716772800000001</v>
      </c>
      <c r="H2537" s="86">
        <v>3</v>
      </c>
      <c r="I2537" s="86">
        <v>18</v>
      </c>
      <c r="J2537" s="87"/>
      <c r="K2537" s="87">
        <v>2</v>
      </c>
      <c r="L2537" s="87"/>
      <c r="M2537" s="87"/>
      <c r="N2537" s="87"/>
      <c r="O2537" s="87">
        <v>1</v>
      </c>
      <c r="P2537" s="87"/>
      <c r="Q2537" s="87"/>
      <c r="R2537" s="87"/>
      <c r="S2537" s="87"/>
      <c r="T2537" s="87"/>
      <c r="U2537" s="87"/>
      <c r="V2537" s="87"/>
      <c r="W2537" s="87"/>
      <c r="X2537" s="87"/>
      <c r="Y2537" s="87"/>
      <c r="Z2537" s="87"/>
      <c r="AA2537" s="87"/>
      <c r="AB2537" s="87"/>
      <c r="AC2537" s="87"/>
      <c r="AD2537" s="87"/>
      <c r="AE2537" s="87"/>
      <c r="AF2537" s="87"/>
      <c r="AG2537" s="87"/>
      <c r="AH2537" s="87">
        <v>3</v>
      </c>
      <c r="AI2537" s="87"/>
      <c r="AJ2537" s="87"/>
      <c r="AK2537" s="87"/>
      <c r="AL2537" s="87"/>
      <c r="AM2537" s="87"/>
      <c r="AN2537" s="87"/>
      <c r="AO2537" s="87"/>
      <c r="AP2537" s="87"/>
      <c r="AQ2537" s="87">
        <v>2</v>
      </c>
      <c r="AR2537" s="87"/>
      <c r="AS2537" s="87"/>
      <c r="AT2537" s="87"/>
      <c r="AU2537" s="87">
        <v>1</v>
      </c>
      <c r="AV2537" s="87"/>
      <c r="AW2537" s="88" t="str">
        <f>HYPERLINK("http://www.openstreetmap.org/?mlat=35.368&amp;mlon=45.7168&amp;zoom=12#map=12/35.368/45.7168","Maplink1")</f>
        <v>Maplink1</v>
      </c>
      <c r="AX2537" s="88" t="str">
        <f>HYPERLINK("https://www.google.iq/maps/search/+35.368,45.7168/@35.368,45.7168,14z?hl=en","Maplink2")</f>
        <v>Maplink2</v>
      </c>
      <c r="AY2537" s="88" t="str">
        <f>HYPERLINK("http://www.bing.com/maps/?lvl=14&amp;sty=h&amp;cp=35.368~45.7168&amp;sp=point.35.368_45.7168","Maplink3")</f>
        <v>Maplink3</v>
      </c>
      <c r="AZ2537" s="76"/>
    </row>
    <row r="2538" spans="1:52" x14ac:dyDescent="0.25">
      <c r="A2538" s="86">
        <v>29691</v>
      </c>
      <c r="B2538" s="87" t="s">
        <v>27</v>
      </c>
      <c r="C2538" s="87" t="s">
        <v>4816</v>
      </c>
      <c r="D2538" s="87" t="s">
        <v>4853</v>
      </c>
      <c r="E2538" s="87" t="s">
        <v>4854</v>
      </c>
      <c r="F2538" s="87">
        <v>35.345730400000001</v>
      </c>
      <c r="G2538" s="87">
        <v>45.631505400000002</v>
      </c>
      <c r="H2538" s="86">
        <v>57</v>
      </c>
      <c r="I2538" s="86">
        <v>342</v>
      </c>
      <c r="J2538" s="87">
        <v>9</v>
      </c>
      <c r="K2538" s="87">
        <v>10</v>
      </c>
      <c r="L2538" s="87">
        <v>11</v>
      </c>
      <c r="M2538" s="87"/>
      <c r="N2538" s="87"/>
      <c r="O2538" s="87">
        <v>9</v>
      </c>
      <c r="P2538" s="87"/>
      <c r="Q2538" s="87"/>
      <c r="R2538" s="87"/>
      <c r="S2538" s="87"/>
      <c r="T2538" s="87"/>
      <c r="U2538" s="87"/>
      <c r="V2538" s="87"/>
      <c r="W2538" s="87"/>
      <c r="X2538" s="87">
        <v>18</v>
      </c>
      <c r="Y2538" s="87"/>
      <c r="Z2538" s="87"/>
      <c r="AA2538" s="87"/>
      <c r="AB2538" s="87"/>
      <c r="AC2538" s="87"/>
      <c r="AD2538" s="87"/>
      <c r="AE2538" s="87"/>
      <c r="AF2538" s="87"/>
      <c r="AG2538" s="87"/>
      <c r="AH2538" s="87">
        <v>57</v>
      </c>
      <c r="AI2538" s="87"/>
      <c r="AJ2538" s="87"/>
      <c r="AK2538" s="87"/>
      <c r="AL2538" s="87"/>
      <c r="AM2538" s="87"/>
      <c r="AN2538" s="87">
        <v>7</v>
      </c>
      <c r="AO2538" s="87">
        <v>13</v>
      </c>
      <c r="AP2538" s="87">
        <v>5</v>
      </c>
      <c r="AQ2538" s="87">
        <v>15</v>
      </c>
      <c r="AR2538" s="87"/>
      <c r="AS2538" s="87">
        <v>8</v>
      </c>
      <c r="AT2538" s="87">
        <v>2</v>
      </c>
      <c r="AU2538" s="87">
        <v>3</v>
      </c>
      <c r="AV2538" s="87">
        <v>4</v>
      </c>
      <c r="AW2538" s="88" t="str">
        <f>HYPERLINK("http://www.openstreetmap.org/?mlat=35.3457&amp;mlon=45.6315&amp;zoom=12#map=12/35.3457/45.6315","Maplink1")</f>
        <v>Maplink1</v>
      </c>
      <c r="AX2538" s="88" t="str">
        <f>HYPERLINK("https://www.google.iq/maps/search/+35.3457,45.6315/@35.3457,45.6315,14z?hl=en","Maplink2")</f>
        <v>Maplink2</v>
      </c>
      <c r="AY2538" s="88" t="str">
        <f>HYPERLINK("http://www.bing.com/maps/?lvl=14&amp;sty=h&amp;cp=35.3457~45.6315&amp;sp=point.35.3457_45.6315","Maplink3")</f>
        <v>Maplink3</v>
      </c>
      <c r="AZ2538" s="76"/>
    </row>
    <row r="2539" spans="1:52" x14ac:dyDescent="0.25">
      <c r="A2539" s="86">
        <v>22462</v>
      </c>
      <c r="B2539" s="87" t="s">
        <v>27</v>
      </c>
      <c r="C2539" s="87" t="s">
        <v>4816</v>
      </c>
      <c r="D2539" s="87" t="s">
        <v>5925</v>
      </c>
      <c r="E2539" s="87" t="s">
        <v>5926</v>
      </c>
      <c r="F2539" s="87">
        <v>35.295873299999997</v>
      </c>
      <c r="G2539" s="87">
        <v>46.0425234</v>
      </c>
      <c r="H2539" s="86">
        <v>1</v>
      </c>
      <c r="I2539" s="86">
        <v>6</v>
      </c>
      <c r="J2539" s="87"/>
      <c r="K2539" s="87"/>
      <c r="L2539" s="87"/>
      <c r="M2539" s="87"/>
      <c r="N2539" s="87"/>
      <c r="O2539" s="87"/>
      <c r="P2539" s="87"/>
      <c r="Q2539" s="87"/>
      <c r="R2539" s="87"/>
      <c r="S2539" s="87"/>
      <c r="T2539" s="87"/>
      <c r="U2539" s="87"/>
      <c r="V2539" s="87"/>
      <c r="W2539" s="87"/>
      <c r="X2539" s="87">
        <v>1</v>
      </c>
      <c r="Y2539" s="87"/>
      <c r="Z2539" s="87"/>
      <c r="AA2539" s="87"/>
      <c r="AB2539" s="87"/>
      <c r="AC2539" s="87"/>
      <c r="AD2539" s="87"/>
      <c r="AE2539" s="87"/>
      <c r="AF2539" s="87"/>
      <c r="AG2539" s="87"/>
      <c r="AH2539" s="87">
        <v>1</v>
      </c>
      <c r="AI2539" s="87"/>
      <c r="AJ2539" s="87"/>
      <c r="AK2539" s="87"/>
      <c r="AL2539" s="87"/>
      <c r="AM2539" s="87"/>
      <c r="AN2539" s="87"/>
      <c r="AO2539" s="87"/>
      <c r="AP2539" s="87"/>
      <c r="AQ2539" s="87"/>
      <c r="AR2539" s="87"/>
      <c r="AS2539" s="87"/>
      <c r="AT2539" s="87"/>
      <c r="AU2539" s="87"/>
      <c r="AV2539" s="87">
        <v>1</v>
      </c>
      <c r="AW2539" s="88" t="str">
        <f>HYPERLINK("http://www.openstreetmap.org/?mlat=35.2959&amp;mlon=46.0425&amp;zoom=12#map=12/35.2959/46.0425","Maplink1")</f>
        <v>Maplink1</v>
      </c>
      <c r="AX2539" s="88" t="str">
        <f>HYPERLINK("https://www.google.iq/maps/search/+35.2959,46.0425/@35.2959,46.0425,14z?hl=en","Maplink2")</f>
        <v>Maplink2</v>
      </c>
      <c r="AY2539" s="88" t="str">
        <f>HYPERLINK("http://www.bing.com/maps/?lvl=14&amp;sty=h&amp;cp=35.2959~46.0425&amp;sp=point.35.2959_46.0425","Maplink3")</f>
        <v>Maplink3</v>
      </c>
      <c r="AZ2539" s="76"/>
    </row>
    <row r="2540" spans="1:52" x14ac:dyDescent="0.25">
      <c r="A2540" s="86">
        <v>29692</v>
      </c>
      <c r="B2540" s="87" t="s">
        <v>27</v>
      </c>
      <c r="C2540" s="87" t="s">
        <v>4816</v>
      </c>
      <c r="D2540" s="87" t="s">
        <v>4855</v>
      </c>
      <c r="E2540" s="87" t="s">
        <v>4856</v>
      </c>
      <c r="F2540" s="87">
        <v>35.3527111</v>
      </c>
      <c r="G2540" s="87">
        <v>45.628954700000001</v>
      </c>
      <c r="H2540" s="86">
        <v>35</v>
      </c>
      <c r="I2540" s="86">
        <v>210</v>
      </c>
      <c r="J2540" s="87">
        <v>3</v>
      </c>
      <c r="K2540" s="87">
        <v>2</v>
      </c>
      <c r="L2540" s="87">
        <v>4</v>
      </c>
      <c r="M2540" s="87"/>
      <c r="N2540" s="87"/>
      <c r="O2540" s="87">
        <v>7</v>
      </c>
      <c r="P2540" s="87"/>
      <c r="Q2540" s="87"/>
      <c r="R2540" s="87"/>
      <c r="S2540" s="87"/>
      <c r="T2540" s="87"/>
      <c r="U2540" s="87"/>
      <c r="V2540" s="87">
        <v>3</v>
      </c>
      <c r="W2540" s="87"/>
      <c r="X2540" s="87">
        <v>16</v>
      </c>
      <c r="Y2540" s="87"/>
      <c r="Z2540" s="87"/>
      <c r="AA2540" s="87"/>
      <c r="AB2540" s="87"/>
      <c r="AC2540" s="87"/>
      <c r="AD2540" s="87"/>
      <c r="AE2540" s="87"/>
      <c r="AF2540" s="87"/>
      <c r="AG2540" s="87"/>
      <c r="AH2540" s="87">
        <v>35</v>
      </c>
      <c r="AI2540" s="87"/>
      <c r="AJ2540" s="87"/>
      <c r="AK2540" s="87"/>
      <c r="AL2540" s="87"/>
      <c r="AM2540" s="87"/>
      <c r="AN2540" s="87">
        <v>2</v>
      </c>
      <c r="AO2540" s="87">
        <v>7</v>
      </c>
      <c r="AP2540" s="87">
        <v>3</v>
      </c>
      <c r="AQ2540" s="87">
        <v>8</v>
      </c>
      <c r="AR2540" s="87">
        <v>4</v>
      </c>
      <c r="AS2540" s="87">
        <v>11</v>
      </c>
      <c r="AT2540" s="87"/>
      <c r="AU2540" s="87"/>
      <c r="AV2540" s="87"/>
      <c r="AW2540" s="88" t="str">
        <f>HYPERLINK("http://www.openstreetmap.org/?mlat=35.3527&amp;mlon=45.629&amp;zoom=12#map=12/35.3527/45.629","Maplink1")</f>
        <v>Maplink1</v>
      </c>
      <c r="AX2540" s="88" t="str">
        <f>HYPERLINK("https://www.google.iq/maps/search/+35.3527,45.629/@35.3527,45.629,14z?hl=en","Maplink2")</f>
        <v>Maplink2</v>
      </c>
      <c r="AY2540" s="88" t="str">
        <f>HYPERLINK("http://www.bing.com/maps/?lvl=14&amp;sty=h&amp;cp=35.3527~45.629&amp;sp=point.35.3527_45.629","Maplink3")</f>
        <v>Maplink3</v>
      </c>
      <c r="AZ2540" s="76"/>
    </row>
    <row r="2541" spans="1:52" x14ac:dyDescent="0.25">
      <c r="A2541" s="86">
        <v>25648</v>
      </c>
      <c r="B2541" s="87" t="s">
        <v>27</v>
      </c>
      <c r="C2541" s="87" t="s">
        <v>4816</v>
      </c>
      <c r="D2541" s="87" t="s">
        <v>4857</v>
      </c>
      <c r="E2541" s="87" t="s">
        <v>4858</v>
      </c>
      <c r="F2541" s="87">
        <v>35.369427000000002</v>
      </c>
      <c r="G2541" s="87">
        <v>45.7125895</v>
      </c>
      <c r="H2541" s="86">
        <v>8</v>
      </c>
      <c r="I2541" s="86">
        <v>48</v>
      </c>
      <c r="J2541" s="87"/>
      <c r="K2541" s="87">
        <v>4</v>
      </c>
      <c r="L2541" s="87"/>
      <c r="M2541" s="87"/>
      <c r="N2541" s="87"/>
      <c r="O2541" s="87">
        <v>4</v>
      </c>
      <c r="P2541" s="87"/>
      <c r="Q2541" s="87"/>
      <c r="R2541" s="87"/>
      <c r="S2541" s="87"/>
      <c r="T2541" s="87"/>
      <c r="U2541" s="87"/>
      <c r="V2541" s="87"/>
      <c r="W2541" s="87"/>
      <c r="X2541" s="87"/>
      <c r="Y2541" s="87"/>
      <c r="Z2541" s="87"/>
      <c r="AA2541" s="87"/>
      <c r="AB2541" s="87"/>
      <c r="AC2541" s="87"/>
      <c r="AD2541" s="87"/>
      <c r="AE2541" s="87"/>
      <c r="AF2541" s="87"/>
      <c r="AG2541" s="87"/>
      <c r="AH2541" s="87">
        <v>8</v>
      </c>
      <c r="AI2541" s="87"/>
      <c r="AJ2541" s="87"/>
      <c r="AK2541" s="87"/>
      <c r="AL2541" s="87"/>
      <c r="AM2541" s="87"/>
      <c r="AN2541" s="87"/>
      <c r="AO2541" s="87">
        <v>8</v>
      </c>
      <c r="AP2541" s="87"/>
      <c r="AQ2541" s="87"/>
      <c r="AR2541" s="87"/>
      <c r="AS2541" s="87"/>
      <c r="AT2541" s="87"/>
      <c r="AU2541" s="87"/>
      <c r="AV2541" s="87"/>
      <c r="AW2541" s="88" t="str">
        <f>HYPERLINK("http://www.openstreetmap.org/?mlat=35.3694&amp;mlon=45.7126&amp;zoom=12#map=12/35.3694/45.7126","Maplink1")</f>
        <v>Maplink1</v>
      </c>
      <c r="AX2541" s="88" t="str">
        <f>HYPERLINK("https://www.google.iq/maps/search/+35.3694,45.7126/@35.3694,45.7126,14z?hl=en","Maplink2")</f>
        <v>Maplink2</v>
      </c>
      <c r="AY2541" s="88" t="str">
        <f>HYPERLINK("http://www.bing.com/maps/?lvl=14&amp;sty=h&amp;cp=35.3694~45.7126&amp;sp=point.35.3694_45.7126","Maplink3")</f>
        <v>Maplink3</v>
      </c>
      <c r="AZ2541" s="76"/>
    </row>
    <row r="2542" spans="1:52" x14ac:dyDescent="0.25">
      <c r="A2542" s="86">
        <v>4882</v>
      </c>
      <c r="B2542" s="87" t="s">
        <v>27</v>
      </c>
      <c r="C2542" s="87" t="s">
        <v>4816</v>
      </c>
      <c r="D2542" s="87" t="s">
        <v>4859</v>
      </c>
      <c r="E2542" s="87" t="s">
        <v>4860</v>
      </c>
      <c r="F2542" s="87">
        <v>35.363278700000002</v>
      </c>
      <c r="G2542" s="87">
        <v>45.789475199999998</v>
      </c>
      <c r="H2542" s="86">
        <v>4</v>
      </c>
      <c r="I2542" s="86">
        <v>24</v>
      </c>
      <c r="J2542" s="87"/>
      <c r="K2542" s="87">
        <v>1</v>
      </c>
      <c r="L2542" s="87"/>
      <c r="M2542" s="87"/>
      <c r="N2542" s="87"/>
      <c r="O2542" s="87">
        <v>2</v>
      </c>
      <c r="P2542" s="87"/>
      <c r="Q2542" s="87"/>
      <c r="R2542" s="87"/>
      <c r="S2542" s="87"/>
      <c r="T2542" s="87"/>
      <c r="U2542" s="87"/>
      <c r="V2542" s="87"/>
      <c r="W2542" s="87"/>
      <c r="X2542" s="87">
        <v>1</v>
      </c>
      <c r="Y2542" s="87"/>
      <c r="Z2542" s="87"/>
      <c r="AA2542" s="87"/>
      <c r="AB2542" s="87"/>
      <c r="AC2542" s="87"/>
      <c r="AD2542" s="87"/>
      <c r="AE2542" s="87"/>
      <c r="AF2542" s="87"/>
      <c r="AG2542" s="87"/>
      <c r="AH2542" s="87">
        <v>4</v>
      </c>
      <c r="AI2542" s="87"/>
      <c r="AJ2542" s="87"/>
      <c r="AK2542" s="87"/>
      <c r="AL2542" s="87"/>
      <c r="AM2542" s="87"/>
      <c r="AN2542" s="87"/>
      <c r="AO2542" s="87"/>
      <c r="AP2542" s="87"/>
      <c r="AQ2542" s="87">
        <v>1</v>
      </c>
      <c r="AR2542" s="87">
        <v>1</v>
      </c>
      <c r="AS2542" s="87"/>
      <c r="AT2542" s="87"/>
      <c r="AU2542" s="87">
        <v>2</v>
      </c>
      <c r="AV2542" s="87"/>
      <c r="AW2542" s="88" t="str">
        <f>HYPERLINK("http://www.openstreetmap.org/?mlat=35.3633&amp;mlon=45.7895&amp;zoom=12#map=12/35.3633/45.7895","Maplink1")</f>
        <v>Maplink1</v>
      </c>
      <c r="AX2542" s="88" t="str">
        <f>HYPERLINK("https://www.google.iq/maps/search/+35.3633,45.7895/@35.3633,45.7895,14z?hl=en","Maplink2")</f>
        <v>Maplink2</v>
      </c>
      <c r="AY2542" s="88" t="str">
        <f>HYPERLINK("http://www.bing.com/maps/?lvl=14&amp;sty=h&amp;cp=35.3633~45.7895&amp;sp=point.35.3633_45.7895","Maplink3")</f>
        <v>Maplink3</v>
      </c>
      <c r="AZ2542" s="76"/>
    </row>
    <row r="2543" spans="1:52" x14ac:dyDescent="0.25">
      <c r="A2543" s="86">
        <v>31862</v>
      </c>
      <c r="B2543" s="87" t="s">
        <v>27</v>
      </c>
      <c r="C2543" s="87" t="s">
        <v>4816</v>
      </c>
      <c r="D2543" s="87" t="s">
        <v>4746</v>
      </c>
      <c r="E2543" s="87" t="s">
        <v>2597</v>
      </c>
      <c r="F2543" s="87">
        <v>35.255558899999997</v>
      </c>
      <c r="G2543" s="87">
        <v>45.936124800000002</v>
      </c>
      <c r="H2543" s="86">
        <v>41</v>
      </c>
      <c r="I2543" s="86">
        <v>246</v>
      </c>
      <c r="J2543" s="87"/>
      <c r="K2543" s="87">
        <v>1</v>
      </c>
      <c r="L2543" s="87">
        <v>8</v>
      </c>
      <c r="M2543" s="87"/>
      <c r="N2543" s="87"/>
      <c r="O2543" s="87">
        <v>24</v>
      </c>
      <c r="P2543" s="87"/>
      <c r="Q2543" s="87"/>
      <c r="R2543" s="87"/>
      <c r="S2543" s="87"/>
      <c r="T2543" s="87"/>
      <c r="U2543" s="87"/>
      <c r="V2543" s="87">
        <v>2</v>
      </c>
      <c r="W2543" s="87"/>
      <c r="X2543" s="87">
        <v>6</v>
      </c>
      <c r="Y2543" s="87"/>
      <c r="Z2543" s="87"/>
      <c r="AA2543" s="87"/>
      <c r="AB2543" s="87"/>
      <c r="AC2543" s="87"/>
      <c r="AD2543" s="87"/>
      <c r="AE2543" s="87"/>
      <c r="AF2543" s="87"/>
      <c r="AG2543" s="87"/>
      <c r="AH2543" s="87">
        <v>40</v>
      </c>
      <c r="AI2543" s="87"/>
      <c r="AJ2543" s="87"/>
      <c r="AK2543" s="87"/>
      <c r="AL2543" s="87">
        <v>1</v>
      </c>
      <c r="AM2543" s="87"/>
      <c r="AN2543" s="87"/>
      <c r="AO2543" s="87"/>
      <c r="AP2543" s="87">
        <v>2</v>
      </c>
      <c r="AQ2543" s="87">
        <v>12</v>
      </c>
      <c r="AR2543" s="87">
        <v>2</v>
      </c>
      <c r="AS2543" s="87">
        <v>10</v>
      </c>
      <c r="AT2543" s="87">
        <v>1</v>
      </c>
      <c r="AU2543" s="87">
        <v>10</v>
      </c>
      <c r="AV2543" s="87">
        <v>4</v>
      </c>
      <c r="AW2543" s="88" t="str">
        <f>HYPERLINK("http://www.openstreetmap.org/?mlat=35.2556&amp;mlon=45.9361&amp;zoom=12#map=12/35.2556/45.9361","Maplink1")</f>
        <v>Maplink1</v>
      </c>
      <c r="AX2543" s="88" t="str">
        <f>HYPERLINK("https://www.google.iq/maps/search/+35.2556,45.9361/@35.2556,45.9361,14z?hl=en","Maplink2")</f>
        <v>Maplink2</v>
      </c>
      <c r="AY2543" s="88" t="str">
        <f>HYPERLINK("http://www.bing.com/maps/?lvl=14&amp;sty=h&amp;cp=35.2556~45.9361&amp;sp=point.35.2556_45.9361","Maplink3")</f>
        <v>Maplink3</v>
      </c>
      <c r="AZ2543" s="76"/>
    </row>
    <row r="2544" spans="1:52" x14ac:dyDescent="0.25">
      <c r="A2544" s="86">
        <v>23078</v>
      </c>
      <c r="B2544" s="87" t="s">
        <v>27</v>
      </c>
      <c r="C2544" s="87" t="s">
        <v>4816</v>
      </c>
      <c r="D2544" s="87" t="s">
        <v>4861</v>
      </c>
      <c r="E2544" s="87" t="s">
        <v>4862</v>
      </c>
      <c r="F2544" s="87">
        <v>35.321737300000002</v>
      </c>
      <c r="G2544" s="87">
        <v>45.679164100000001</v>
      </c>
      <c r="H2544" s="86">
        <v>56</v>
      </c>
      <c r="I2544" s="86">
        <v>336</v>
      </c>
      <c r="J2544" s="87">
        <v>12</v>
      </c>
      <c r="K2544" s="87"/>
      <c r="L2544" s="87">
        <v>17</v>
      </c>
      <c r="M2544" s="87"/>
      <c r="N2544" s="87"/>
      <c r="O2544" s="87">
        <v>14</v>
      </c>
      <c r="P2544" s="87"/>
      <c r="Q2544" s="87"/>
      <c r="R2544" s="87"/>
      <c r="S2544" s="87"/>
      <c r="T2544" s="87"/>
      <c r="U2544" s="87"/>
      <c r="V2544" s="87"/>
      <c r="W2544" s="87"/>
      <c r="X2544" s="87">
        <v>13</v>
      </c>
      <c r="Y2544" s="87"/>
      <c r="Z2544" s="87"/>
      <c r="AA2544" s="87"/>
      <c r="AB2544" s="87"/>
      <c r="AC2544" s="87"/>
      <c r="AD2544" s="87"/>
      <c r="AE2544" s="87"/>
      <c r="AF2544" s="87"/>
      <c r="AG2544" s="87"/>
      <c r="AH2544" s="87">
        <v>56</v>
      </c>
      <c r="AI2544" s="87"/>
      <c r="AJ2544" s="87"/>
      <c r="AK2544" s="87"/>
      <c r="AL2544" s="87"/>
      <c r="AM2544" s="87"/>
      <c r="AN2544" s="87">
        <v>2</v>
      </c>
      <c r="AO2544" s="87">
        <v>15</v>
      </c>
      <c r="AP2544" s="87">
        <v>2</v>
      </c>
      <c r="AQ2544" s="87">
        <v>13</v>
      </c>
      <c r="AR2544" s="87">
        <v>5</v>
      </c>
      <c r="AS2544" s="87">
        <v>8</v>
      </c>
      <c r="AT2544" s="87">
        <v>4</v>
      </c>
      <c r="AU2544" s="87">
        <v>1</v>
      </c>
      <c r="AV2544" s="87">
        <v>6</v>
      </c>
      <c r="AW2544" s="88" t="str">
        <f>HYPERLINK("http://www.openstreetmap.org/?mlat=35.3217&amp;mlon=45.6792&amp;zoom=12#map=12/35.3217/45.6792","Maplink1")</f>
        <v>Maplink1</v>
      </c>
      <c r="AX2544" s="88" t="str">
        <f>HYPERLINK("https://www.google.iq/maps/search/+35.3217,45.6792/@35.3217,45.6792,14z?hl=en","Maplink2")</f>
        <v>Maplink2</v>
      </c>
      <c r="AY2544" s="88" t="str">
        <f>HYPERLINK("http://www.bing.com/maps/?lvl=14&amp;sty=h&amp;cp=35.3217~45.6792&amp;sp=point.35.3217_45.6792","Maplink3")</f>
        <v>Maplink3</v>
      </c>
      <c r="AZ2544" s="76"/>
    </row>
    <row r="2545" spans="1:52" x14ac:dyDescent="0.25">
      <c r="A2545" s="86">
        <v>33349</v>
      </c>
      <c r="B2545" s="87" t="s">
        <v>27</v>
      </c>
      <c r="C2545" s="87" t="s">
        <v>4816</v>
      </c>
      <c r="D2545" s="87" t="s">
        <v>4863</v>
      </c>
      <c r="E2545" s="87" t="s">
        <v>4864</v>
      </c>
      <c r="F2545" s="87">
        <v>35.311955099999999</v>
      </c>
      <c r="G2545" s="87">
        <v>45.693687400000002</v>
      </c>
      <c r="H2545" s="86">
        <v>28</v>
      </c>
      <c r="I2545" s="86">
        <v>168</v>
      </c>
      <c r="J2545" s="87">
        <v>13</v>
      </c>
      <c r="K2545" s="87">
        <v>1</v>
      </c>
      <c r="L2545" s="87">
        <v>4</v>
      </c>
      <c r="M2545" s="87"/>
      <c r="N2545" s="87"/>
      <c r="O2545" s="87">
        <v>7</v>
      </c>
      <c r="P2545" s="87"/>
      <c r="Q2545" s="87"/>
      <c r="R2545" s="87"/>
      <c r="S2545" s="87"/>
      <c r="T2545" s="87"/>
      <c r="U2545" s="87"/>
      <c r="V2545" s="87"/>
      <c r="W2545" s="87"/>
      <c r="X2545" s="87">
        <v>3</v>
      </c>
      <c r="Y2545" s="87"/>
      <c r="Z2545" s="87"/>
      <c r="AA2545" s="87"/>
      <c r="AB2545" s="87"/>
      <c r="AC2545" s="87"/>
      <c r="AD2545" s="87"/>
      <c r="AE2545" s="87"/>
      <c r="AF2545" s="87"/>
      <c r="AG2545" s="87"/>
      <c r="AH2545" s="87">
        <v>28</v>
      </c>
      <c r="AI2545" s="87"/>
      <c r="AJ2545" s="87"/>
      <c r="AK2545" s="87"/>
      <c r="AL2545" s="87"/>
      <c r="AM2545" s="87"/>
      <c r="AN2545" s="87"/>
      <c r="AO2545" s="87">
        <v>4</v>
      </c>
      <c r="AP2545" s="87">
        <v>3</v>
      </c>
      <c r="AQ2545" s="87">
        <v>8</v>
      </c>
      <c r="AR2545" s="87">
        <v>5</v>
      </c>
      <c r="AS2545" s="87">
        <v>3</v>
      </c>
      <c r="AT2545" s="87">
        <v>5</v>
      </c>
      <c r="AU2545" s="87"/>
      <c r="AV2545" s="87"/>
      <c r="AW2545" s="88" t="str">
        <f>HYPERLINK("http://www.openstreetmap.org/?mlat=35.312&amp;mlon=45.6937&amp;zoom=12#map=12/35.312/45.6937","Maplink1")</f>
        <v>Maplink1</v>
      </c>
      <c r="AX2545" s="88" t="str">
        <f>HYPERLINK("https://www.google.iq/maps/search/+35.312,45.6937/@35.312,45.6937,14z?hl=en","Maplink2")</f>
        <v>Maplink2</v>
      </c>
      <c r="AY2545" s="88" t="str">
        <f>HYPERLINK("http://www.bing.com/maps/?lvl=14&amp;sty=h&amp;cp=35.312~45.6937&amp;sp=point.35.312_45.6937","Maplink3")</f>
        <v>Maplink3</v>
      </c>
      <c r="AZ2545" s="76"/>
    </row>
    <row r="2546" spans="1:52" x14ac:dyDescent="0.25">
      <c r="A2546" s="86">
        <v>25081</v>
      </c>
      <c r="B2546" s="87" t="s">
        <v>27</v>
      </c>
      <c r="C2546" s="87" t="s">
        <v>4816</v>
      </c>
      <c r="D2546" s="87" t="s">
        <v>4749</v>
      </c>
      <c r="E2546" s="87" t="s">
        <v>4750</v>
      </c>
      <c r="F2546" s="87">
        <v>35.353307999999998</v>
      </c>
      <c r="G2546" s="87">
        <v>45.8597514</v>
      </c>
      <c r="H2546" s="86">
        <v>31</v>
      </c>
      <c r="I2546" s="86">
        <v>186</v>
      </c>
      <c r="J2546" s="87">
        <v>6</v>
      </c>
      <c r="K2546" s="87"/>
      <c r="L2546" s="87">
        <v>3</v>
      </c>
      <c r="M2546" s="87"/>
      <c r="N2546" s="87"/>
      <c r="O2546" s="87">
        <v>6</v>
      </c>
      <c r="P2546" s="87"/>
      <c r="Q2546" s="87"/>
      <c r="R2546" s="87">
        <v>2</v>
      </c>
      <c r="S2546" s="87"/>
      <c r="T2546" s="87"/>
      <c r="U2546" s="87"/>
      <c r="V2546" s="87">
        <v>2</v>
      </c>
      <c r="W2546" s="87"/>
      <c r="X2546" s="87">
        <v>12</v>
      </c>
      <c r="Y2546" s="87"/>
      <c r="Z2546" s="87"/>
      <c r="AA2546" s="87"/>
      <c r="AB2546" s="87"/>
      <c r="AC2546" s="87"/>
      <c r="AD2546" s="87"/>
      <c r="AE2546" s="87"/>
      <c r="AF2546" s="87"/>
      <c r="AG2546" s="87"/>
      <c r="AH2546" s="87">
        <v>30</v>
      </c>
      <c r="AI2546" s="87"/>
      <c r="AJ2546" s="87"/>
      <c r="AK2546" s="87"/>
      <c r="AL2546" s="87">
        <v>1</v>
      </c>
      <c r="AM2546" s="87"/>
      <c r="AN2546" s="87">
        <v>1</v>
      </c>
      <c r="AO2546" s="87">
        <v>5</v>
      </c>
      <c r="AP2546" s="87">
        <v>5</v>
      </c>
      <c r="AQ2546" s="87">
        <v>3</v>
      </c>
      <c r="AR2546" s="87">
        <v>9</v>
      </c>
      <c r="AS2546" s="87"/>
      <c r="AT2546" s="87">
        <v>3</v>
      </c>
      <c r="AU2546" s="87">
        <v>2</v>
      </c>
      <c r="AV2546" s="87">
        <v>3</v>
      </c>
      <c r="AW2546" s="88" t="str">
        <f>HYPERLINK("http://www.openstreetmap.org/?mlat=35.3533&amp;mlon=45.8598&amp;zoom=12#map=12/35.3533/45.8598","Maplink1")</f>
        <v>Maplink1</v>
      </c>
      <c r="AX2546" s="88" t="str">
        <f>HYPERLINK("https://www.google.iq/maps/search/+35.3533,45.8598/@35.3533,45.8598,14z?hl=en","Maplink2")</f>
        <v>Maplink2</v>
      </c>
      <c r="AY2546" s="88" t="str">
        <f>HYPERLINK("http://www.bing.com/maps/?lvl=14&amp;sty=h&amp;cp=35.3533~45.8598&amp;sp=point.35.3533_45.8598","Maplink3")</f>
        <v>Maplink3</v>
      </c>
      <c r="AZ2546" s="76"/>
    </row>
    <row r="2547" spans="1:52" x14ac:dyDescent="0.25">
      <c r="A2547" s="86">
        <v>4603</v>
      </c>
      <c r="B2547" s="87" t="s">
        <v>27</v>
      </c>
      <c r="C2547" s="87" t="s">
        <v>4816</v>
      </c>
      <c r="D2547" s="87" t="s">
        <v>4865</v>
      </c>
      <c r="E2547" s="87" t="s">
        <v>4866</v>
      </c>
      <c r="F2547" s="87">
        <v>35.370117</v>
      </c>
      <c r="G2547" s="87">
        <v>45.827378799999998</v>
      </c>
      <c r="H2547" s="86">
        <v>4</v>
      </c>
      <c r="I2547" s="86">
        <v>24</v>
      </c>
      <c r="J2547" s="87"/>
      <c r="K2547" s="87"/>
      <c r="L2547" s="87">
        <v>1</v>
      </c>
      <c r="M2547" s="87"/>
      <c r="N2547" s="87"/>
      <c r="O2547" s="87">
        <v>3</v>
      </c>
      <c r="P2547" s="87"/>
      <c r="Q2547" s="87"/>
      <c r="R2547" s="87"/>
      <c r="S2547" s="87"/>
      <c r="T2547" s="87"/>
      <c r="U2547" s="87"/>
      <c r="V2547" s="87"/>
      <c r="W2547" s="87"/>
      <c r="X2547" s="87"/>
      <c r="Y2547" s="87"/>
      <c r="Z2547" s="87"/>
      <c r="AA2547" s="87"/>
      <c r="AB2547" s="87"/>
      <c r="AC2547" s="87"/>
      <c r="AD2547" s="87"/>
      <c r="AE2547" s="87"/>
      <c r="AF2547" s="87"/>
      <c r="AG2547" s="87"/>
      <c r="AH2547" s="87">
        <v>4</v>
      </c>
      <c r="AI2547" s="87"/>
      <c r="AJ2547" s="87"/>
      <c r="AK2547" s="87"/>
      <c r="AL2547" s="87"/>
      <c r="AM2547" s="87"/>
      <c r="AN2547" s="87"/>
      <c r="AO2547" s="87"/>
      <c r="AP2547" s="87"/>
      <c r="AQ2547" s="87">
        <v>1</v>
      </c>
      <c r="AR2547" s="87">
        <v>3</v>
      </c>
      <c r="AS2547" s="87"/>
      <c r="AT2547" s="87"/>
      <c r="AU2547" s="87"/>
      <c r="AV2547" s="87"/>
      <c r="AW2547" s="88" t="str">
        <f>HYPERLINK("http://www.openstreetmap.org/?mlat=35.3701&amp;mlon=45.8274&amp;zoom=12#map=12/35.3701/45.8274","Maplink1")</f>
        <v>Maplink1</v>
      </c>
      <c r="AX2547" s="88" t="str">
        <f>HYPERLINK("https://www.google.iq/maps/search/+35.3701,45.8274/@35.3701,45.8274,14z?hl=en","Maplink2")</f>
        <v>Maplink2</v>
      </c>
      <c r="AY2547" s="88" t="str">
        <f>HYPERLINK("http://www.bing.com/maps/?lvl=14&amp;sty=h&amp;cp=35.3701~45.8274&amp;sp=point.35.3701_45.8274","Maplink3")</f>
        <v>Maplink3</v>
      </c>
      <c r="AZ2547" s="76"/>
    </row>
    <row r="2548" spans="1:52" x14ac:dyDescent="0.25">
      <c r="A2548" s="86">
        <v>22994</v>
      </c>
      <c r="B2548" s="87" t="s">
        <v>27</v>
      </c>
      <c r="C2548" s="87" t="s">
        <v>4816</v>
      </c>
      <c r="D2548" s="87" t="s">
        <v>4867</v>
      </c>
      <c r="E2548" s="87" t="s">
        <v>4868</v>
      </c>
      <c r="F2548" s="87">
        <v>35.174547799999999</v>
      </c>
      <c r="G2548" s="87">
        <v>45.989626199999996</v>
      </c>
      <c r="H2548" s="86">
        <v>24</v>
      </c>
      <c r="I2548" s="86">
        <v>144</v>
      </c>
      <c r="J2548" s="87">
        <v>6</v>
      </c>
      <c r="K2548" s="87">
        <v>1</v>
      </c>
      <c r="L2548" s="87">
        <v>5</v>
      </c>
      <c r="M2548" s="87"/>
      <c r="N2548" s="87"/>
      <c r="O2548" s="87">
        <v>3</v>
      </c>
      <c r="P2548" s="87"/>
      <c r="Q2548" s="87"/>
      <c r="R2548" s="87"/>
      <c r="S2548" s="87"/>
      <c r="T2548" s="87"/>
      <c r="U2548" s="87"/>
      <c r="V2548" s="87">
        <v>2</v>
      </c>
      <c r="W2548" s="87"/>
      <c r="X2548" s="87">
        <v>7</v>
      </c>
      <c r="Y2548" s="87"/>
      <c r="Z2548" s="87"/>
      <c r="AA2548" s="87"/>
      <c r="AB2548" s="87"/>
      <c r="AC2548" s="87"/>
      <c r="AD2548" s="87"/>
      <c r="AE2548" s="87"/>
      <c r="AF2548" s="87"/>
      <c r="AG2548" s="87"/>
      <c r="AH2548" s="87">
        <v>24</v>
      </c>
      <c r="AI2548" s="87"/>
      <c r="AJ2548" s="87"/>
      <c r="AK2548" s="87"/>
      <c r="AL2548" s="87"/>
      <c r="AM2548" s="87"/>
      <c r="AN2548" s="87">
        <v>4</v>
      </c>
      <c r="AO2548" s="87">
        <v>3</v>
      </c>
      <c r="AP2548" s="87"/>
      <c r="AQ2548" s="87">
        <v>2</v>
      </c>
      <c r="AR2548" s="87">
        <v>6</v>
      </c>
      <c r="AS2548" s="87">
        <v>7</v>
      </c>
      <c r="AT2548" s="87">
        <v>2</v>
      </c>
      <c r="AU2548" s="87"/>
      <c r="AV2548" s="87"/>
      <c r="AW2548" s="88" t="str">
        <f>HYPERLINK("http://www.openstreetmap.org/?mlat=35.1745&amp;mlon=45.9896&amp;zoom=12#map=12/35.1745/45.9896","Maplink1")</f>
        <v>Maplink1</v>
      </c>
      <c r="AX2548" s="88" t="str">
        <f>HYPERLINK("https://www.google.iq/maps/search/+35.1745,45.9896/@35.1745,45.9896,14z?hl=en","Maplink2")</f>
        <v>Maplink2</v>
      </c>
      <c r="AY2548" s="88" t="str">
        <f>HYPERLINK("http://www.bing.com/maps/?lvl=14&amp;sty=h&amp;cp=35.1745~45.9896&amp;sp=point.35.1745_45.9896","Maplink3")</f>
        <v>Maplink3</v>
      </c>
      <c r="AZ2548" s="76"/>
    </row>
    <row r="2549" spans="1:52" x14ac:dyDescent="0.25">
      <c r="A2549" s="86">
        <v>21858</v>
      </c>
      <c r="B2549" s="87" t="s">
        <v>27</v>
      </c>
      <c r="C2549" s="87" t="s">
        <v>4816</v>
      </c>
      <c r="D2549" s="87" t="s">
        <v>2054</v>
      </c>
      <c r="E2549" s="87" t="s">
        <v>2055</v>
      </c>
      <c r="F2549" s="87">
        <v>35.174901699999999</v>
      </c>
      <c r="G2549" s="87">
        <v>45.993564300000003</v>
      </c>
      <c r="H2549" s="86">
        <v>7</v>
      </c>
      <c r="I2549" s="86">
        <v>42</v>
      </c>
      <c r="J2549" s="87">
        <v>5</v>
      </c>
      <c r="K2549" s="87"/>
      <c r="L2549" s="87"/>
      <c r="M2549" s="87"/>
      <c r="N2549" s="87"/>
      <c r="O2549" s="87"/>
      <c r="P2549" s="87"/>
      <c r="Q2549" s="87"/>
      <c r="R2549" s="87"/>
      <c r="S2549" s="87"/>
      <c r="T2549" s="87"/>
      <c r="U2549" s="87"/>
      <c r="V2549" s="87">
        <v>2</v>
      </c>
      <c r="W2549" s="87"/>
      <c r="X2549" s="87"/>
      <c r="Y2549" s="87"/>
      <c r="Z2549" s="87"/>
      <c r="AA2549" s="87"/>
      <c r="AB2549" s="87"/>
      <c r="AC2549" s="87"/>
      <c r="AD2549" s="87"/>
      <c r="AE2549" s="87"/>
      <c r="AF2549" s="87"/>
      <c r="AG2549" s="87"/>
      <c r="AH2549" s="87">
        <v>7</v>
      </c>
      <c r="AI2549" s="87"/>
      <c r="AJ2549" s="87"/>
      <c r="AK2549" s="87"/>
      <c r="AL2549" s="87"/>
      <c r="AM2549" s="87"/>
      <c r="AN2549" s="87">
        <v>3</v>
      </c>
      <c r="AO2549" s="87">
        <v>2</v>
      </c>
      <c r="AP2549" s="87"/>
      <c r="AQ2549" s="87"/>
      <c r="AR2549" s="87">
        <v>1</v>
      </c>
      <c r="AS2549" s="87">
        <v>1</v>
      </c>
      <c r="AT2549" s="87"/>
      <c r="AU2549" s="87"/>
      <c r="AV2549" s="87"/>
      <c r="AW2549" s="88" t="str">
        <f>HYPERLINK("http://www.openstreetmap.org/?mlat=35.1749&amp;mlon=45.9936&amp;zoom=12#map=12/35.1749/45.9936","Maplink1")</f>
        <v>Maplink1</v>
      </c>
      <c r="AX2549" s="88" t="str">
        <f>HYPERLINK("https://www.google.iq/maps/search/+35.1749,45.9936/@35.1749,45.9936,14z?hl=en","Maplink2")</f>
        <v>Maplink2</v>
      </c>
      <c r="AY2549" s="88" t="str">
        <f>HYPERLINK("http://www.bing.com/maps/?lvl=14&amp;sty=h&amp;cp=35.1749~45.9936&amp;sp=point.35.1749_45.9936","Maplink3")</f>
        <v>Maplink3</v>
      </c>
      <c r="AZ2549" s="76"/>
    </row>
    <row r="2550" spans="1:52" x14ac:dyDescent="0.25">
      <c r="A2550" s="86">
        <v>31863</v>
      </c>
      <c r="B2550" s="87" t="s">
        <v>27</v>
      </c>
      <c r="C2550" s="87" t="s">
        <v>4816</v>
      </c>
      <c r="D2550" s="87" t="s">
        <v>2054</v>
      </c>
      <c r="E2550" s="87" t="s">
        <v>2055</v>
      </c>
      <c r="F2550" s="87">
        <v>35.254378799999998</v>
      </c>
      <c r="G2550" s="87">
        <v>45.939868300000001</v>
      </c>
      <c r="H2550" s="86">
        <v>11</v>
      </c>
      <c r="I2550" s="86">
        <v>66</v>
      </c>
      <c r="J2550" s="87"/>
      <c r="K2550" s="87">
        <v>1</v>
      </c>
      <c r="L2550" s="87">
        <v>9</v>
      </c>
      <c r="M2550" s="87"/>
      <c r="N2550" s="87"/>
      <c r="O2550" s="87">
        <v>1</v>
      </c>
      <c r="P2550" s="87"/>
      <c r="Q2550" s="87"/>
      <c r="R2550" s="87"/>
      <c r="S2550" s="87"/>
      <c r="T2550" s="87"/>
      <c r="U2550" s="87"/>
      <c r="V2550" s="87"/>
      <c r="W2550" s="87"/>
      <c r="X2550" s="87"/>
      <c r="Y2550" s="87"/>
      <c r="Z2550" s="87"/>
      <c r="AA2550" s="87"/>
      <c r="AB2550" s="87"/>
      <c r="AC2550" s="87"/>
      <c r="AD2550" s="87"/>
      <c r="AE2550" s="87"/>
      <c r="AF2550" s="87"/>
      <c r="AG2550" s="87"/>
      <c r="AH2550" s="87">
        <v>11</v>
      </c>
      <c r="AI2550" s="87"/>
      <c r="AJ2550" s="87"/>
      <c r="AK2550" s="87"/>
      <c r="AL2550" s="87"/>
      <c r="AM2550" s="87"/>
      <c r="AN2550" s="87"/>
      <c r="AO2550" s="87">
        <v>2</v>
      </c>
      <c r="AP2550" s="87"/>
      <c r="AQ2550" s="87">
        <v>6</v>
      </c>
      <c r="AR2550" s="87">
        <v>2</v>
      </c>
      <c r="AS2550" s="87">
        <v>1</v>
      </c>
      <c r="AT2550" s="87"/>
      <c r="AU2550" s="87"/>
      <c r="AV2550" s="87"/>
      <c r="AW2550" s="88" t="str">
        <f>HYPERLINK("http://www.openstreetmap.org/?mlat=35.2544&amp;mlon=45.9399&amp;zoom=12#map=12/35.2544/45.9399","Maplink1")</f>
        <v>Maplink1</v>
      </c>
      <c r="AX2550" s="88" t="str">
        <f>HYPERLINK("https://www.google.iq/maps/search/+35.2544,45.9399/@35.2544,45.9399,14z?hl=en","Maplink2")</f>
        <v>Maplink2</v>
      </c>
      <c r="AY2550" s="88" t="str">
        <f>HYPERLINK("http://www.bing.com/maps/?lvl=14&amp;sty=h&amp;cp=35.2544~45.9399&amp;sp=point.35.2544_45.9399","Maplink3")</f>
        <v>Maplink3</v>
      </c>
      <c r="AZ2550" s="76"/>
    </row>
    <row r="2551" spans="1:52" x14ac:dyDescent="0.25">
      <c r="A2551" s="86">
        <v>33350</v>
      </c>
      <c r="B2551" s="87" t="s">
        <v>27</v>
      </c>
      <c r="C2551" s="87" t="s">
        <v>4816</v>
      </c>
      <c r="D2551" s="87" t="s">
        <v>4869</v>
      </c>
      <c r="E2551" s="87" t="s">
        <v>4870</v>
      </c>
      <c r="F2551" s="87">
        <v>35.358849499999998</v>
      </c>
      <c r="G2551" s="87">
        <v>45.852103800000002</v>
      </c>
      <c r="H2551" s="86">
        <v>9</v>
      </c>
      <c r="I2551" s="86">
        <v>54</v>
      </c>
      <c r="J2551" s="87"/>
      <c r="K2551" s="87">
        <v>1</v>
      </c>
      <c r="L2551" s="87">
        <v>5</v>
      </c>
      <c r="M2551" s="87"/>
      <c r="N2551" s="87"/>
      <c r="O2551" s="87">
        <v>2</v>
      </c>
      <c r="P2551" s="87"/>
      <c r="Q2551" s="87"/>
      <c r="R2551" s="87"/>
      <c r="S2551" s="87"/>
      <c r="T2551" s="87"/>
      <c r="U2551" s="87"/>
      <c r="V2551" s="87">
        <v>1</v>
      </c>
      <c r="W2551" s="87"/>
      <c r="X2551" s="87"/>
      <c r="Y2551" s="87"/>
      <c r="Z2551" s="87"/>
      <c r="AA2551" s="87"/>
      <c r="AB2551" s="87"/>
      <c r="AC2551" s="87"/>
      <c r="AD2551" s="87"/>
      <c r="AE2551" s="87"/>
      <c r="AF2551" s="87"/>
      <c r="AG2551" s="87"/>
      <c r="AH2551" s="87">
        <v>8</v>
      </c>
      <c r="AI2551" s="87"/>
      <c r="AJ2551" s="87"/>
      <c r="AK2551" s="87"/>
      <c r="AL2551" s="87">
        <v>1</v>
      </c>
      <c r="AM2551" s="87"/>
      <c r="AN2551" s="87"/>
      <c r="AO2551" s="87">
        <v>3</v>
      </c>
      <c r="AP2551" s="87">
        <v>1</v>
      </c>
      <c r="AQ2551" s="87">
        <v>3</v>
      </c>
      <c r="AR2551" s="87"/>
      <c r="AS2551" s="87">
        <v>1</v>
      </c>
      <c r="AT2551" s="87">
        <v>1</v>
      </c>
      <c r="AU2551" s="87"/>
      <c r="AV2551" s="87"/>
      <c r="AW2551" s="88" t="str">
        <f>HYPERLINK("http://www.openstreetmap.org/?mlat=35.3588&amp;mlon=45.8521&amp;zoom=12#map=12/35.3588/45.8521","Maplink1")</f>
        <v>Maplink1</v>
      </c>
      <c r="AX2551" s="88" t="str">
        <f>HYPERLINK("https://www.google.iq/maps/search/+35.3588,45.8521/@35.3588,45.8521,14z?hl=en","Maplink2")</f>
        <v>Maplink2</v>
      </c>
      <c r="AY2551" s="88" t="str">
        <f>HYPERLINK("http://www.bing.com/maps/?lvl=14&amp;sty=h&amp;cp=35.3588~45.8521&amp;sp=point.35.3588_45.8521","Maplink3")</f>
        <v>Maplink3</v>
      </c>
      <c r="AZ2551" s="76"/>
    </row>
    <row r="2552" spans="1:52" x14ac:dyDescent="0.25">
      <c r="A2552" s="86">
        <v>25080</v>
      </c>
      <c r="B2552" s="87" t="s">
        <v>27</v>
      </c>
      <c r="C2552" s="87" t="s">
        <v>4816</v>
      </c>
      <c r="D2552" s="87" t="s">
        <v>4871</v>
      </c>
      <c r="E2552" s="87" t="s">
        <v>4872</v>
      </c>
      <c r="F2552" s="87">
        <v>35.327489800000002</v>
      </c>
      <c r="G2552" s="87">
        <v>45.691840300000003</v>
      </c>
      <c r="H2552" s="86">
        <v>22</v>
      </c>
      <c r="I2552" s="86">
        <v>132</v>
      </c>
      <c r="J2552" s="87">
        <v>2</v>
      </c>
      <c r="K2552" s="87"/>
      <c r="L2552" s="87">
        <v>4</v>
      </c>
      <c r="M2552" s="87"/>
      <c r="N2552" s="87"/>
      <c r="O2552" s="87">
        <v>12</v>
      </c>
      <c r="P2552" s="87"/>
      <c r="Q2552" s="87"/>
      <c r="R2552" s="87"/>
      <c r="S2552" s="87"/>
      <c r="T2552" s="87"/>
      <c r="U2552" s="87"/>
      <c r="V2552" s="87"/>
      <c r="W2552" s="87"/>
      <c r="X2552" s="87">
        <v>4</v>
      </c>
      <c r="Y2552" s="87"/>
      <c r="Z2552" s="87"/>
      <c r="AA2552" s="87"/>
      <c r="AB2552" s="87"/>
      <c r="AC2552" s="87"/>
      <c r="AD2552" s="87"/>
      <c r="AE2552" s="87"/>
      <c r="AF2552" s="87"/>
      <c r="AG2552" s="87"/>
      <c r="AH2552" s="87">
        <v>22</v>
      </c>
      <c r="AI2552" s="87"/>
      <c r="AJ2552" s="87"/>
      <c r="AK2552" s="87"/>
      <c r="AL2552" s="87"/>
      <c r="AM2552" s="87"/>
      <c r="AN2552" s="87"/>
      <c r="AO2552" s="87">
        <v>7</v>
      </c>
      <c r="AP2552" s="87">
        <v>6</v>
      </c>
      <c r="AQ2552" s="87">
        <v>6</v>
      </c>
      <c r="AR2552" s="87"/>
      <c r="AS2552" s="87">
        <v>2</v>
      </c>
      <c r="AT2552" s="87"/>
      <c r="AU2552" s="87"/>
      <c r="AV2552" s="87">
        <v>1</v>
      </c>
      <c r="AW2552" s="88" t="str">
        <f>HYPERLINK("http://www.openstreetmap.org/?mlat=35.3275&amp;mlon=45.6918&amp;zoom=12#map=12/35.3275/45.6918","Maplink1")</f>
        <v>Maplink1</v>
      </c>
      <c r="AX2552" s="88" t="str">
        <f>HYPERLINK("https://www.google.iq/maps/search/+35.3275,45.6918/@35.3275,45.6918,14z?hl=en","Maplink2")</f>
        <v>Maplink2</v>
      </c>
      <c r="AY2552" s="88" t="str">
        <f>HYPERLINK("http://www.bing.com/maps/?lvl=14&amp;sty=h&amp;cp=35.3275~45.6918&amp;sp=point.35.3275_45.6918","Maplink3")</f>
        <v>Maplink3</v>
      </c>
      <c r="AZ2552" s="76"/>
    </row>
    <row r="2553" spans="1:52" x14ac:dyDescent="0.25">
      <c r="A2553" s="86">
        <v>23077</v>
      </c>
      <c r="B2553" s="87" t="s">
        <v>27</v>
      </c>
      <c r="C2553" s="87" t="s">
        <v>4816</v>
      </c>
      <c r="D2553" s="87" t="s">
        <v>4710</v>
      </c>
      <c r="E2553" s="87" t="s">
        <v>2779</v>
      </c>
      <c r="F2553" s="87">
        <v>35.3135756</v>
      </c>
      <c r="G2553" s="87">
        <v>45.692822900000003</v>
      </c>
      <c r="H2553" s="86">
        <v>52</v>
      </c>
      <c r="I2553" s="86">
        <v>312</v>
      </c>
      <c r="J2553" s="87">
        <v>16</v>
      </c>
      <c r="K2553" s="87"/>
      <c r="L2553" s="87">
        <v>6</v>
      </c>
      <c r="M2553" s="87"/>
      <c r="N2553" s="87"/>
      <c r="O2553" s="87">
        <v>12</v>
      </c>
      <c r="P2553" s="87"/>
      <c r="Q2553" s="87"/>
      <c r="R2553" s="87"/>
      <c r="S2553" s="87"/>
      <c r="T2553" s="87"/>
      <c r="U2553" s="87"/>
      <c r="V2553" s="87"/>
      <c r="W2553" s="87"/>
      <c r="X2553" s="87">
        <v>18</v>
      </c>
      <c r="Y2553" s="87"/>
      <c r="Z2553" s="87"/>
      <c r="AA2553" s="87"/>
      <c r="AB2553" s="87"/>
      <c r="AC2553" s="87"/>
      <c r="AD2553" s="87"/>
      <c r="AE2553" s="87"/>
      <c r="AF2553" s="87"/>
      <c r="AG2553" s="87"/>
      <c r="AH2553" s="87">
        <v>52</v>
      </c>
      <c r="AI2553" s="87"/>
      <c r="AJ2553" s="87"/>
      <c r="AK2553" s="87"/>
      <c r="AL2553" s="87"/>
      <c r="AM2553" s="87"/>
      <c r="AN2553" s="87"/>
      <c r="AO2553" s="87">
        <v>13</v>
      </c>
      <c r="AP2553" s="87">
        <v>1</v>
      </c>
      <c r="AQ2553" s="87">
        <v>15</v>
      </c>
      <c r="AR2553" s="87">
        <v>13</v>
      </c>
      <c r="AS2553" s="87">
        <v>7</v>
      </c>
      <c r="AT2553" s="87">
        <v>1</v>
      </c>
      <c r="AU2553" s="87">
        <v>2</v>
      </c>
      <c r="AV2553" s="87"/>
      <c r="AW2553" s="88" t="str">
        <f>HYPERLINK("http://www.openstreetmap.org/?mlat=35.3136&amp;mlon=45.6928&amp;zoom=12#map=12/35.3136/45.6928","Maplink1")</f>
        <v>Maplink1</v>
      </c>
      <c r="AX2553" s="88" t="str">
        <f>HYPERLINK("https://www.google.iq/maps/search/+35.3136,45.6928/@35.3136,45.6928,14z?hl=en","Maplink2")</f>
        <v>Maplink2</v>
      </c>
      <c r="AY2553" s="88" t="str">
        <f>HYPERLINK("http://www.bing.com/maps/?lvl=14&amp;sty=h&amp;cp=35.3136~45.6928&amp;sp=point.35.3136_45.6928","Maplink3")</f>
        <v>Maplink3</v>
      </c>
      <c r="AZ2553" s="76"/>
    </row>
    <row r="2554" spans="1:52" x14ac:dyDescent="0.25">
      <c r="A2554" s="86">
        <v>21857</v>
      </c>
      <c r="B2554" s="87" t="s">
        <v>27</v>
      </c>
      <c r="C2554" s="87" t="s">
        <v>4816</v>
      </c>
      <c r="D2554" s="87" t="s">
        <v>4710</v>
      </c>
      <c r="E2554" s="87" t="s">
        <v>2779</v>
      </c>
      <c r="F2554" s="87">
        <v>35.189121700000001</v>
      </c>
      <c r="G2554" s="87">
        <v>45.995062300000001</v>
      </c>
      <c r="H2554" s="86">
        <v>25</v>
      </c>
      <c r="I2554" s="86">
        <v>150</v>
      </c>
      <c r="J2554" s="87">
        <v>4</v>
      </c>
      <c r="K2554" s="87"/>
      <c r="L2554" s="87">
        <v>4</v>
      </c>
      <c r="M2554" s="87"/>
      <c r="N2554" s="87"/>
      <c r="O2554" s="87"/>
      <c r="P2554" s="87"/>
      <c r="Q2554" s="87"/>
      <c r="R2554" s="87">
        <v>3</v>
      </c>
      <c r="S2554" s="87"/>
      <c r="T2554" s="87"/>
      <c r="U2554" s="87"/>
      <c r="V2554" s="87">
        <v>2</v>
      </c>
      <c r="W2554" s="87"/>
      <c r="X2554" s="87">
        <v>12</v>
      </c>
      <c r="Y2554" s="87"/>
      <c r="Z2554" s="87"/>
      <c r="AA2554" s="87"/>
      <c r="AB2554" s="87"/>
      <c r="AC2554" s="87"/>
      <c r="AD2554" s="87"/>
      <c r="AE2554" s="87"/>
      <c r="AF2554" s="87"/>
      <c r="AG2554" s="87"/>
      <c r="AH2554" s="87">
        <v>25</v>
      </c>
      <c r="AI2554" s="87"/>
      <c r="AJ2554" s="87"/>
      <c r="AK2554" s="87"/>
      <c r="AL2554" s="87"/>
      <c r="AM2554" s="87"/>
      <c r="AN2554" s="87">
        <v>4</v>
      </c>
      <c r="AO2554" s="87">
        <v>7</v>
      </c>
      <c r="AP2554" s="87"/>
      <c r="AQ2554" s="87">
        <v>2</v>
      </c>
      <c r="AR2554" s="87">
        <v>2</v>
      </c>
      <c r="AS2554" s="87">
        <v>5</v>
      </c>
      <c r="AT2554" s="87">
        <v>2</v>
      </c>
      <c r="AU2554" s="87">
        <v>3</v>
      </c>
      <c r="AV2554" s="87"/>
      <c r="AW2554" s="88" t="str">
        <f>HYPERLINK("http://www.openstreetmap.org/?mlat=35.1891&amp;mlon=45.9951&amp;zoom=12#map=12/35.1891/45.9951","Maplink1")</f>
        <v>Maplink1</v>
      </c>
      <c r="AX2554" s="88" t="str">
        <f>HYPERLINK("https://www.google.iq/maps/search/+35.1891,45.9951/@35.1891,45.9951,14z?hl=en","Maplink2")</f>
        <v>Maplink2</v>
      </c>
      <c r="AY2554" s="88" t="str">
        <f>HYPERLINK("http://www.bing.com/maps/?lvl=14&amp;sty=h&amp;cp=35.1891~45.9951&amp;sp=point.35.1891_45.9951","Maplink3")</f>
        <v>Maplink3</v>
      </c>
      <c r="AZ2554" s="76"/>
    </row>
    <row r="2555" spans="1:52" x14ac:dyDescent="0.25">
      <c r="A2555" s="86">
        <v>22995</v>
      </c>
      <c r="B2555" s="87" t="s">
        <v>27</v>
      </c>
      <c r="C2555" s="87" t="s">
        <v>4816</v>
      </c>
      <c r="D2555" s="87" t="s">
        <v>4873</v>
      </c>
      <c r="E2555" s="87" t="s">
        <v>3757</v>
      </c>
      <c r="F2555" s="87">
        <v>35.365426800000002</v>
      </c>
      <c r="G2555" s="87">
        <v>45.865784300000001</v>
      </c>
      <c r="H2555" s="86">
        <v>45</v>
      </c>
      <c r="I2555" s="86">
        <v>270</v>
      </c>
      <c r="J2555" s="87">
        <v>8</v>
      </c>
      <c r="K2555" s="87">
        <v>8</v>
      </c>
      <c r="L2555" s="87">
        <v>4</v>
      </c>
      <c r="M2555" s="87"/>
      <c r="N2555" s="87"/>
      <c r="O2555" s="87">
        <v>18</v>
      </c>
      <c r="P2555" s="87"/>
      <c r="Q2555" s="87"/>
      <c r="R2555" s="87"/>
      <c r="S2555" s="87"/>
      <c r="T2555" s="87"/>
      <c r="U2555" s="87"/>
      <c r="V2555" s="87">
        <v>7</v>
      </c>
      <c r="W2555" s="87"/>
      <c r="X2555" s="87"/>
      <c r="Y2555" s="87"/>
      <c r="Z2555" s="87"/>
      <c r="AA2555" s="87"/>
      <c r="AB2555" s="87"/>
      <c r="AC2555" s="87"/>
      <c r="AD2555" s="87"/>
      <c r="AE2555" s="87"/>
      <c r="AF2555" s="87"/>
      <c r="AG2555" s="87"/>
      <c r="AH2555" s="87">
        <v>44</v>
      </c>
      <c r="AI2555" s="87"/>
      <c r="AJ2555" s="87"/>
      <c r="AK2555" s="87"/>
      <c r="AL2555" s="87">
        <v>1</v>
      </c>
      <c r="AM2555" s="87"/>
      <c r="AN2555" s="87">
        <v>8</v>
      </c>
      <c r="AO2555" s="87">
        <v>5</v>
      </c>
      <c r="AP2555" s="87">
        <v>12</v>
      </c>
      <c r="AQ2555" s="87">
        <v>9</v>
      </c>
      <c r="AR2555" s="87">
        <v>5</v>
      </c>
      <c r="AS2555" s="87">
        <v>4</v>
      </c>
      <c r="AT2555" s="87"/>
      <c r="AU2555" s="87">
        <v>2</v>
      </c>
      <c r="AV2555" s="87"/>
      <c r="AW2555" s="88" t="str">
        <f>HYPERLINK("http://www.openstreetmap.org/?mlat=35.3654&amp;mlon=45.8658&amp;zoom=12#map=12/35.3654/45.8658","Maplink1")</f>
        <v>Maplink1</v>
      </c>
      <c r="AX2555" s="88" t="str">
        <f>HYPERLINK("https://www.google.iq/maps/search/+35.3654,45.8658/@35.3654,45.8658,14z?hl=en","Maplink2")</f>
        <v>Maplink2</v>
      </c>
      <c r="AY2555" s="88" t="str">
        <f>HYPERLINK("http://www.bing.com/maps/?lvl=14&amp;sty=h&amp;cp=35.3654~45.8658&amp;sp=point.35.3654_45.8658","Maplink3")</f>
        <v>Maplink3</v>
      </c>
      <c r="AZ2555" s="76"/>
    </row>
    <row r="2556" spans="1:52" x14ac:dyDescent="0.25">
      <c r="A2556" s="86">
        <v>23079</v>
      </c>
      <c r="B2556" s="87" t="s">
        <v>27</v>
      </c>
      <c r="C2556" s="87" t="s">
        <v>4816</v>
      </c>
      <c r="D2556" s="87" t="s">
        <v>4874</v>
      </c>
      <c r="E2556" s="87" t="s">
        <v>4875</v>
      </c>
      <c r="F2556" s="87">
        <v>35.3179479</v>
      </c>
      <c r="G2556" s="87">
        <v>45.695470399999998</v>
      </c>
      <c r="H2556" s="86">
        <v>27</v>
      </c>
      <c r="I2556" s="86">
        <v>162</v>
      </c>
      <c r="J2556" s="87">
        <v>2</v>
      </c>
      <c r="K2556" s="87"/>
      <c r="L2556" s="87">
        <v>5</v>
      </c>
      <c r="M2556" s="87"/>
      <c r="N2556" s="87"/>
      <c r="O2556" s="87">
        <v>11</v>
      </c>
      <c r="P2556" s="87"/>
      <c r="Q2556" s="87"/>
      <c r="R2556" s="87">
        <v>4</v>
      </c>
      <c r="S2556" s="87"/>
      <c r="T2556" s="87"/>
      <c r="U2556" s="87"/>
      <c r="V2556" s="87"/>
      <c r="W2556" s="87"/>
      <c r="X2556" s="87">
        <v>5</v>
      </c>
      <c r="Y2556" s="87"/>
      <c r="Z2556" s="87"/>
      <c r="AA2556" s="87"/>
      <c r="AB2556" s="87"/>
      <c r="AC2556" s="87"/>
      <c r="AD2556" s="87"/>
      <c r="AE2556" s="87"/>
      <c r="AF2556" s="87"/>
      <c r="AG2556" s="87"/>
      <c r="AH2556" s="87">
        <v>27</v>
      </c>
      <c r="AI2556" s="87"/>
      <c r="AJ2556" s="87"/>
      <c r="AK2556" s="87"/>
      <c r="AL2556" s="87"/>
      <c r="AM2556" s="87"/>
      <c r="AN2556" s="87"/>
      <c r="AO2556" s="87">
        <v>7</v>
      </c>
      <c r="AP2556" s="87"/>
      <c r="AQ2556" s="87">
        <v>11</v>
      </c>
      <c r="AR2556" s="87">
        <v>2</v>
      </c>
      <c r="AS2556" s="87"/>
      <c r="AT2556" s="87">
        <v>2</v>
      </c>
      <c r="AU2556" s="87">
        <v>4</v>
      </c>
      <c r="AV2556" s="87">
        <v>1</v>
      </c>
      <c r="AW2556" s="88" t="str">
        <f>HYPERLINK("http://www.openstreetmap.org/?mlat=35.3179&amp;mlon=45.6955&amp;zoom=12#map=12/35.3179/45.6955","Maplink1")</f>
        <v>Maplink1</v>
      </c>
      <c r="AX2556" s="88" t="str">
        <f>HYPERLINK("https://www.google.iq/maps/search/+35.3179,45.6955/@35.3179,45.6955,14z?hl=en","Maplink2")</f>
        <v>Maplink2</v>
      </c>
      <c r="AY2556" s="88" t="str">
        <f>HYPERLINK("http://www.bing.com/maps/?lvl=14&amp;sty=h&amp;cp=35.3179~45.6955&amp;sp=point.35.3179_45.6955","Maplink3")</f>
        <v>Maplink3</v>
      </c>
      <c r="AZ2556" s="76"/>
    </row>
    <row r="2557" spans="1:52" x14ac:dyDescent="0.25">
      <c r="A2557" s="86">
        <v>6056</v>
      </c>
      <c r="B2557" s="87" t="s">
        <v>27</v>
      </c>
      <c r="C2557" s="87" t="s">
        <v>4816</v>
      </c>
      <c r="D2557" s="87" t="s">
        <v>4876</v>
      </c>
      <c r="E2557" s="87" t="s">
        <v>4877</v>
      </c>
      <c r="F2557" s="87">
        <v>35.255591899999999</v>
      </c>
      <c r="G2557" s="87">
        <v>45.993156599999999</v>
      </c>
      <c r="H2557" s="86">
        <v>17</v>
      </c>
      <c r="I2557" s="86">
        <v>102</v>
      </c>
      <c r="J2557" s="87">
        <v>1</v>
      </c>
      <c r="K2557" s="87">
        <v>9</v>
      </c>
      <c r="L2557" s="87">
        <v>3</v>
      </c>
      <c r="M2557" s="87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  <c r="X2557" s="87">
        <v>4</v>
      </c>
      <c r="Y2557" s="87"/>
      <c r="Z2557" s="87"/>
      <c r="AA2557" s="87"/>
      <c r="AB2557" s="87"/>
      <c r="AC2557" s="87"/>
      <c r="AD2557" s="87"/>
      <c r="AE2557" s="87"/>
      <c r="AF2557" s="87"/>
      <c r="AG2557" s="87"/>
      <c r="AH2557" s="87">
        <v>17</v>
      </c>
      <c r="AI2557" s="87"/>
      <c r="AJ2557" s="87"/>
      <c r="AK2557" s="87"/>
      <c r="AL2557" s="87"/>
      <c r="AM2557" s="87"/>
      <c r="AN2557" s="87">
        <v>3</v>
      </c>
      <c r="AO2557" s="87">
        <v>3</v>
      </c>
      <c r="AP2557" s="87"/>
      <c r="AQ2557" s="87">
        <v>3</v>
      </c>
      <c r="AR2557" s="87">
        <v>1</v>
      </c>
      <c r="AS2557" s="87">
        <v>1</v>
      </c>
      <c r="AT2557" s="87">
        <v>3</v>
      </c>
      <c r="AU2557" s="87">
        <v>1</v>
      </c>
      <c r="AV2557" s="87">
        <v>2</v>
      </c>
      <c r="AW2557" s="88" t="str">
        <f>HYPERLINK("http://www.openstreetmap.org/?mlat=35.2556&amp;mlon=45.9932&amp;zoom=12#map=12/35.2556/45.9932","Maplink1")</f>
        <v>Maplink1</v>
      </c>
      <c r="AX2557" s="88" t="str">
        <f>HYPERLINK("https://www.google.iq/maps/search/+35.2556,45.9932/@35.2556,45.9932,14z?hl=en","Maplink2")</f>
        <v>Maplink2</v>
      </c>
      <c r="AY2557" s="88" t="str">
        <f>HYPERLINK("http://www.bing.com/maps/?lvl=14&amp;sty=h&amp;cp=35.2556~45.9932&amp;sp=point.35.2556_45.9932","Maplink3")</f>
        <v>Maplink3</v>
      </c>
      <c r="AZ2557" s="76"/>
    </row>
    <row r="2558" spans="1:52" x14ac:dyDescent="0.25">
      <c r="A2558" s="86">
        <v>29689</v>
      </c>
      <c r="B2558" s="87" t="s">
        <v>27</v>
      </c>
      <c r="C2558" s="87" t="s">
        <v>4878</v>
      </c>
      <c r="D2558" s="87" t="s">
        <v>4879</v>
      </c>
      <c r="E2558" s="87" t="s">
        <v>4880</v>
      </c>
      <c r="F2558" s="87">
        <v>34.537132800000002</v>
      </c>
      <c r="G2558" s="87">
        <v>45.045106199999999</v>
      </c>
      <c r="H2558" s="86">
        <v>14</v>
      </c>
      <c r="I2558" s="86">
        <v>84</v>
      </c>
      <c r="J2558" s="87"/>
      <c r="K2558" s="87"/>
      <c r="L2558" s="87"/>
      <c r="M2558" s="87"/>
      <c r="N2558" s="87"/>
      <c r="O2558" s="87">
        <v>14</v>
      </c>
      <c r="P2558" s="87"/>
      <c r="Q2558" s="87"/>
      <c r="R2558" s="87"/>
      <c r="S2558" s="87"/>
      <c r="T2558" s="87"/>
      <c r="U2558" s="87"/>
      <c r="V2558" s="87"/>
      <c r="W2558" s="87"/>
      <c r="X2558" s="87"/>
      <c r="Y2558" s="87"/>
      <c r="Z2558" s="87"/>
      <c r="AA2558" s="87"/>
      <c r="AB2558" s="87"/>
      <c r="AC2558" s="87">
        <v>14</v>
      </c>
      <c r="AD2558" s="87"/>
      <c r="AE2558" s="87"/>
      <c r="AF2558" s="87"/>
      <c r="AG2558" s="87"/>
      <c r="AH2558" s="87"/>
      <c r="AI2558" s="87"/>
      <c r="AJ2558" s="87"/>
      <c r="AK2558" s="87"/>
      <c r="AL2558" s="87"/>
      <c r="AM2558" s="87"/>
      <c r="AN2558" s="87"/>
      <c r="AO2558" s="87">
        <v>12</v>
      </c>
      <c r="AP2558" s="87"/>
      <c r="AQ2558" s="87">
        <v>1</v>
      </c>
      <c r="AR2558" s="87"/>
      <c r="AS2558" s="87"/>
      <c r="AT2558" s="87"/>
      <c r="AU2558" s="87">
        <v>1</v>
      </c>
      <c r="AV2558" s="87"/>
      <c r="AW2558" s="88" t="str">
        <f>HYPERLINK("http://www.openstreetmap.org/?mlat=34.5371&amp;mlon=45.0451&amp;zoom=12#map=12/34.5371/45.0451","Maplink1")</f>
        <v>Maplink1</v>
      </c>
      <c r="AX2558" s="88" t="str">
        <f>HYPERLINK("https://www.google.iq/maps/search/+34.5371,45.0451/@34.5371,45.0451,14z?hl=en","Maplink2")</f>
        <v>Maplink2</v>
      </c>
      <c r="AY2558" s="88" t="str">
        <f>HYPERLINK("http://www.bing.com/maps/?lvl=14&amp;sty=h&amp;cp=34.5371~45.0451&amp;sp=point.34.5371_45.0451","Maplink3")</f>
        <v>Maplink3</v>
      </c>
      <c r="AZ2558" s="76"/>
    </row>
    <row r="2559" spans="1:52" x14ac:dyDescent="0.25">
      <c r="A2559" s="86">
        <v>27306</v>
      </c>
      <c r="B2559" s="87" t="s">
        <v>27</v>
      </c>
      <c r="C2559" s="87" t="s">
        <v>4878</v>
      </c>
      <c r="D2559" s="87" t="s">
        <v>4881</v>
      </c>
      <c r="E2559" s="87" t="s">
        <v>4882</v>
      </c>
      <c r="F2559" s="87">
        <v>34.632130648</v>
      </c>
      <c r="G2559" s="87">
        <v>45.329894299999999</v>
      </c>
      <c r="H2559" s="86">
        <v>10</v>
      </c>
      <c r="I2559" s="86">
        <v>60</v>
      </c>
      <c r="J2559" s="87">
        <v>1</v>
      </c>
      <c r="K2559" s="87"/>
      <c r="L2559" s="87"/>
      <c r="M2559" s="87"/>
      <c r="N2559" s="87"/>
      <c r="O2559" s="87">
        <v>2</v>
      </c>
      <c r="P2559" s="87"/>
      <c r="Q2559" s="87"/>
      <c r="R2559" s="87"/>
      <c r="S2559" s="87"/>
      <c r="T2559" s="87"/>
      <c r="U2559" s="87"/>
      <c r="V2559" s="87"/>
      <c r="W2559" s="87"/>
      <c r="X2559" s="87">
        <v>7</v>
      </c>
      <c r="Y2559" s="87"/>
      <c r="Z2559" s="87"/>
      <c r="AA2559" s="87"/>
      <c r="AB2559" s="87"/>
      <c r="AC2559" s="87"/>
      <c r="AD2559" s="87"/>
      <c r="AE2559" s="87"/>
      <c r="AF2559" s="87"/>
      <c r="AG2559" s="87"/>
      <c r="AH2559" s="87">
        <v>10</v>
      </c>
      <c r="AI2559" s="87"/>
      <c r="AJ2559" s="87"/>
      <c r="AK2559" s="87"/>
      <c r="AL2559" s="87"/>
      <c r="AM2559" s="87"/>
      <c r="AN2559" s="87">
        <v>1</v>
      </c>
      <c r="AO2559" s="87"/>
      <c r="AP2559" s="87"/>
      <c r="AQ2559" s="87">
        <v>1</v>
      </c>
      <c r="AR2559" s="87"/>
      <c r="AS2559" s="87"/>
      <c r="AT2559" s="87">
        <v>1</v>
      </c>
      <c r="AU2559" s="87">
        <v>7</v>
      </c>
      <c r="AV2559" s="87"/>
      <c r="AW2559" s="88" t="str">
        <f>HYPERLINK("http://www.openstreetmap.org/?mlat=34.6321&amp;mlon=45.3299&amp;zoom=12#map=12/34.6321/45.3299","Maplink1")</f>
        <v>Maplink1</v>
      </c>
      <c r="AX2559" s="88" t="str">
        <f>HYPERLINK("https://www.google.iq/maps/search/+34.6321,45.3299/@34.6321,45.3299,14z?hl=en","Maplink2")</f>
        <v>Maplink2</v>
      </c>
      <c r="AY2559" s="88" t="str">
        <f>HYPERLINK("http://www.bing.com/maps/?lvl=14&amp;sty=h&amp;cp=34.6321~45.3299&amp;sp=point.34.6321_45.3299","Maplink3")</f>
        <v>Maplink3</v>
      </c>
      <c r="AZ2559" s="76"/>
    </row>
    <row r="2560" spans="1:52" x14ac:dyDescent="0.25">
      <c r="A2560" s="86">
        <v>31931</v>
      </c>
      <c r="B2560" s="87" t="s">
        <v>27</v>
      </c>
      <c r="C2560" s="87" t="s">
        <v>4878</v>
      </c>
      <c r="D2560" s="87" t="s">
        <v>4642</v>
      </c>
      <c r="E2560" s="87" t="s">
        <v>4643</v>
      </c>
      <c r="F2560" s="87">
        <v>34.655562510599999</v>
      </c>
      <c r="G2560" s="87">
        <v>45.251197699999999</v>
      </c>
      <c r="H2560" s="86">
        <v>136</v>
      </c>
      <c r="I2560" s="86">
        <v>816</v>
      </c>
      <c r="J2560" s="87">
        <v>3</v>
      </c>
      <c r="K2560" s="87">
        <v>8</v>
      </c>
      <c r="L2560" s="87">
        <v>4</v>
      </c>
      <c r="M2560" s="87"/>
      <c r="N2560" s="87"/>
      <c r="O2560" s="87">
        <v>72</v>
      </c>
      <c r="P2560" s="87"/>
      <c r="Q2560" s="87"/>
      <c r="R2560" s="87"/>
      <c r="S2560" s="87"/>
      <c r="T2560" s="87"/>
      <c r="U2560" s="87"/>
      <c r="V2560" s="87"/>
      <c r="W2560" s="87"/>
      <c r="X2560" s="87">
        <v>49</v>
      </c>
      <c r="Y2560" s="87"/>
      <c r="Z2560" s="87"/>
      <c r="AA2560" s="87"/>
      <c r="AB2560" s="87"/>
      <c r="AC2560" s="87"/>
      <c r="AD2560" s="87"/>
      <c r="AE2560" s="87"/>
      <c r="AF2560" s="87"/>
      <c r="AG2560" s="87"/>
      <c r="AH2560" s="87">
        <v>136</v>
      </c>
      <c r="AI2560" s="87"/>
      <c r="AJ2560" s="87"/>
      <c r="AK2560" s="87"/>
      <c r="AL2560" s="87"/>
      <c r="AM2560" s="87"/>
      <c r="AN2560" s="87">
        <v>12</v>
      </c>
      <c r="AO2560" s="87">
        <v>27</v>
      </c>
      <c r="AP2560" s="87">
        <v>11</v>
      </c>
      <c r="AQ2560" s="87">
        <v>24</v>
      </c>
      <c r="AR2560" s="87">
        <v>16</v>
      </c>
      <c r="AS2560" s="87">
        <v>9</v>
      </c>
      <c r="AT2560" s="87">
        <v>4</v>
      </c>
      <c r="AU2560" s="87">
        <v>29</v>
      </c>
      <c r="AV2560" s="87">
        <v>4</v>
      </c>
      <c r="AW2560" s="88" t="str">
        <f>HYPERLINK("http://www.openstreetmap.org/?mlat=34.6556&amp;mlon=45.2512&amp;zoom=12#map=12/34.6556/45.2512","Maplink1")</f>
        <v>Maplink1</v>
      </c>
      <c r="AX2560" s="88" t="str">
        <f>HYPERLINK("https://www.google.iq/maps/search/+34.6556,45.2512/@34.6556,45.2512,14z?hl=en","Maplink2")</f>
        <v>Maplink2</v>
      </c>
      <c r="AY2560" s="88" t="str">
        <f>HYPERLINK("http://www.bing.com/maps/?lvl=14&amp;sty=h&amp;cp=34.6556~45.2512&amp;sp=point.34.6556_45.2512","Maplink3")</f>
        <v>Maplink3</v>
      </c>
      <c r="AZ2560" s="76"/>
    </row>
    <row r="2561" spans="1:52" x14ac:dyDescent="0.25">
      <c r="A2561" s="86">
        <v>31996</v>
      </c>
      <c r="B2561" s="87" t="s">
        <v>27</v>
      </c>
      <c r="C2561" s="87" t="s">
        <v>4878</v>
      </c>
      <c r="D2561" s="87" t="s">
        <v>4883</v>
      </c>
      <c r="E2561" s="87" t="s">
        <v>4884</v>
      </c>
      <c r="F2561" s="87">
        <v>34.6439768149</v>
      </c>
      <c r="G2561" s="87">
        <v>45.312615899999997</v>
      </c>
      <c r="H2561" s="86">
        <v>21</v>
      </c>
      <c r="I2561" s="86">
        <v>126</v>
      </c>
      <c r="J2561" s="87">
        <v>1</v>
      </c>
      <c r="K2561" s="87"/>
      <c r="L2561" s="87"/>
      <c r="M2561" s="87"/>
      <c r="N2561" s="87"/>
      <c r="O2561" s="87">
        <v>4</v>
      </c>
      <c r="P2561" s="87"/>
      <c r="Q2561" s="87"/>
      <c r="R2561" s="87"/>
      <c r="S2561" s="87"/>
      <c r="T2561" s="87"/>
      <c r="U2561" s="87"/>
      <c r="V2561" s="87">
        <v>1</v>
      </c>
      <c r="W2561" s="87"/>
      <c r="X2561" s="87">
        <v>15</v>
      </c>
      <c r="Y2561" s="87"/>
      <c r="Z2561" s="87"/>
      <c r="AA2561" s="87"/>
      <c r="AB2561" s="87"/>
      <c r="AC2561" s="87"/>
      <c r="AD2561" s="87"/>
      <c r="AE2561" s="87"/>
      <c r="AF2561" s="87"/>
      <c r="AG2561" s="87"/>
      <c r="AH2561" s="87">
        <v>21</v>
      </c>
      <c r="AI2561" s="87"/>
      <c r="AJ2561" s="87"/>
      <c r="AK2561" s="87"/>
      <c r="AL2561" s="87"/>
      <c r="AM2561" s="87"/>
      <c r="AN2561" s="87">
        <v>1</v>
      </c>
      <c r="AO2561" s="87"/>
      <c r="AP2561" s="87"/>
      <c r="AQ2561" s="87">
        <v>4</v>
      </c>
      <c r="AR2561" s="87">
        <v>1</v>
      </c>
      <c r="AS2561" s="87"/>
      <c r="AT2561" s="87">
        <v>1</v>
      </c>
      <c r="AU2561" s="87">
        <v>14</v>
      </c>
      <c r="AV2561" s="87"/>
      <c r="AW2561" s="88" t="str">
        <f>HYPERLINK("http://www.openstreetmap.org/?mlat=34.644&amp;mlon=45.3126&amp;zoom=12#map=12/34.644/45.3126","Maplink1")</f>
        <v>Maplink1</v>
      </c>
      <c r="AX2561" s="88" t="str">
        <f>HYPERLINK("https://www.google.iq/maps/search/+34.644,45.3126/@34.644,45.3126,14z?hl=en","Maplink2")</f>
        <v>Maplink2</v>
      </c>
      <c r="AY2561" s="88" t="str">
        <f>HYPERLINK("http://www.bing.com/maps/?lvl=14&amp;sty=h&amp;cp=34.644~45.3126&amp;sp=point.34.644_45.3126","Maplink3")</f>
        <v>Maplink3</v>
      </c>
      <c r="AZ2561" s="76"/>
    </row>
    <row r="2562" spans="1:52" x14ac:dyDescent="0.25">
      <c r="A2562" s="86">
        <v>29697</v>
      </c>
      <c r="B2562" s="87" t="s">
        <v>27</v>
      </c>
      <c r="C2562" s="87" t="s">
        <v>4878</v>
      </c>
      <c r="D2562" s="87" t="s">
        <v>4885</v>
      </c>
      <c r="E2562" s="87" t="s">
        <v>4886</v>
      </c>
      <c r="F2562" s="87">
        <v>34.522074199999999</v>
      </c>
      <c r="G2562" s="87">
        <v>45.156510900000001</v>
      </c>
      <c r="H2562" s="86">
        <v>5</v>
      </c>
      <c r="I2562" s="86">
        <v>30</v>
      </c>
      <c r="J2562" s="87"/>
      <c r="K2562" s="87"/>
      <c r="L2562" s="87"/>
      <c r="M2562" s="87"/>
      <c r="N2562" s="87"/>
      <c r="O2562" s="87">
        <v>5</v>
      </c>
      <c r="P2562" s="87"/>
      <c r="Q2562" s="87"/>
      <c r="R2562" s="87"/>
      <c r="S2562" s="87"/>
      <c r="T2562" s="87"/>
      <c r="U2562" s="87"/>
      <c r="V2562" s="87"/>
      <c r="W2562" s="87"/>
      <c r="X2562" s="87"/>
      <c r="Y2562" s="87"/>
      <c r="Z2562" s="87"/>
      <c r="AA2562" s="87"/>
      <c r="AB2562" s="87"/>
      <c r="AC2562" s="87">
        <v>5</v>
      </c>
      <c r="AD2562" s="87"/>
      <c r="AE2562" s="87"/>
      <c r="AF2562" s="87"/>
      <c r="AG2562" s="87"/>
      <c r="AH2562" s="87"/>
      <c r="AI2562" s="87"/>
      <c r="AJ2562" s="87"/>
      <c r="AK2562" s="87"/>
      <c r="AL2562" s="87"/>
      <c r="AM2562" s="87"/>
      <c r="AN2562" s="87"/>
      <c r="AO2562" s="87">
        <v>3</v>
      </c>
      <c r="AP2562" s="87"/>
      <c r="AQ2562" s="87"/>
      <c r="AR2562" s="87"/>
      <c r="AS2562" s="87">
        <v>1</v>
      </c>
      <c r="AT2562" s="87">
        <v>1</v>
      </c>
      <c r="AU2562" s="87"/>
      <c r="AV2562" s="87"/>
      <c r="AW2562" s="88" t="str">
        <f>HYPERLINK("http://www.openstreetmap.org/?mlat=34.5221&amp;mlon=45.1565&amp;zoom=12#map=12/34.5221/45.1565","Maplink1")</f>
        <v>Maplink1</v>
      </c>
      <c r="AX2562" s="88" t="str">
        <f>HYPERLINK("https://www.google.iq/maps/search/+34.5221,45.1565/@34.5221,45.1565,14z?hl=en","Maplink2")</f>
        <v>Maplink2</v>
      </c>
      <c r="AY2562" s="88" t="str">
        <f>HYPERLINK("http://www.bing.com/maps/?lvl=14&amp;sty=h&amp;cp=34.5221~45.1565&amp;sp=point.34.5221_45.1565","Maplink3")</f>
        <v>Maplink3</v>
      </c>
      <c r="AZ2562" s="76"/>
    </row>
    <row r="2563" spans="1:52" x14ac:dyDescent="0.25">
      <c r="A2563" s="86">
        <v>21852</v>
      </c>
      <c r="B2563" s="87" t="s">
        <v>27</v>
      </c>
      <c r="C2563" s="87" t="s">
        <v>4878</v>
      </c>
      <c r="D2563" s="87" t="s">
        <v>4887</v>
      </c>
      <c r="E2563" s="87" t="s">
        <v>4888</v>
      </c>
      <c r="F2563" s="87">
        <v>34.6656446012</v>
      </c>
      <c r="G2563" s="87">
        <v>45.241458000000002</v>
      </c>
      <c r="H2563" s="86">
        <v>227</v>
      </c>
      <c r="I2563" s="86">
        <v>1362</v>
      </c>
      <c r="J2563" s="87">
        <v>12</v>
      </c>
      <c r="K2563" s="87">
        <v>50</v>
      </c>
      <c r="L2563" s="87">
        <v>3</v>
      </c>
      <c r="M2563" s="87"/>
      <c r="N2563" s="87"/>
      <c r="O2563" s="87">
        <v>85</v>
      </c>
      <c r="P2563" s="87"/>
      <c r="Q2563" s="87"/>
      <c r="R2563" s="87"/>
      <c r="S2563" s="87"/>
      <c r="T2563" s="87"/>
      <c r="U2563" s="87"/>
      <c r="V2563" s="87"/>
      <c r="W2563" s="87"/>
      <c r="X2563" s="87">
        <v>77</v>
      </c>
      <c r="Y2563" s="87"/>
      <c r="Z2563" s="87"/>
      <c r="AA2563" s="87"/>
      <c r="AB2563" s="87"/>
      <c r="AC2563" s="87"/>
      <c r="AD2563" s="87"/>
      <c r="AE2563" s="87"/>
      <c r="AF2563" s="87"/>
      <c r="AG2563" s="87"/>
      <c r="AH2563" s="87">
        <v>227</v>
      </c>
      <c r="AI2563" s="87"/>
      <c r="AJ2563" s="87"/>
      <c r="AK2563" s="87"/>
      <c r="AL2563" s="87"/>
      <c r="AM2563" s="87"/>
      <c r="AN2563" s="87">
        <v>31</v>
      </c>
      <c r="AO2563" s="87">
        <v>34</v>
      </c>
      <c r="AP2563" s="87">
        <v>13</v>
      </c>
      <c r="AQ2563" s="87">
        <v>38</v>
      </c>
      <c r="AR2563" s="87">
        <v>16</v>
      </c>
      <c r="AS2563" s="87">
        <v>5</v>
      </c>
      <c r="AT2563" s="87">
        <v>11</v>
      </c>
      <c r="AU2563" s="87">
        <v>78</v>
      </c>
      <c r="AV2563" s="87">
        <v>1</v>
      </c>
      <c r="AW2563" s="88" t="str">
        <f>HYPERLINK("http://www.openstreetmap.org/?mlat=34.6656&amp;mlon=45.2415&amp;zoom=12#map=12/34.6656/45.2415","Maplink1")</f>
        <v>Maplink1</v>
      </c>
      <c r="AX2563" s="88" t="str">
        <f>HYPERLINK("https://www.google.iq/maps/search/+34.6656,45.2415/@34.6656,45.2415,14z?hl=en","Maplink2")</f>
        <v>Maplink2</v>
      </c>
      <c r="AY2563" s="88" t="str">
        <f>HYPERLINK("http://www.bing.com/maps/?lvl=14&amp;sty=h&amp;cp=34.6656~45.2415&amp;sp=point.34.6656_45.2415","Maplink3")</f>
        <v>Maplink3</v>
      </c>
      <c r="AZ2563" s="76"/>
    </row>
    <row r="2564" spans="1:52" x14ac:dyDescent="0.25">
      <c r="A2564" s="86">
        <v>24891</v>
      </c>
      <c r="B2564" s="87" t="s">
        <v>27</v>
      </c>
      <c r="C2564" s="87" t="s">
        <v>4878</v>
      </c>
      <c r="D2564" s="87" t="s">
        <v>1902</v>
      </c>
      <c r="E2564" s="87" t="s">
        <v>2817</v>
      </c>
      <c r="F2564" s="87">
        <v>34.6332086687</v>
      </c>
      <c r="G2564" s="87">
        <v>45.338830899999998</v>
      </c>
      <c r="H2564" s="86">
        <v>76</v>
      </c>
      <c r="I2564" s="86">
        <v>456</v>
      </c>
      <c r="J2564" s="87">
        <v>13</v>
      </c>
      <c r="K2564" s="87"/>
      <c r="L2564" s="87">
        <v>4</v>
      </c>
      <c r="M2564" s="87"/>
      <c r="N2564" s="87"/>
      <c r="O2564" s="87">
        <v>47</v>
      </c>
      <c r="P2564" s="87"/>
      <c r="Q2564" s="87"/>
      <c r="R2564" s="87"/>
      <c r="S2564" s="87"/>
      <c r="T2564" s="87"/>
      <c r="U2564" s="87"/>
      <c r="V2564" s="87"/>
      <c r="W2564" s="87"/>
      <c r="X2564" s="87">
        <v>12</v>
      </c>
      <c r="Y2564" s="87"/>
      <c r="Z2564" s="87"/>
      <c r="AA2564" s="87"/>
      <c r="AB2564" s="87"/>
      <c r="AC2564" s="87"/>
      <c r="AD2564" s="87"/>
      <c r="AE2564" s="87"/>
      <c r="AF2564" s="87"/>
      <c r="AG2564" s="87"/>
      <c r="AH2564" s="87">
        <v>76</v>
      </c>
      <c r="AI2564" s="87"/>
      <c r="AJ2564" s="87"/>
      <c r="AK2564" s="87"/>
      <c r="AL2564" s="87"/>
      <c r="AM2564" s="87"/>
      <c r="AN2564" s="87">
        <v>9</v>
      </c>
      <c r="AO2564" s="87">
        <v>21</v>
      </c>
      <c r="AP2564" s="87">
        <v>5</v>
      </c>
      <c r="AQ2564" s="87">
        <v>14</v>
      </c>
      <c r="AR2564" s="87">
        <v>2</v>
      </c>
      <c r="AS2564" s="87">
        <v>2</v>
      </c>
      <c r="AT2564" s="87">
        <v>12</v>
      </c>
      <c r="AU2564" s="87">
        <v>11</v>
      </c>
      <c r="AV2564" s="87"/>
      <c r="AW2564" s="88" t="str">
        <f>HYPERLINK("http://www.openstreetmap.org/?mlat=34.6332&amp;mlon=45.3388&amp;zoom=12#map=12/34.6332/45.3388","Maplink1")</f>
        <v>Maplink1</v>
      </c>
      <c r="AX2564" s="88" t="str">
        <f>HYPERLINK("https://www.google.iq/maps/search/+34.6332,45.3388/@34.6332,45.3388,14z?hl=en","Maplink2")</f>
        <v>Maplink2</v>
      </c>
      <c r="AY2564" s="88" t="str">
        <f>HYPERLINK("http://www.bing.com/maps/?lvl=14&amp;sty=h&amp;cp=34.6332~45.3388&amp;sp=point.34.6332_45.3388","Maplink3")</f>
        <v>Maplink3</v>
      </c>
      <c r="AZ2564" s="76"/>
    </row>
    <row r="2565" spans="1:52" x14ac:dyDescent="0.25">
      <c r="A2565" s="86">
        <v>31932</v>
      </c>
      <c r="B2565" s="87" t="s">
        <v>27</v>
      </c>
      <c r="C2565" s="87" t="s">
        <v>4878</v>
      </c>
      <c r="D2565" s="87" t="s">
        <v>1902</v>
      </c>
      <c r="E2565" s="87" t="s">
        <v>2817</v>
      </c>
      <c r="F2565" s="87">
        <v>34.6578371648</v>
      </c>
      <c r="G2565" s="87">
        <v>45.238787600000002</v>
      </c>
      <c r="H2565" s="86">
        <v>55</v>
      </c>
      <c r="I2565" s="86">
        <v>330</v>
      </c>
      <c r="J2565" s="87">
        <v>4</v>
      </c>
      <c r="K2565" s="87">
        <v>6</v>
      </c>
      <c r="L2565" s="87">
        <v>1</v>
      </c>
      <c r="M2565" s="87"/>
      <c r="N2565" s="87"/>
      <c r="O2565" s="87">
        <v>37</v>
      </c>
      <c r="P2565" s="87"/>
      <c r="Q2565" s="87"/>
      <c r="R2565" s="87"/>
      <c r="S2565" s="87"/>
      <c r="T2565" s="87"/>
      <c r="U2565" s="87"/>
      <c r="V2565" s="87"/>
      <c r="W2565" s="87"/>
      <c r="X2565" s="87">
        <v>7</v>
      </c>
      <c r="Y2565" s="87"/>
      <c r="Z2565" s="87"/>
      <c r="AA2565" s="87"/>
      <c r="AB2565" s="87"/>
      <c r="AC2565" s="87"/>
      <c r="AD2565" s="87"/>
      <c r="AE2565" s="87"/>
      <c r="AF2565" s="87"/>
      <c r="AG2565" s="87"/>
      <c r="AH2565" s="87">
        <v>55</v>
      </c>
      <c r="AI2565" s="87"/>
      <c r="AJ2565" s="87"/>
      <c r="AK2565" s="87"/>
      <c r="AL2565" s="87"/>
      <c r="AM2565" s="87"/>
      <c r="AN2565" s="87">
        <v>3</v>
      </c>
      <c r="AO2565" s="87">
        <v>27</v>
      </c>
      <c r="AP2565" s="87">
        <v>4</v>
      </c>
      <c r="AQ2565" s="87">
        <v>8</v>
      </c>
      <c r="AR2565" s="87">
        <v>3</v>
      </c>
      <c r="AS2565" s="87">
        <v>1</v>
      </c>
      <c r="AT2565" s="87">
        <v>2</v>
      </c>
      <c r="AU2565" s="87">
        <v>7</v>
      </c>
      <c r="AV2565" s="87"/>
      <c r="AW2565" s="88" t="str">
        <f>HYPERLINK("http://www.openstreetmap.org/?mlat=34.6578&amp;mlon=45.2388&amp;zoom=12#map=12/34.6578/45.2388","Maplink1")</f>
        <v>Maplink1</v>
      </c>
      <c r="AX2565" s="88" t="str">
        <f>HYPERLINK("https://www.google.iq/maps/search/+34.6578,45.2388/@34.6578,45.2388,14z?hl=en","Maplink2")</f>
        <v>Maplink2</v>
      </c>
      <c r="AY2565" s="88" t="str">
        <f>HYPERLINK("http://www.bing.com/maps/?lvl=14&amp;sty=h&amp;cp=34.6578~45.2388&amp;sp=point.34.6578_45.2388","Maplink3")</f>
        <v>Maplink3</v>
      </c>
      <c r="AZ2565" s="76"/>
    </row>
    <row r="2566" spans="1:52" x14ac:dyDescent="0.25">
      <c r="A2566" s="86">
        <v>24886</v>
      </c>
      <c r="B2566" s="87" t="s">
        <v>27</v>
      </c>
      <c r="C2566" s="87" t="s">
        <v>4878</v>
      </c>
      <c r="D2566" s="87" t="s">
        <v>4889</v>
      </c>
      <c r="E2566" s="87" t="s">
        <v>4890</v>
      </c>
      <c r="F2566" s="87">
        <v>34.521835500000002</v>
      </c>
      <c r="G2566" s="87">
        <v>45.2170755</v>
      </c>
      <c r="H2566" s="86">
        <v>42</v>
      </c>
      <c r="I2566" s="86">
        <v>252</v>
      </c>
      <c r="J2566" s="87"/>
      <c r="K2566" s="87"/>
      <c r="L2566" s="87">
        <v>2</v>
      </c>
      <c r="M2566" s="87"/>
      <c r="N2566" s="87"/>
      <c r="O2566" s="87">
        <v>37</v>
      </c>
      <c r="P2566" s="87"/>
      <c r="Q2566" s="87"/>
      <c r="R2566" s="87"/>
      <c r="S2566" s="87"/>
      <c r="T2566" s="87"/>
      <c r="U2566" s="87"/>
      <c r="V2566" s="87"/>
      <c r="W2566" s="87"/>
      <c r="X2566" s="87">
        <v>3</v>
      </c>
      <c r="Y2566" s="87"/>
      <c r="Z2566" s="87"/>
      <c r="AA2566" s="87"/>
      <c r="AB2566" s="87"/>
      <c r="AC2566" s="87"/>
      <c r="AD2566" s="87"/>
      <c r="AE2566" s="87"/>
      <c r="AF2566" s="87"/>
      <c r="AG2566" s="87"/>
      <c r="AH2566" s="87">
        <v>42</v>
      </c>
      <c r="AI2566" s="87"/>
      <c r="AJ2566" s="87"/>
      <c r="AK2566" s="87"/>
      <c r="AL2566" s="87"/>
      <c r="AM2566" s="87"/>
      <c r="AN2566" s="87">
        <v>1</v>
      </c>
      <c r="AO2566" s="87">
        <v>20</v>
      </c>
      <c r="AP2566" s="87">
        <v>7</v>
      </c>
      <c r="AQ2566" s="87">
        <v>6</v>
      </c>
      <c r="AR2566" s="87">
        <v>3</v>
      </c>
      <c r="AS2566" s="87">
        <v>2</v>
      </c>
      <c r="AT2566" s="87"/>
      <c r="AU2566" s="87">
        <v>3</v>
      </c>
      <c r="AV2566" s="87"/>
      <c r="AW2566" s="88" t="str">
        <f>HYPERLINK("http://www.openstreetmap.org/?mlat=34.5218&amp;mlon=45.2171&amp;zoom=12#map=12/34.5218/45.2171","Maplink1")</f>
        <v>Maplink1</v>
      </c>
      <c r="AX2566" s="88" t="str">
        <f>HYPERLINK("https://www.google.iq/maps/search/+34.5218,45.2171/@34.5218,45.2171,14z?hl=en","Maplink2")</f>
        <v>Maplink2</v>
      </c>
      <c r="AY2566" s="88" t="str">
        <f>HYPERLINK("http://www.bing.com/maps/?lvl=14&amp;sty=h&amp;cp=34.5218~45.2171&amp;sp=point.34.5218_45.2171","Maplink3")</f>
        <v>Maplink3</v>
      </c>
      <c r="AZ2566" s="76"/>
    </row>
    <row r="2567" spans="1:52" x14ac:dyDescent="0.25">
      <c r="A2567" s="86">
        <v>29696</v>
      </c>
      <c r="B2567" s="87" t="s">
        <v>27</v>
      </c>
      <c r="C2567" s="87" t="s">
        <v>4878</v>
      </c>
      <c r="D2567" s="87" t="s">
        <v>4891</v>
      </c>
      <c r="E2567" s="87" t="s">
        <v>4892</v>
      </c>
      <c r="F2567" s="87">
        <v>34.478062299999998</v>
      </c>
      <c r="G2567" s="87">
        <v>45.146522599999997</v>
      </c>
      <c r="H2567" s="86">
        <v>4</v>
      </c>
      <c r="I2567" s="86">
        <v>24</v>
      </c>
      <c r="J2567" s="87"/>
      <c r="K2567" s="87"/>
      <c r="L2567" s="87"/>
      <c r="M2567" s="87"/>
      <c r="N2567" s="87"/>
      <c r="O2567" s="87">
        <v>4</v>
      </c>
      <c r="P2567" s="87"/>
      <c r="Q2567" s="87"/>
      <c r="R2567" s="87"/>
      <c r="S2567" s="87"/>
      <c r="T2567" s="87"/>
      <c r="U2567" s="87"/>
      <c r="V2567" s="87"/>
      <c r="W2567" s="87"/>
      <c r="X2567" s="87"/>
      <c r="Y2567" s="87"/>
      <c r="Z2567" s="87"/>
      <c r="AA2567" s="87"/>
      <c r="AB2567" s="87"/>
      <c r="AC2567" s="87">
        <v>4</v>
      </c>
      <c r="AD2567" s="87"/>
      <c r="AE2567" s="87"/>
      <c r="AF2567" s="87"/>
      <c r="AG2567" s="87"/>
      <c r="AH2567" s="87"/>
      <c r="AI2567" s="87"/>
      <c r="AJ2567" s="87"/>
      <c r="AK2567" s="87"/>
      <c r="AL2567" s="87"/>
      <c r="AM2567" s="87"/>
      <c r="AN2567" s="87"/>
      <c r="AO2567" s="87">
        <v>2</v>
      </c>
      <c r="AP2567" s="87"/>
      <c r="AQ2567" s="87"/>
      <c r="AR2567" s="87"/>
      <c r="AS2567" s="87"/>
      <c r="AT2567" s="87">
        <v>2</v>
      </c>
      <c r="AU2567" s="87"/>
      <c r="AV2567" s="87"/>
      <c r="AW2567" s="88" t="str">
        <f>HYPERLINK("http://www.openstreetmap.org/?mlat=34.4781&amp;mlon=45.1465&amp;zoom=12#map=12/34.4781/45.1465","Maplink1")</f>
        <v>Maplink1</v>
      </c>
      <c r="AX2567" s="88" t="str">
        <f>HYPERLINK("https://www.google.iq/maps/search/+34.4781,45.1465/@34.4781,45.1465,14z?hl=en","Maplink2")</f>
        <v>Maplink2</v>
      </c>
      <c r="AY2567" s="88" t="str">
        <f>HYPERLINK("http://www.bing.com/maps/?lvl=14&amp;sty=h&amp;cp=34.4781~45.1465&amp;sp=point.34.4781_45.1465","Maplink3")</f>
        <v>Maplink3</v>
      </c>
      <c r="AZ2567" s="76"/>
    </row>
    <row r="2568" spans="1:52" x14ac:dyDescent="0.25">
      <c r="A2568" s="86">
        <v>3939</v>
      </c>
      <c r="B2568" s="87" t="s">
        <v>27</v>
      </c>
      <c r="C2568" s="87" t="s">
        <v>4878</v>
      </c>
      <c r="D2568" s="87" t="s">
        <v>4893</v>
      </c>
      <c r="E2568" s="87" t="s">
        <v>4894</v>
      </c>
      <c r="F2568" s="87">
        <v>34.641593867399997</v>
      </c>
      <c r="G2568" s="87">
        <v>45.347583200000003</v>
      </c>
      <c r="H2568" s="86">
        <v>78</v>
      </c>
      <c r="I2568" s="86">
        <v>468</v>
      </c>
      <c r="J2568" s="87">
        <v>2</v>
      </c>
      <c r="K2568" s="87"/>
      <c r="L2568" s="87">
        <v>8</v>
      </c>
      <c r="M2568" s="87"/>
      <c r="N2568" s="87"/>
      <c r="O2568" s="87">
        <v>48</v>
      </c>
      <c r="P2568" s="87"/>
      <c r="Q2568" s="87"/>
      <c r="R2568" s="87"/>
      <c r="S2568" s="87"/>
      <c r="T2568" s="87"/>
      <c r="U2568" s="87"/>
      <c r="V2568" s="87"/>
      <c r="W2568" s="87"/>
      <c r="X2568" s="87">
        <v>20</v>
      </c>
      <c r="Y2568" s="87"/>
      <c r="Z2568" s="87"/>
      <c r="AA2568" s="87"/>
      <c r="AB2568" s="87"/>
      <c r="AC2568" s="87"/>
      <c r="AD2568" s="87"/>
      <c r="AE2568" s="87"/>
      <c r="AF2568" s="87"/>
      <c r="AG2568" s="87"/>
      <c r="AH2568" s="87">
        <v>78</v>
      </c>
      <c r="AI2568" s="87"/>
      <c r="AJ2568" s="87"/>
      <c r="AK2568" s="87"/>
      <c r="AL2568" s="87"/>
      <c r="AM2568" s="87"/>
      <c r="AN2568" s="87">
        <v>2</v>
      </c>
      <c r="AO2568" s="87">
        <v>16</v>
      </c>
      <c r="AP2568" s="87">
        <v>5</v>
      </c>
      <c r="AQ2568" s="87">
        <v>12</v>
      </c>
      <c r="AR2568" s="87">
        <v>13</v>
      </c>
      <c r="AS2568" s="87">
        <v>5</v>
      </c>
      <c r="AT2568" s="87">
        <v>8</v>
      </c>
      <c r="AU2568" s="87">
        <v>17</v>
      </c>
      <c r="AV2568" s="87"/>
      <c r="AW2568" s="88" t="str">
        <f>HYPERLINK("http://www.openstreetmap.org/?mlat=34.6416&amp;mlon=45.3476&amp;zoom=12#map=12/34.6416/45.3476","Maplink1")</f>
        <v>Maplink1</v>
      </c>
      <c r="AX2568" s="88" t="str">
        <f>HYPERLINK("https://www.google.iq/maps/search/+34.6416,45.3476/@34.6416,45.3476,14z?hl=en","Maplink2")</f>
        <v>Maplink2</v>
      </c>
      <c r="AY2568" s="88" t="str">
        <f>HYPERLINK("http://www.bing.com/maps/?lvl=14&amp;sty=h&amp;cp=34.6416~45.3476&amp;sp=point.34.6416_45.3476","Maplink3")</f>
        <v>Maplink3</v>
      </c>
      <c r="AZ2568" s="76"/>
    </row>
    <row r="2569" spans="1:52" x14ac:dyDescent="0.25">
      <c r="A2569" s="86">
        <v>23768</v>
      </c>
      <c r="B2569" s="87" t="s">
        <v>27</v>
      </c>
      <c r="C2569" s="87" t="s">
        <v>4878</v>
      </c>
      <c r="D2569" s="87" t="s">
        <v>4895</v>
      </c>
      <c r="E2569" s="87" t="s">
        <v>4896</v>
      </c>
      <c r="F2569" s="87">
        <v>34.615210781800002</v>
      </c>
      <c r="G2569" s="87">
        <v>45.315266800000003</v>
      </c>
      <c r="H2569" s="86">
        <v>47</v>
      </c>
      <c r="I2569" s="86">
        <v>282</v>
      </c>
      <c r="J2569" s="87">
        <v>5</v>
      </c>
      <c r="K2569" s="87"/>
      <c r="L2569" s="87">
        <v>3</v>
      </c>
      <c r="M2569" s="87"/>
      <c r="N2569" s="87"/>
      <c r="O2569" s="87">
        <v>26</v>
      </c>
      <c r="P2569" s="87"/>
      <c r="Q2569" s="87"/>
      <c r="R2569" s="87"/>
      <c r="S2569" s="87"/>
      <c r="T2569" s="87"/>
      <c r="U2569" s="87"/>
      <c r="V2569" s="87">
        <v>1</v>
      </c>
      <c r="W2569" s="87"/>
      <c r="X2569" s="87">
        <v>12</v>
      </c>
      <c r="Y2569" s="87"/>
      <c r="Z2569" s="87"/>
      <c r="AA2569" s="87"/>
      <c r="AB2569" s="87"/>
      <c r="AC2569" s="87"/>
      <c r="AD2569" s="87"/>
      <c r="AE2569" s="87"/>
      <c r="AF2569" s="87"/>
      <c r="AG2569" s="87"/>
      <c r="AH2569" s="87">
        <v>47</v>
      </c>
      <c r="AI2569" s="87"/>
      <c r="AJ2569" s="87"/>
      <c r="AK2569" s="87"/>
      <c r="AL2569" s="87"/>
      <c r="AM2569" s="87"/>
      <c r="AN2569" s="87">
        <v>5</v>
      </c>
      <c r="AO2569" s="87">
        <v>9</v>
      </c>
      <c r="AP2569" s="87">
        <v>7</v>
      </c>
      <c r="AQ2569" s="87">
        <v>8</v>
      </c>
      <c r="AR2569" s="87">
        <v>5</v>
      </c>
      <c r="AS2569" s="87">
        <v>5</v>
      </c>
      <c r="AT2569" s="87"/>
      <c r="AU2569" s="87">
        <v>8</v>
      </c>
      <c r="AV2569" s="87"/>
      <c r="AW2569" s="88" t="str">
        <f>HYPERLINK("http://www.openstreetmap.org/?mlat=34.6152&amp;mlon=45.3153&amp;zoom=12#map=12/34.6152/45.3153","Maplink1")</f>
        <v>Maplink1</v>
      </c>
      <c r="AX2569" s="88" t="str">
        <f>HYPERLINK("https://www.google.iq/maps/search/+34.6152,45.3153/@34.6152,45.3153,14z?hl=en","Maplink2")</f>
        <v>Maplink2</v>
      </c>
      <c r="AY2569" s="88" t="str">
        <f>HYPERLINK("http://www.bing.com/maps/?lvl=14&amp;sty=h&amp;cp=34.6152~45.3153&amp;sp=point.34.6152_45.3153","Maplink3")</f>
        <v>Maplink3</v>
      </c>
      <c r="AZ2569" s="76"/>
    </row>
    <row r="2570" spans="1:52" x14ac:dyDescent="0.25">
      <c r="A2570" s="86">
        <v>6285</v>
      </c>
      <c r="B2570" s="87" t="s">
        <v>27</v>
      </c>
      <c r="C2570" s="87" t="s">
        <v>4878</v>
      </c>
      <c r="D2570" s="87" t="s">
        <v>4769</v>
      </c>
      <c r="E2570" s="87" t="s">
        <v>4770</v>
      </c>
      <c r="F2570" s="87">
        <v>34.620812918699997</v>
      </c>
      <c r="G2570" s="87">
        <v>45.319474900000003</v>
      </c>
      <c r="H2570" s="86">
        <v>68</v>
      </c>
      <c r="I2570" s="86">
        <v>408</v>
      </c>
      <c r="J2570" s="87">
        <v>13</v>
      </c>
      <c r="K2570" s="87"/>
      <c r="L2570" s="87">
        <v>6</v>
      </c>
      <c r="M2570" s="87"/>
      <c r="N2570" s="87"/>
      <c r="O2570" s="87">
        <v>43</v>
      </c>
      <c r="P2570" s="87"/>
      <c r="Q2570" s="87"/>
      <c r="R2570" s="87"/>
      <c r="S2570" s="87"/>
      <c r="T2570" s="87"/>
      <c r="U2570" s="87"/>
      <c r="V2570" s="87"/>
      <c r="W2570" s="87"/>
      <c r="X2570" s="87">
        <v>6</v>
      </c>
      <c r="Y2570" s="87"/>
      <c r="Z2570" s="87"/>
      <c r="AA2570" s="87"/>
      <c r="AB2570" s="87"/>
      <c r="AC2570" s="87"/>
      <c r="AD2570" s="87"/>
      <c r="AE2570" s="87"/>
      <c r="AF2570" s="87"/>
      <c r="AG2570" s="87"/>
      <c r="AH2570" s="87">
        <v>68</v>
      </c>
      <c r="AI2570" s="87"/>
      <c r="AJ2570" s="87"/>
      <c r="AK2570" s="87"/>
      <c r="AL2570" s="87"/>
      <c r="AM2570" s="87"/>
      <c r="AN2570" s="87">
        <v>9</v>
      </c>
      <c r="AO2570" s="87">
        <v>9</v>
      </c>
      <c r="AP2570" s="87">
        <v>8</v>
      </c>
      <c r="AQ2570" s="87">
        <v>14</v>
      </c>
      <c r="AR2570" s="87">
        <v>10</v>
      </c>
      <c r="AS2570" s="87">
        <v>4</v>
      </c>
      <c r="AT2570" s="87">
        <v>9</v>
      </c>
      <c r="AU2570" s="87">
        <v>5</v>
      </c>
      <c r="AV2570" s="87"/>
      <c r="AW2570" s="88" t="str">
        <f>HYPERLINK("http://www.openstreetmap.org/?mlat=34.6208&amp;mlon=45.3195&amp;zoom=12#map=12/34.6208/45.3195","Maplink1")</f>
        <v>Maplink1</v>
      </c>
      <c r="AX2570" s="88" t="str">
        <f>HYPERLINK("https://www.google.iq/maps/search/+34.6208,45.3195/@34.6208,45.3195,14z?hl=en","Maplink2")</f>
        <v>Maplink2</v>
      </c>
      <c r="AY2570" s="88" t="str">
        <f>HYPERLINK("http://www.bing.com/maps/?lvl=14&amp;sty=h&amp;cp=34.6208~45.3195&amp;sp=point.34.6208_45.3195","Maplink3")</f>
        <v>Maplink3</v>
      </c>
      <c r="AZ2570" s="76"/>
    </row>
    <row r="2571" spans="1:52" x14ac:dyDescent="0.25">
      <c r="A2571" s="86">
        <v>21861</v>
      </c>
      <c r="B2571" s="87" t="s">
        <v>27</v>
      </c>
      <c r="C2571" s="87" t="s">
        <v>4878</v>
      </c>
      <c r="D2571" s="87" t="s">
        <v>4897</v>
      </c>
      <c r="E2571" s="87" t="s">
        <v>4898</v>
      </c>
      <c r="F2571" s="87">
        <v>34.660047806199998</v>
      </c>
      <c r="G2571" s="87">
        <v>45.231943100000002</v>
      </c>
      <c r="H2571" s="86">
        <v>162</v>
      </c>
      <c r="I2571" s="86">
        <v>972</v>
      </c>
      <c r="J2571" s="87">
        <v>6</v>
      </c>
      <c r="K2571" s="87">
        <v>46</v>
      </c>
      <c r="L2571" s="87">
        <v>6</v>
      </c>
      <c r="M2571" s="87"/>
      <c r="N2571" s="87"/>
      <c r="O2571" s="87">
        <v>77</v>
      </c>
      <c r="P2571" s="87"/>
      <c r="Q2571" s="87"/>
      <c r="R2571" s="87">
        <v>1</v>
      </c>
      <c r="S2571" s="87"/>
      <c r="T2571" s="87"/>
      <c r="U2571" s="87"/>
      <c r="V2571" s="87"/>
      <c r="W2571" s="87"/>
      <c r="X2571" s="87">
        <v>26</v>
      </c>
      <c r="Y2571" s="87"/>
      <c r="Z2571" s="87"/>
      <c r="AA2571" s="87"/>
      <c r="AB2571" s="87"/>
      <c r="AC2571" s="87"/>
      <c r="AD2571" s="87"/>
      <c r="AE2571" s="87"/>
      <c r="AF2571" s="87"/>
      <c r="AG2571" s="87"/>
      <c r="AH2571" s="87">
        <v>162</v>
      </c>
      <c r="AI2571" s="87"/>
      <c r="AJ2571" s="87"/>
      <c r="AK2571" s="87"/>
      <c r="AL2571" s="87"/>
      <c r="AM2571" s="87"/>
      <c r="AN2571" s="87">
        <v>31</v>
      </c>
      <c r="AO2571" s="87">
        <v>32</v>
      </c>
      <c r="AP2571" s="87">
        <v>15</v>
      </c>
      <c r="AQ2571" s="87">
        <v>32</v>
      </c>
      <c r="AR2571" s="87">
        <v>19</v>
      </c>
      <c r="AS2571" s="87">
        <v>4</v>
      </c>
      <c r="AT2571" s="87">
        <v>1</v>
      </c>
      <c r="AU2571" s="87">
        <v>24</v>
      </c>
      <c r="AV2571" s="87">
        <v>4</v>
      </c>
      <c r="AW2571" s="88" t="str">
        <f>HYPERLINK("http://www.openstreetmap.org/?mlat=34.66&amp;mlon=45.2319&amp;zoom=12#map=12/34.66/45.2319","Maplink1")</f>
        <v>Maplink1</v>
      </c>
      <c r="AX2571" s="88" t="str">
        <f>HYPERLINK("https://www.google.iq/maps/search/+34.66,45.2319/@34.66,45.2319,14z?hl=en","Maplink2")</f>
        <v>Maplink2</v>
      </c>
      <c r="AY2571" s="88" t="str">
        <f>HYPERLINK("http://www.bing.com/maps/?lvl=14&amp;sty=h&amp;cp=34.66~45.2319&amp;sp=point.34.66_45.2319","Maplink3")</f>
        <v>Maplink3</v>
      </c>
      <c r="AZ2571" s="76"/>
    </row>
    <row r="2572" spans="1:52" x14ac:dyDescent="0.25">
      <c r="A2572" s="86">
        <v>5849</v>
      </c>
      <c r="B2572" s="87" t="s">
        <v>27</v>
      </c>
      <c r="C2572" s="87" t="s">
        <v>4878</v>
      </c>
      <c r="D2572" s="87" t="s">
        <v>4899</v>
      </c>
      <c r="E2572" s="87" t="s">
        <v>4900</v>
      </c>
      <c r="F2572" s="87">
        <v>34.546877199999997</v>
      </c>
      <c r="G2572" s="87">
        <v>45.125915300000003</v>
      </c>
      <c r="H2572" s="86">
        <v>8</v>
      </c>
      <c r="I2572" s="86">
        <v>48</v>
      </c>
      <c r="J2572" s="87"/>
      <c r="K2572" s="87"/>
      <c r="L2572" s="87"/>
      <c r="M2572" s="87"/>
      <c r="N2572" s="87"/>
      <c r="O2572" s="87">
        <v>8</v>
      </c>
      <c r="P2572" s="87"/>
      <c r="Q2572" s="87"/>
      <c r="R2572" s="87"/>
      <c r="S2572" s="87"/>
      <c r="T2572" s="87"/>
      <c r="U2572" s="87"/>
      <c r="V2572" s="87"/>
      <c r="W2572" s="87"/>
      <c r="X2572" s="87"/>
      <c r="Y2572" s="87"/>
      <c r="Z2572" s="87"/>
      <c r="AA2572" s="87"/>
      <c r="AB2572" s="87"/>
      <c r="AC2572" s="87">
        <v>8</v>
      </c>
      <c r="AD2572" s="87"/>
      <c r="AE2572" s="87"/>
      <c r="AF2572" s="87"/>
      <c r="AG2572" s="87"/>
      <c r="AH2572" s="87"/>
      <c r="AI2572" s="87"/>
      <c r="AJ2572" s="87"/>
      <c r="AK2572" s="87"/>
      <c r="AL2572" s="87"/>
      <c r="AM2572" s="87"/>
      <c r="AN2572" s="87"/>
      <c r="AO2572" s="87">
        <v>4</v>
      </c>
      <c r="AP2572" s="87"/>
      <c r="AQ2572" s="87">
        <v>1</v>
      </c>
      <c r="AR2572" s="87"/>
      <c r="AS2572" s="87"/>
      <c r="AT2572" s="87"/>
      <c r="AU2572" s="87">
        <v>2</v>
      </c>
      <c r="AV2572" s="87">
        <v>1</v>
      </c>
      <c r="AW2572" s="88" t="str">
        <f>HYPERLINK("http://www.openstreetmap.org/?mlat=34.5469&amp;mlon=45.1259&amp;zoom=12#map=12/34.5469/45.1259","Maplink1")</f>
        <v>Maplink1</v>
      </c>
      <c r="AX2572" s="88" t="str">
        <f>HYPERLINK("https://www.google.iq/maps/search/+34.5469,45.1259/@34.5469,45.1259,14z?hl=en","Maplink2")</f>
        <v>Maplink2</v>
      </c>
      <c r="AY2572" s="88" t="str">
        <f>HYPERLINK("http://www.bing.com/maps/?lvl=14&amp;sty=h&amp;cp=34.5469~45.1259&amp;sp=point.34.5469_45.1259","Maplink3")</f>
        <v>Maplink3</v>
      </c>
      <c r="AZ2572" s="76"/>
    </row>
    <row r="2573" spans="1:52" x14ac:dyDescent="0.25">
      <c r="A2573" s="86">
        <v>23767</v>
      </c>
      <c r="B2573" s="87" t="s">
        <v>27</v>
      </c>
      <c r="C2573" s="87" t="s">
        <v>4878</v>
      </c>
      <c r="D2573" s="87" t="s">
        <v>4901</v>
      </c>
      <c r="E2573" s="87" t="s">
        <v>4902</v>
      </c>
      <c r="F2573" s="87">
        <v>34.6367743287</v>
      </c>
      <c r="G2573" s="87">
        <v>45.338334099999997</v>
      </c>
      <c r="H2573" s="86">
        <v>33</v>
      </c>
      <c r="I2573" s="86">
        <v>198</v>
      </c>
      <c r="J2573" s="87">
        <v>4</v>
      </c>
      <c r="K2573" s="87">
        <v>1</v>
      </c>
      <c r="L2573" s="87">
        <v>2</v>
      </c>
      <c r="M2573" s="87"/>
      <c r="N2573" s="87"/>
      <c r="O2573" s="87">
        <v>22</v>
      </c>
      <c r="P2573" s="87"/>
      <c r="Q2573" s="87"/>
      <c r="R2573" s="87"/>
      <c r="S2573" s="87"/>
      <c r="T2573" s="87"/>
      <c r="U2573" s="87"/>
      <c r="V2573" s="87">
        <v>1</v>
      </c>
      <c r="W2573" s="87"/>
      <c r="X2573" s="87">
        <v>3</v>
      </c>
      <c r="Y2573" s="87"/>
      <c r="Z2573" s="87"/>
      <c r="AA2573" s="87"/>
      <c r="AB2573" s="87"/>
      <c r="AC2573" s="87"/>
      <c r="AD2573" s="87"/>
      <c r="AE2573" s="87"/>
      <c r="AF2573" s="87"/>
      <c r="AG2573" s="87"/>
      <c r="AH2573" s="87">
        <v>33</v>
      </c>
      <c r="AI2573" s="87"/>
      <c r="AJ2573" s="87"/>
      <c r="AK2573" s="87"/>
      <c r="AL2573" s="87"/>
      <c r="AM2573" s="87"/>
      <c r="AN2573" s="87">
        <v>4</v>
      </c>
      <c r="AO2573" s="87">
        <v>8</v>
      </c>
      <c r="AP2573" s="87">
        <v>2</v>
      </c>
      <c r="AQ2573" s="87">
        <v>4</v>
      </c>
      <c r="AR2573" s="87">
        <v>7</v>
      </c>
      <c r="AS2573" s="87"/>
      <c r="AT2573" s="87">
        <v>2</v>
      </c>
      <c r="AU2573" s="87">
        <v>6</v>
      </c>
      <c r="AV2573" s="87"/>
      <c r="AW2573" s="88" t="str">
        <f>HYPERLINK("http://www.openstreetmap.org/?mlat=34.6368&amp;mlon=45.3383&amp;zoom=12#map=12/34.6368/45.3383","Maplink1")</f>
        <v>Maplink1</v>
      </c>
      <c r="AX2573" s="88" t="str">
        <f>HYPERLINK("https://www.google.iq/maps/search/+34.6368,45.3383/@34.6368,45.3383,14z?hl=en","Maplink2")</f>
        <v>Maplink2</v>
      </c>
      <c r="AY2573" s="88" t="str">
        <f>HYPERLINK("http://www.bing.com/maps/?lvl=14&amp;sty=h&amp;cp=34.6368~45.3383&amp;sp=point.34.6368_45.3383","Maplink3")</f>
        <v>Maplink3</v>
      </c>
      <c r="AZ2573" s="76"/>
    </row>
    <row r="2574" spans="1:52" x14ac:dyDescent="0.25">
      <c r="A2574" s="86">
        <v>5995</v>
      </c>
      <c r="B2574" s="87" t="s">
        <v>27</v>
      </c>
      <c r="C2574" s="87" t="s">
        <v>4878</v>
      </c>
      <c r="D2574" s="87" t="s">
        <v>4903</v>
      </c>
      <c r="E2574" s="87" t="s">
        <v>4904</v>
      </c>
      <c r="F2574" s="87">
        <v>34.586378942000003</v>
      </c>
      <c r="G2574" s="87">
        <v>45.289687399999998</v>
      </c>
      <c r="H2574" s="86">
        <v>112</v>
      </c>
      <c r="I2574" s="86">
        <v>672</v>
      </c>
      <c r="J2574" s="87">
        <v>2</v>
      </c>
      <c r="K2574" s="87">
        <v>1</v>
      </c>
      <c r="L2574" s="87"/>
      <c r="M2574" s="87"/>
      <c r="N2574" s="87"/>
      <c r="O2574" s="87">
        <v>94</v>
      </c>
      <c r="P2574" s="87"/>
      <c r="Q2574" s="87"/>
      <c r="R2574" s="87"/>
      <c r="S2574" s="87"/>
      <c r="T2574" s="87"/>
      <c r="U2574" s="87"/>
      <c r="V2574" s="87"/>
      <c r="W2574" s="87"/>
      <c r="X2574" s="87">
        <v>15</v>
      </c>
      <c r="Y2574" s="87"/>
      <c r="Z2574" s="87"/>
      <c r="AA2574" s="87"/>
      <c r="AB2574" s="87"/>
      <c r="AC2574" s="87"/>
      <c r="AD2574" s="87"/>
      <c r="AE2574" s="87"/>
      <c r="AF2574" s="87"/>
      <c r="AG2574" s="87"/>
      <c r="AH2574" s="87">
        <v>112</v>
      </c>
      <c r="AI2574" s="87"/>
      <c r="AJ2574" s="87"/>
      <c r="AK2574" s="87"/>
      <c r="AL2574" s="87"/>
      <c r="AM2574" s="87"/>
      <c r="AN2574" s="87">
        <v>3</v>
      </c>
      <c r="AO2574" s="87">
        <v>21</v>
      </c>
      <c r="AP2574" s="87">
        <v>12</v>
      </c>
      <c r="AQ2574" s="87">
        <v>33</v>
      </c>
      <c r="AR2574" s="87">
        <v>19</v>
      </c>
      <c r="AS2574" s="87">
        <v>5</v>
      </c>
      <c r="AT2574" s="87">
        <v>8</v>
      </c>
      <c r="AU2574" s="87">
        <v>11</v>
      </c>
      <c r="AV2574" s="87"/>
      <c r="AW2574" s="88" t="str">
        <f>HYPERLINK("http://www.openstreetmap.org/?mlat=34.5864&amp;mlon=45.2897&amp;zoom=12#map=12/34.5864/45.2897","Maplink1")</f>
        <v>Maplink1</v>
      </c>
      <c r="AX2574" s="88" t="str">
        <f>HYPERLINK("https://www.google.iq/maps/search/+34.5864,45.2897/@34.5864,45.2897,14z?hl=en","Maplink2")</f>
        <v>Maplink2</v>
      </c>
      <c r="AY2574" s="88" t="str">
        <f>HYPERLINK("http://www.bing.com/maps/?lvl=14&amp;sty=h&amp;cp=34.5864~45.2897&amp;sp=point.34.5864_45.2897","Maplink3")</f>
        <v>Maplink3</v>
      </c>
      <c r="AZ2574" s="76"/>
    </row>
    <row r="2575" spans="1:52" x14ac:dyDescent="0.25">
      <c r="A2575" s="86">
        <v>24892</v>
      </c>
      <c r="B2575" s="87" t="s">
        <v>27</v>
      </c>
      <c r="C2575" s="87" t="s">
        <v>4878</v>
      </c>
      <c r="D2575" s="87" t="s">
        <v>4905</v>
      </c>
      <c r="E2575" s="87" t="s">
        <v>4906</v>
      </c>
      <c r="F2575" s="87">
        <v>34.6157436182</v>
      </c>
      <c r="G2575" s="87">
        <v>45.308976100000002</v>
      </c>
      <c r="H2575" s="86">
        <v>88</v>
      </c>
      <c r="I2575" s="86">
        <v>528</v>
      </c>
      <c r="J2575" s="87">
        <v>1</v>
      </c>
      <c r="K2575" s="87"/>
      <c r="L2575" s="87">
        <v>5</v>
      </c>
      <c r="M2575" s="87"/>
      <c r="N2575" s="87"/>
      <c r="O2575" s="87">
        <v>65</v>
      </c>
      <c r="P2575" s="87"/>
      <c r="Q2575" s="87"/>
      <c r="R2575" s="87"/>
      <c r="S2575" s="87"/>
      <c r="T2575" s="87"/>
      <c r="U2575" s="87"/>
      <c r="V2575" s="87"/>
      <c r="W2575" s="87"/>
      <c r="X2575" s="87">
        <v>17</v>
      </c>
      <c r="Y2575" s="87"/>
      <c r="Z2575" s="87"/>
      <c r="AA2575" s="87"/>
      <c r="AB2575" s="87"/>
      <c r="AC2575" s="87"/>
      <c r="AD2575" s="87"/>
      <c r="AE2575" s="87"/>
      <c r="AF2575" s="87"/>
      <c r="AG2575" s="87"/>
      <c r="AH2575" s="87">
        <v>88</v>
      </c>
      <c r="AI2575" s="87"/>
      <c r="AJ2575" s="87"/>
      <c r="AK2575" s="87"/>
      <c r="AL2575" s="87"/>
      <c r="AM2575" s="87"/>
      <c r="AN2575" s="87">
        <v>1</v>
      </c>
      <c r="AO2575" s="87">
        <v>22</v>
      </c>
      <c r="AP2575" s="87">
        <v>2</v>
      </c>
      <c r="AQ2575" s="87">
        <v>21</v>
      </c>
      <c r="AR2575" s="87">
        <v>5</v>
      </c>
      <c r="AS2575" s="87">
        <v>4</v>
      </c>
      <c r="AT2575" s="87">
        <v>18</v>
      </c>
      <c r="AU2575" s="87">
        <v>13</v>
      </c>
      <c r="AV2575" s="87">
        <v>2</v>
      </c>
      <c r="AW2575" s="88" t="str">
        <f>HYPERLINK("http://www.openstreetmap.org/?mlat=34.6157&amp;mlon=45.309&amp;zoom=12#map=12/34.6157/45.309","Maplink1")</f>
        <v>Maplink1</v>
      </c>
      <c r="AX2575" s="88" t="str">
        <f>HYPERLINK("https://www.google.iq/maps/search/+34.6157,45.309/@34.6157,45.309,14z?hl=en","Maplink2")</f>
        <v>Maplink2</v>
      </c>
      <c r="AY2575" s="88" t="str">
        <f>HYPERLINK("http://www.bing.com/maps/?lvl=14&amp;sty=h&amp;cp=34.6157~45.309&amp;sp=point.34.6157_45.309","Maplink3")</f>
        <v>Maplink3</v>
      </c>
      <c r="AZ2575" s="76"/>
    </row>
    <row r="2576" spans="1:52" x14ac:dyDescent="0.25">
      <c r="A2576" s="86">
        <v>21982</v>
      </c>
      <c r="B2576" s="87" t="s">
        <v>27</v>
      </c>
      <c r="C2576" s="87" t="s">
        <v>4878</v>
      </c>
      <c r="D2576" s="87" t="s">
        <v>4907</v>
      </c>
      <c r="E2576" s="87" t="s">
        <v>4906</v>
      </c>
      <c r="F2576" s="87">
        <v>34.658050832599997</v>
      </c>
      <c r="G2576" s="87">
        <v>45.246151599999997</v>
      </c>
      <c r="H2576" s="86">
        <v>102</v>
      </c>
      <c r="I2576" s="86">
        <v>612</v>
      </c>
      <c r="J2576" s="87">
        <v>3</v>
      </c>
      <c r="K2576" s="87">
        <v>15</v>
      </c>
      <c r="L2576" s="87">
        <v>2</v>
      </c>
      <c r="M2576" s="87"/>
      <c r="N2576" s="87"/>
      <c r="O2576" s="87">
        <v>56</v>
      </c>
      <c r="P2576" s="87"/>
      <c r="Q2576" s="87"/>
      <c r="R2576" s="87">
        <v>1</v>
      </c>
      <c r="S2576" s="87"/>
      <c r="T2576" s="87"/>
      <c r="U2576" s="87"/>
      <c r="V2576" s="87"/>
      <c r="W2576" s="87"/>
      <c r="X2576" s="87">
        <v>25</v>
      </c>
      <c r="Y2576" s="87"/>
      <c r="Z2576" s="87"/>
      <c r="AA2576" s="87"/>
      <c r="AB2576" s="87"/>
      <c r="AC2576" s="87"/>
      <c r="AD2576" s="87"/>
      <c r="AE2576" s="87"/>
      <c r="AF2576" s="87"/>
      <c r="AG2576" s="87"/>
      <c r="AH2576" s="87">
        <v>102</v>
      </c>
      <c r="AI2576" s="87"/>
      <c r="AJ2576" s="87"/>
      <c r="AK2576" s="87"/>
      <c r="AL2576" s="87"/>
      <c r="AM2576" s="87"/>
      <c r="AN2576" s="87">
        <v>17</v>
      </c>
      <c r="AO2576" s="87">
        <v>14</v>
      </c>
      <c r="AP2576" s="87">
        <v>3</v>
      </c>
      <c r="AQ2576" s="87">
        <v>32</v>
      </c>
      <c r="AR2576" s="87">
        <v>6</v>
      </c>
      <c r="AS2576" s="87">
        <v>3</v>
      </c>
      <c r="AT2576" s="87">
        <v>4</v>
      </c>
      <c r="AU2576" s="87">
        <v>22</v>
      </c>
      <c r="AV2576" s="87">
        <v>1</v>
      </c>
      <c r="AW2576" s="88" t="str">
        <f>HYPERLINK("http://www.openstreetmap.org/?mlat=34.6581&amp;mlon=45.2462&amp;zoom=12#map=12/34.6581/45.2462","Maplink1")</f>
        <v>Maplink1</v>
      </c>
      <c r="AX2576" s="88" t="str">
        <f>HYPERLINK("https://www.google.iq/maps/search/+34.6581,45.2462/@34.6581,45.2462,14z?hl=en","Maplink2")</f>
        <v>Maplink2</v>
      </c>
      <c r="AY2576" s="88" t="str">
        <f>HYPERLINK("http://www.bing.com/maps/?lvl=14&amp;sty=h&amp;cp=34.6581~45.2462&amp;sp=point.34.6581_45.2462","Maplink3")</f>
        <v>Maplink3</v>
      </c>
      <c r="AZ2576" s="76"/>
    </row>
    <row r="2577" spans="1:52" x14ac:dyDescent="0.25">
      <c r="A2577" s="86">
        <v>6286</v>
      </c>
      <c r="B2577" s="87" t="s">
        <v>27</v>
      </c>
      <c r="C2577" s="87" t="s">
        <v>4878</v>
      </c>
      <c r="D2577" s="87" t="s">
        <v>4908</v>
      </c>
      <c r="E2577" s="87" t="s">
        <v>4909</v>
      </c>
      <c r="F2577" s="87">
        <v>34.638031326700002</v>
      </c>
      <c r="G2577" s="87">
        <v>45.303124199999999</v>
      </c>
      <c r="H2577" s="86">
        <v>196</v>
      </c>
      <c r="I2577" s="86">
        <v>1176</v>
      </c>
      <c r="J2577" s="87">
        <v>4</v>
      </c>
      <c r="K2577" s="87"/>
      <c r="L2577" s="87">
        <v>6</v>
      </c>
      <c r="M2577" s="87"/>
      <c r="N2577" s="87"/>
      <c r="O2577" s="87">
        <v>119</v>
      </c>
      <c r="P2577" s="87"/>
      <c r="Q2577" s="87"/>
      <c r="R2577" s="87"/>
      <c r="S2577" s="87"/>
      <c r="T2577" s="87"/>
      <c r="U2577" s="87"/>
      <c r="V2577" s="87"/>
      <c r="W2577" s="87"/>
      <c r="X2577" s="87">
        <v>67</v>
      </c>
      <c r="Y2577" s="87"/>
      <c r="Z2577" s="87"/>
      <c r="AA2577" s="87"/>
      <c r="AB2577" s="87"/>
      <c r="AC2577" s="87"/>
      <c r="AD2577" s="87"/>
      <c r="AE2577" s="87"/>
      <c r="AF2577" s="87"/>
      <c r="AG2577" s="87"/>
      <c r="AH2577" s="87">
        <v>196</v>
      </c>
      <c r="AI2577" s="87"/>
      <c r="AJ2577" s="87"/>
      <c r="AK2577" s="87"/>
      <c r="AL2577" s="87"/>
      <c r="AM2577" s="87"/>
      <c r="AN2577" s="87"/>
      <c r="AO2577" s="87">
        <v>24</v>
      </c>
      <c r="AP2577" s="87">
        <v>10</v>
      </c>
      <c r="AQ2577" s="87">
        <v>34</v>
      </c>
      <c r="AR2577" s="87">
        <v>19</v>
      </c>
      <c r="AS2577" s="87">
        <v>6</v>
      </c>
      <c r="AT2577" s="87">
        <v>25</v>
      </c>
      <c r="AU2577" s="87">
        <v>78</v>
      </c>
      <c r="AV2577" s="87"/>
      <c r="AW2577" s="88" t="str">
        <f>HYPERLINK("http://www.openstreetmap.org/?mlat=34.638&amp;mlon=45.3031&amp;zoom=12#map=12/34.638/45.3031","Maplink1")</f>
        <v>Maplink1</v>
      </c>
      <c r="AX2577" s="88" t="str">
        <f>HYPERLINK("https://www.google.iq/maps/search/+34.638,45.3031/@34.638,45.3031,14z?hl=en","Maplink2")</f>
        <v>Maplink2</v>
      </c>
      <c r="AY2577" s="88" t="str">
        <f>HYPERLINK("http://www.bing.com/maps/?lvl=14&amp;sty=h&amp;cp=34.638~45.3031&amp;sp=point.34.638_45.3031","Maplink3")</f>
        <v>Maplink3</v>
      </c>
      <c r="AZ2577" s="76"/>
    </row>
    <row r="2578" spans="1:52" x14ac:dyDescent="0.25">
      <c r="A2578" s="86">
        <v>24893</v>
      </c>
      <c r="B2578" s="87" t="s">
        <v>27</v>
      </c>
      <c r="C2578" s="87" t="s">
        <v>4878</v>
      </c>
      <c r="D2578" s="87" t="s">
        <v>4910</v>
      </c>
      <c r="E2578" s="87" t="s">
        <v>4911</v>
      </c>
      <c r="F2578" s="87">
        <v>34.641410676</v>
      </c>
      <c r="G2578" s="87">
        <v>45.311070600000001</v>
      </c>
      <c r="H2578" s="86">
        <v>54</v>
      </c>
      <c r="I2578" s="86">
        <v>324</v>
      </c>
      <c r="J2578" s="87">
        <v>2</v>
      </c>
      <c r="K2578" s="87"/>
      <c r="L2578" s="87">
        <v>2</v>
      </c>
      <c r="M2578" s="87"/>
      <c r="N2578" s="87"/>
      <c r="O2578" s="87">
        <v>44</v>
      </c>
      <c r="P2578" s="87"/>
      <c r="Q2578" s="87"/>
      <c r="R2578" s="87"/>
      <c r="S2578" s="87"/>
      <c r="T2578" s="87"/>
      <c r="U2578" s="87"/>
      <c r="V2578" s="87"/>
      <c r="W2578" s="87"/>
      <c r="X2578" s="87">
        <v>6</v>
      </c>
      <c r="Y2578" s="87"/>
      <c r="Z2578" s="87"/>
      <c r="AA2578" s="87"/>
      <c r="AB2578" s="87"/>
      <c r="AC2578" s="87"/>
      <c r="AD2578" s="87"/>
      <c r="AE2578" s="87"/>
      <c r="AF2578" s="87"/>
      <c r="AG2578" s="87"/>
      <c r="AH2578" s="87">
        <v>54</v>
      </c>
      <c r="AI2578" s="87"/>
      <c r="AJ2578" s="87"/>
      <c r="AK2578" s="87"/>
      <c r="AL2578" s="87"/>
      <c r="AM2578" s="87"/>
      <c r="AN2578" s="87">
        <v>1</v>
      </c>
      <c r="AO2578" s="87">
        <v>3</v>
      </c>
      <c r="AP2578" s="87">
        <v>3</v>
      </c>
      <c r="AQ2578" s="87">
        <v>11</v>
      </c>
      <c r="AR2578" s="87">
        <v>6</v>
      </c>
      <c r="AS2578" s="87">
        <v>7</v>
      </c>
      <c r="AT2578" s="87">
        <v>9</v>
      </c>
      <c r="AU2578" s="87">
        <v>14</v>
      </c>
      <c r="AV2578" s="87"/>
      <c r="AW2578" s="88" t="str">
        <f>HYPERLINK("http://www.openstreetmap.org/?mlat=34.6414&amp;mlon=45.3111&amp;zoom=12#map=12/34.6414/45.3111","Maplink1")</f>
        <v>Maplink1</v>
      </c>
      <c r="AX2578" s="88" t="str">
        <f>HYPERLINK("https://www.google.iq/maps/search/+34.6414,45.3111/@34.6414,45.3111,14z?hl=en","Maplink2")</f>
        <v>Maplink2</v>
      </c>
      <c r="AY2578" s="88" t="str">
        <f>HYPERLINK("http://www.bing.com/maps/?lvl=14&amp;sty=h&amp;cp=34.6414~45.3111&amp;sp=point.34.6414_45.3111","Maplink3")</f>
        <v>Maplink3</v>
      </c>
      <c r="AZ2578" s="76"/>
    </row>
    <row r="2579" spans="1:52" x14ac:dyDescent="0.25">
      <c r="A2579" s="86">
        <v>32000</v>
      </c>
      <c r="B2579" s="87" t="s">
        <v>27</v>
      </c>
      <c r="C2579" s="87" t="s">
        <v>4878</v>
      </c>
      <c r="D2579" s="87" t="s">
        <v>2699</v>
      </c>
      <c r="E2579" s="87" t="s">
        <v>2700</v>
      </c>
      <c r="F2579" s="87">
        <v>34.6288886472</v>
      </c>
      <c r="G2579" s="87">
        <v>45.313813500000002</v>
      </c>
      <c r="H2579" s="86">
        <v>80</v>
      </c>
      <c r="I2579" s="86">
        <v>480</v>
      </c>
      <c r="J2579" s="87">
        <v>6</v>
      </c>
      <c r="K2579" s="87"/>
      <c r="L2579" s="87">
        <v>3</v>
      </c>
      <c r="M2579" s="87"/>
      <c r="N2579" s="87"/>
      <c r="O2579" s="87">
        <v>60</v>
      </c>
      <c r="P2579" s="87"/>
      <c r="Q2579" s="87"/>
      <c r="R2579" s="87"/>
      <c r="S2579" s="87"/>
      <c r="T2579" s="87"/>
      <c r="U2579" s="87"/>
      <c r="V2579" s="87"/>
      <c r="W2579" s="87"/>
      <c r="X2579" s="87">
        <v>11</v>
      </c>
      <c r="Y2579" s="87"/>
      <c r="Z2579" s="87"/>
      <c r="AA2579" s="87"/>
      <c r="AB2579" s="87"/>
      <c r="AC2579" s="87"/>
      <c r="AD2579" s="87"/>
      <c r="AE2579" s="87"/>
      <c r="AF2579" s="87"/>
      <c r="AG2579" s="87"/>
      <c r="AH2579" s="87">
        <v>80</v>
      </c>
      <c r="AI2579" s="87"/>
      <c r="AJ2579" s="87"/>
      <c r="AK2579" s="87"/>
      <c r="AL2579" s="87"/>
      <c r="AM2579" s="87"/>
      <c r="AN2579" s="87">
        <v>6</v>
      </c>
      <c r="AO2579" s="87">
        <v>21</v>
      </c>
      <c r="AP2579" s="87">
        <v>10</v>
      </c>
      <c r="AQ2579" s="87">
        <v>18</v>
      </c>
      <c r="AR2579" s="87">
        <v>8</v>
      </c>
      <c r="AS2579" s="87"/>
      <c r="AT2579" s="87">
        <v>10</v>
      </c>
      <c r="AU2579" s="87">
        <v>7</v>
      </c>
      <c r="AV2579" s="87"/>
      <c r="AW2579" s="88" t="str">
        <f>HYPERLINK("http://www.openstreetmap.org/?mlat=34.6289&amp;mlon=45.3138&amp;zoom=12#map=12/34.6289/45.3138","Maplink1")</f>
        <v>Maplink1</v>
      </c>
      <c r="AX2579" s="88" t="str">
        <f>HYPERLINK("https://www.google.iq/maps/search/+34.6289,45.3138/@34.6289,45.3138,14z?hl=en","Maplink2")</f>
        <v>Maplink2</v>
      </c>
      <c r="AY2579" s="88" t="str">
        <f>HYPERLINK("http://www.bing.com/maps/?lvl=14&amp;sty=h&amp;cp=34.6289~45.3138&amp;sp=point.34.6289_45.3138","Maplink3")</f>
        <v>Maplink3</v>
      </c>
      <c r="AZ2579" s="76"/>
    </row>
    <row r="2580" spans="1:52" x14ac:dyDescent="0.25">
      <c r="A2580" s="86">
        <v>21855</v>
      </c>
      <c r="B2580" s="87" t="s">
        <v>27</v>
      </c>
      <c r="C2580" s="87" t="s">
        <v>4878</v>
      </c>
      <c r="D2580" s="87" t="s">
        <v>4912</v>
      </c>
      <c r="E2580" s="87" t="s">
        <v>4913</v>
      </c>
      <c r="F2580" s="87">
        <v>34.667808879600003</v>
      </c>
      <c r="G2580" s="87">
        <v>45.228019199999999</v>
      </c>
      <c r="H2580" s="86">
        <v>109</v>
      </c>
      <c r="I2580" s="86">
        <v>654</v>
      </c>
      <c r="J2580" s="87">
        <v>1</v>
      </c>
      <c r="K2580" s="87">
        <v>19</v>
      </c>
      <c r="L2580" s="87">
        <v>3</v>
      </c>
      <c r="M2580" s="87"/>
      <c r="N2580" s="87"/>
      <c r="O2580" s="87">
        <v>65</v>
      </c>
      <c r="P2580" s="87"/>
      <c r="Q2580" s="87"/>
      <c r="R2580" s="87"/>
      <c r="S2580" s="87"/>
      <c r="T2580" s="87"/>
      <c r="U2580" s="87"/>
      <c r="V2580" s="87"/>
      <c r="W2580" s="87"/>
      <c r="X2580" s="87">
        <v>21</v>
      </c>
      <c r="Y2580" s="87"/>
      <c r="Z2580" s="87"/>
      <c r="AA2580" s="87"/>
      <c r="AB2580" s="87"/>
      <c r="AC2580" s="87"/>
      <c r="AD2580" s="87"/>
      <c r="AE2580" s="87"/>
      <c r="AF2580" s="87"/>
      <c r="AG2580" s="87"/>
      <c r="AH2580" s="87">
        <v>109</v>
      </c>
      <c r="AI2580" s="87"/>
      <c r="AJ2580" s="87"/>
      <c r="AK2580" s="87"/>
      <c r="AL2580" s="87"/>
      <c r="AM2580" s="87"/>
      <c r="AN2580" s="87">
        <v>18</v>
      </c>
      <c r="AO2580" s="87">
        <v>26</v>
      </c>
      <c r="AP2580" s="87">
        <v>6</v>
      </c>
      <c r="AQ2580" s="87">
        <v>21</v>
      </c>
      <c r="AR2580" s="87">
        <v>8</v>
      </c>
      <c r="AS2580" s="87">
        <v>2</v>
      </c>
      <c r="AT2580" s="87">
        <v>4</v>
      </c>
      <c r="AU2580" s="87">
        <v>24</v>
      </c>
      <c r="AV2580" s="87"/>
      <c r="AW2580" s="88" t="str">
        <f>HYPERLINK("http://www.openstreetmap.org/?mlat=34.6678&amp;mlon=45.228&amp;zoom=12#map=12/34.6678/45.228","Maplink1")</f>
        <v>Maplink1</v>
      </c>
      <c r="AX2580" s="88" t="str">
        <f>HYPERLINK("https://www.google.iq/maps/search/+34.6678,45.228/@34.6678,45.228,14z?hl=en","Maplink2")</f>
        <v>Maplink2</v>
      </c>
      <c r="AY2580" s="88" t="str">
        <f>HYPERLINK("http://www.bing.com/maps/?lvl=14&amp;sty=h&amp;cp=34.6678~45.228&amp;sp=point.34.6678_45.228","Maplink3")</f>
        <v>Maplink3</v>
      </c>
      <c r="AZ2580" s="76"/>
    </row>
    <row r="2581" spans="1:52" x14ac:dyDescent="0.25">
      <c r="A2581" s="86">
        <v>29694</v>
      </c>
      <c r="B2581" s="87" t="s">
        <v>27</v>
      </c>
      <c r="C2581" s="87" t="s">
        <v>4878</v>
      </c>
      <c r="D2581" s="87" t="s">
        <v>4914</v>
      </c>
      <c r="E2581" s="87" t="s">
        <v>4915</v>
      </c>
      <c r="F2581" s="87">
        <v>34.494495399999998</v>
      </c>
      <c r="G2581" s="87">
        <v>45.109598900000002</v>
      </c>
      <c r="H2581" s="86">
        <v>12</v>
      </c>
      <c r="I2581" s="86">
        <v>72</v>
      </c>
      <c r="J2581" s="87"/>
      <c r="K2581" s="87"/>
      <c r="L2581" s="87"/>
      <c r="M2581" s="87"/>
      <c r="N2581" s="87"/>
      <c r="O2581" s="87">
        <v>12</v>
      </c>
      <c r="P2581" s="87"/>
      <c r="Q2581" s="87"/>
      <c r="R2581" s="87"/>
      <c r="S2581" s="87"/>
      <c r="T2581" s="87"/>
      <c r="U2581" s="87"/>
      <c r="V2581" s="87"/>
      <c r="W2581" s="87"/>
      <c r="X2581" s="87"/>
      <c r="Y2581" s="87"/>
      <c r="Z2581" s="87"/>
      <c r="AA2581" s="87"/>
      <c r="AB2581" s="87"/>
      <c r="AC2581" s="87">
        <v>12</v>
      </c>
      <c r="AD2581" s="87"/>
      <c r="AE2581" s="87"/>
      <c r="AF2581" s="87"/>
      <c r="AG2581" s="87"/>
      <c r="AH2581" s="87"/>
      <c r="AI2581" s="87"/>
      <c r="AJ2581" s="87"/>
      <c r="AK2581" s="87"/>
      <c r="AL2581" s="87"/>
      <c r="AM2581" s="87"/>
      <c r="AN2581" s="87"/>
      <c r="AO2581" s="87"/>
      <c r="AP2581" s="87">
        <v>12</v>
      </c>
      <c r="AQ2581" s="87"/>
      <c r="AR2581" s="87"/>
      <c r="AS2581" s="87"/>
      <c r="AT2581" s="87"/>
      <c r="AU2581" s="87"/>
      <c r="AV2581" s="87"/>
      <c r="AW2581" s="88" t="str">
        <f>HYPERLINK("http://www.openstreetmap.org/?mlat=34.4945&amp;mlon=45.1096&amp;zoom=12#map=12/34.4945/45.1096","Maplink1")</f>
        <v>Maplink1</v>
      </c>
      <c r="AX2581" s="88" t="str">
        <f>HYPERLINK("https://www.google.iq/maps/search/+34.4945,45.1096/@34.4945,45.1096,14z?hl=en","Maplink2")</f>
        <v>Maplink2</v>
      </c>
      <c r="AY2581" s="88" t="str">
        <f>HYPERLINK("http://www.bing.com/maps/?lvl=14&amp;sty=h&amp;cp=34.4945~45.1096&amp;sp=point.34.4945_45.1096","Maplink3")</f>
        <v>Maplink3</v>
      </c>
      <c r="AZ2581" s="76"/>
    </row>
    <row r="2582" spans="1:52" x14ac:dyDescent="0.25">
      <c r="A2582" s="86">
        <v>3903</v>
      </c>
      <c r="B2582" s="87" t="s">
        <v>27</v>
      </c>
      <c r="C2582" s="87" t="s">
        <v>4878</v>
      </c>
      <c r="D2582" s="87" t="s">
        <v>4916</v>
      </c>
      <c r="E2582" s="87" t="s">
        <v>4917</v>
      </c>
      <c r="F2582" s="87">
        <v>34.464798100000003</v>
      </c>
      <c r="G2582" s="87">
        <v>45.164735899999997</v>
      </c>
      <c r="H2582" s="86">
        <v>285</v>
      </c>
      <c r="I2582" s="86">
        <v>1710</v>
      </c>
      <c r="J2582" s="87"/>
      <c r="K2582" s="87"/>
      <c r="L2582" s="87">
        <v>2</v>
      </c>
      <c r="M2582" s="87"/>
      <c r="N2582" s="87"/>
      <c r="O2582" s="87">
        <v>270</v>
      </c>
      <c r="P2582" s="87"/>
      <c r="Q2582" s="87"/>
      <c r="R2582" s="87"/>
      <c r="S2582" s="87"/>
      <c r="T2582" s="87"/>
      <c r="U2582" s="87"/>
      <c r="V2582" s="87"/>
      <c r="W2582" s="87"/>
      <c r="X2582" s="87">
        <v>13</v>
      </c>
      <c r="Y2582" s="87"/>
      <c r="Z2582" s="87"/>
      <c r="AA2582" s="87"/>
      <c r="AB2582" s="87"/>
      <c r="AC2582" s="87"/>
      <c r="AD2582" s="87"/>
      <c r="AE2582" s="87"/>
      <c r="AF2582" s="87"/>
      <c r="AG2582" s="87"/>
      <c r="AH2582" s="87">
        <v>275</v>
      </c>
      <c r="AI2582" s="87"/>
      <c r="AJ2582" s="87"/>
      <c r="AK2582" s="87"/>
      <c r="AL2582" s="87">
        <v>10</v>
      </c>
      <c r="AM2582" s="87"/>
      <c r="AN2582" s="87">
        <v>72</v>
      </c>
      <c r="AO2582" s="87">
        <v>90</v>
      </c>
      <c r="AP2582" s="87">
        <v>35</v>
      </c>
      <c r="AQ2582" s="87">
        <v>38</v>
      </c>
      <c r="AR2582" s="87">
        <v>6</v>
      </c>
      <c r="AS2582" s="87">
        <v>8</v>
      </c>
      <c r="AT2582" s="87">
        <v>12</v>
      </c>
      <c r="AU2582" s="87">
        <v>20</v>
      </c>
      <c r="AV2582" s="87">
        <v>4</v>
      </c>
      <c r="AW2582" s="88" t="str">
        <f>HYPERLINK("http://www.openstreetmap.org/?mlat=34.4648&amp;mlon=45.1647&amp;zoom=12#map=12/34.4648/45.1647","Maplink1")</f>
        <v>Maplink1</v>
      </c>
      <c r="AX2582" s="88" t="str">
        <f>HYPERLINK("https://www.google.iq/maps/search/+34.4648,45.1647/@34.4648,45.1647,14z?hl=en","Maplink2")</f>
        <v>Maplink2</v>
      </c>
      <c r="AY2582" s="88" t="str">
        <f>HYPERLINK("http://www.bing.com/maps/?lvl=14&amp;sty=h&amp;cp=34.4648~45.1647&amp;sp=point.34.4648_45.1647","Maplink3")</f>
        <v>Maplink3</v>
      </c>
      <c r="AZ2582" s="76"/>
    </row>
    <row r="2583" spans="1:52" x14ac:dyDescent="0.25">
      <c r="A2583" s="86">
        <v>32001</v>
      </c>
      <c r="B2583" s="87" t="s">
        <v>27</v>
      </c>
      <c r="C2583" s="87" t="s">
        <v>4878</v>
      </c>
      <c r="D2583" s="87" t="s">
        <v>2715</v>
      </c>
      <c r="E2583" s="87" t="s">
        <v>2588</v>
      </c>
      <c r="F2583" s="87">
        <v>34.634237003000003</v>
      </c>
      <c r="G2583" s="87">
        <v>45.320597399999997</v>
      </c>
      <c r="H2583" s="86">
        <v>93</v>
      </c>
      <c r="I2583" s="86">
        <v>558</v>
      </c>
      <c r="J2583" s="87">
        <v>12</v>
      </c>
      <c r="K2583" s="87"/>
      <c r="L2583" s="87">
        <v>3</v>
      </c>
      <c r="M2583" s="87"/>
      <c r="N2583" s="87"/>
      <c r="O2583" s="87">
        <v>62</v>
      </c>
      <c r="P2583" s="87"/>
      <c r="Q2583" s="87"/>
      <c r="R2583" s="87"/>
      <c r="S2583" s="87"/>
      <c r="T2583" s="87"/>
      <c r="U2583" s="87"/>
      <c r="V2583" s="87"/>
      <c r="W2583" s="87"/>
      <c r="X2583" s="87">
        <v>16</v>
      </c>
      <c r="Y2583" s="87"/>
      <c r="Z2583" s="87"/>
      <c r="AA2583" s="87"/>
      <c r="AB2583" s="87"/>
      <c r="AC2583" s="87"/>
      <c r="AD2583" s="87"/>
      <c r="AE2583" s="87"/>
      <c r="AF2583" s="87"/>
      <c r="AG2583" s="87"/>
      <c r="AH2583" s="87">
        <v>93</v>
      </c>
      <c r="AI2583" s="87"/>
      <c r="AJ2583" s="87"/>
      <c r="AK2583" s="87"/>
      <c r="AL2583" s="87"/>
      <c r="AM2583" s="87"/>
      <c r="AN2583" s="87">
        <v>10</v>
      </c>
      <c r="AO2583" s="87">
        <v>26</v>
      </c>
      <c r="AP2583" s="87">
        <v>7</v>
      </c>
      <c r="AQ2583" s="87">
        <v>15</v>
      </c>
      <c r="AR2583" s="87">
        <v>10</v>
      </c>
      <c r="AS2583" s="87">
        <v>1</v>
      </c>
      <c r="AT2583" s="87">
        <v>12</v>
      </c>
      <c r="AU2583" s="87">
        <v>12</v>
      </c>
      <c r="AV2583" s="87"/>
      <c r="AW2583" s="88" t="str">
        <f>HYPERLINK("http://www.openstreetmap.org/?mlat=34.6342&amp;mlon=45.3206&amp;zoom=12#map=12/34.6342/45.3206","Maplink1")</f>
        <v>Maplink1</v>
      </c>
      <c r="AX2583" s="88" t="str">
        <f>HYPERLINK("https://www.google.iq/maps/search/+34.6342,45.3206/@34.6342,45.3206,14z?hl=en","Maplink2")</f>
        <v>Maplink2</v>
      </c>
      <c r="AY2583" s="88" t="str">
        <f>HYPERLINK("http://www.bing.com/maps/?lvl=14&amp;sty=h&amp;cp=34.6342~45.3206&amp;sp=point.34.6342_45.3206","Maplink3")</f>
        <v>Maplink3</v>
      </c>
      <c r="AZ2583" s="76"/>
    </row>
    <row r="2584" spans="1:52" x14ac:dyDescent="0.25">
      <c r="A2584" s="86">
        <v>32018</v>
      </c>
      <c r="B2584" s="87" t="s">
        <v>27</v>
      </c>
      <c r="C2584" s="87" t="s">
        <v>4878</v>
      </c>
      <c r="D2584" s="87" t="s">
        <v>4918</v>
      </c>
      <c r="E2584" s="87" t="s">
        <v>2039</v>
      </c>
      <c r="F2584" s="87">
        <v>34.637822258999996</v>
      </c>
      <c r="G2584" s="87">
        <v>45.340631299999998</v>
      </c>
      <c r="H2584" s="86">
        <v>9</v>
      </c>
      <c r="I2584" s="86">
        <v>54</v>
      </c>
      <c r="J2584" s="87"/>
      <c r="K2584" s="87"/>
      <c r="L2584" s="87">
        <v>2</v>
      </c>
      <c r="M2584" s="87"/>
      <c r="N2584" s="87"/>
      <c r="O2584" s="87">
        <v>7</v>
      </c>
      <c r="P2584" s="87"/>
      <c r="Q2584" s="87"/>
      <c r="R2584" s="87"/>
      <c r="S2584" s="87"/>
      <c r="T2584" s="87"/>
      <c r="U2584" s="87"/>
      <c r="V2584" s="87"/>
      <c r="W2584" s="87"/>
      <c r="X2584" s="87"/>
      <c r="Y2584" s="87"/>
      <c r="Z2584" s="87"/>
      <c r="AA2584" s="87"/>
      <c r="AB2584" s="87"/>
      <c r="AC2584" s="87"/>
      <c r="AD2584" s="87"/>
      <c r="AE2584" s="87"/>
      <c r="AF2584" s="87"/>
      <c r="AG2584" s="87"/>
      <c r="AH2584" s="87">
        <v>9</v>
      </c>
      <c r="AI2584" s="87"/>
      <c r="AJ2584" s="87"/>
      <c r="AK2584" s="87"/>
      <c r="AL2584" s="87"/>
      <c r="AM2584" s="87"/>
      <c r="AN2584" s="87"/>
      <c r="AO2584" s="87"/>
      <c r="AP2584" s="87">
        <v>5</v>
      </c>
      <c r="AQ2584" s="87">
        <v>2</v>
      </c>
      <c r="AR2584" s="87"/>
      <c r="AS2584" s="87"/>
      <c r="AT2584" s="87">
        <v>2</v>
      </c>
      <c r="AU2584" s="87"/>
      <c r="AV2584" s="87"/>
      <c r="AW2584" s="88" t="str">
        <f>HYPERLINK("http://www.openstreetmap.org/?mlat=34.6378&amp;mlon=45.3406&amp;zoom=12#map=12/34.6378/45.3406","Maplink1")</f>
        <v>Maplink1</v>
      </c>
      <c r="AX2584" s="88" t="str">
        <f>HYPERLINK("https://www.google.iq/maps/search/+34.6378,45.3406/@34.6378,45.3406,14z?hl=en","Maplink2")</f>
        <v>Maplink2</v>
      </c>
      <c r="AY2584" s="88" t="str">
        <f>HYPERLINK("http://www.bing.com/maps/?lvl=14&amp;sty=h&amp;cp=34.6378~45.3406&amp;sp=point.34.6378_45.3406","Maplink3")</f>
        <v>Maplink3</v>
      </c>
      <c r="AZ2584" s="76"/>
    </row>
    <row r="2585" spans="1:52" x14ac:dyDescent="0.25">
      <c r="A2585" s="86">
        <v>31928</v>
      </c>
      <c r="B2585" s="87" t="s">
        <v>27</v>
      </c>
      <c r="C2585" s="87" t="s">
        <v>4878</v>
      </c>
      <c r="D2585" s="87" t="s">
        <v>4918</v>
      </c>
      <c r="E2585" s="87" t="s">
        <v>2039</v>
      </c>
      <c r="F2585" s="87">
        <v>34.658363638799997</v>
      </c>
      <c r="G2585" s="87">
        <v>45.252084500000002</v>
      </c>
      <c r="H2585" s="86">
        <v>82</v>
      </c>
      <c r="I2585" s="86">
        <v>492</v>
      </c>
      <c r="J2585" s="87">
        <v>5</v>
      </c>
      <c r="K2585" s="87">
        <v>6</v>
      </c>
      <c r="L2585" s="87"/>
      <c r="M2585" s="87"/>
      <c r="N2585" s="87"/>
      <c r="O2585" s="87">
        <v>26</v>
      </c>
      <c r="P2585" s="87"/>
      <c r="Q2585" s="87"/>
      <c r="R2585" s="87"/>
      <c r="S2585" s="87"/>
      <c r="T2585" s="87"/>
      <c r="U2585" s="87"/>
      <c r="V2585" s="87"/>
      <c r="W2585" s="87"/>
      <c r="X2585" s="87">
        <v>45</v>
      </c>
      <c r="Y2585" s="87"/>
      <c r="Z2585" s="87"/>
      <c r="AA2585" s="87"/>
      <c r="AB2585" s="87"/>
      <c r="AC2585" s="87"/>
      <c r="AD2585" s="87"/>
      <c r="AE2585" s="87"/>
      <c r="AF2585" s="87"/>
      <c r="AG2585" s="87"/>
      <c r="AH2585" s="87">
        <v>82</v>
      </c>
      <c r="AI2585" s="87"/>
      <c r="AJ2585" s="87"/>
      <c r="AK2585" s="87"/>
      <c r="AL2585" s="87"/>
      <c r="AM2585" s="87"/>
      <c r="AN2585" s="87">
        <v>6</v>
      </c>
      <c r="AO2585" s="87">
        <v>6</v>
      </c>
      <c r="AP2585" s="87">
        <v>3</v>
      </c>
      <c r="AQ2585" s="87">
        <v>13</v>
      </c>
      <c r="AR2585" s="87">
        <v>9</v>
      </c>
      <c r="AS2585" s="87"/>
      <c r="AT2585" s="87">
        <v>2</v>
      </c>
      <c r="AU2585" s="87">
        <v>42</v>
      </c>
      <c r="AV2585" s="87">
        <v>1</v>
      </c>
      <c r="AW2585" s="88" t="str">
        <f>HYPERLINK("http://www.openstreetmap.org/?mlat=34.6584&amp;mlon=45.2521&amp;zoom=12#map=12/34.6584/45.2521","Maplink1")</f>
        <v>Maplink1</v>
      </c>
      <c r="AX2585" s="88" t="str">
        <f>HYPERLINK("https://www.google.iq/maps/search/+34.6584,45.2521/@34.6584,45.2521,14z?hl=en","Maplink2")</f>
        <v>Maplink2</v>
      </c>
      <c r="AY2585" s="88" t="str">
        <f>HYPERLINK("http://www.bing.com/maps/?lvl=14&amp;sty=h&amp;cp=34.6584~45.2521&amp;sp=point.34.6584_45.2521","Maplink3")</f>
        <v>Maplink3</v>
      </c>
      <c r="AZ2585" s="76"/>
    </row>
    <row r="2586" spans="1:52" x14ac:dyDescent="0.25">
      <c r="A2586" s="86">
        <v>5976</v>
      </c>
      <c r="B2586" s="87" t="s">
        <v>27</v>
      </c>
      <c r="C2586" s="87" t="s">
        <v>4878</v>
      </c>
      <c r="D2586" s="87" t="s">
        <v>4919</v>
      </c>
      <c r="E2586" s="87" t="s">
        <v>4920</v>
      </c>
      <c r="F2586" s="87">
        <v>34.818646800000003</v>
      </c>
      <c r="G2586" s="87">
        <v>45.509694099999997</v>
      </c>
      <c r="H2586" s="86">
        <v>40</v>
      </c>
      <c r="I2586" s="86">
        <v>240</v>
      </c>
      <c r="J2586" s="87">
        <v>2</v>
      </c>
      <c r="K2586" s="87"/>
      <c r="L2586" s="87">
        <v>2</v>
      </c>
      <c r="M2586" s="87"/>
      <c r="N2586" s="87"/>
      <c r="O2586" s="87">
        <v>32</v>
      </c>
      <c r="P2586" s="87"/>
      <c r="Q2586" s="87"/>
      <c r="R2586" s="87"/>
      <c r="S2586" s="87"/>
      <c r="T2586" s="87"/>
      <c r="U2586" s="87"/>
      <c r="V2586" s="87">
        <v>1</v>
      </c>
      <c r="W2586" s="87"/>
      <c r="X2586" s="87">
        <v>3</v>
      </c>
      <c r="Y2586" s="87"/>
      <c r="Z2586" s="87"/>
      <c r="AA2586" s="87"/>
      <c r="AB2586" s="87"/>
      <c r="AC2586" s="87"/>
      <c r="AD2586" s="87"/>
      <c r="AE2586" s="87"/>
      <c r="AF2586" s="87"/>
      <c r="AG2586" s="87"/>
      <c r="AH2586" s="87">
        <v>40</v>
      </c>
      <c r="AI2586" s="87"/>
      <c r="AJ2586" s="87"/>
      <c r="AK2586" s="87"/>
      <c r="AL2586" s="87"/>
      <c r="AM2586" s="87"/>
      <c r="AN2586" s="87">
        <v>4</v>
      </c>
      <c r="AO2586" s="87">
        <v>7</v>
      </c>
      <c r="AP2586" s="87">
        <v>6</v>
      </c>
      <c r="AQ2586" s="87">
        <v>10</v>
      </c>
      <c r="AR2586" s="87">
        <v>9</v>
      </c>
      <c r="AS2586" s="87"/>
      <c r="AT2586" s="87"/>
      <c r="AU2586" s="87">
        <v>4</v>
      </c>
      <c r="AV2586" s="87"/>
      <c r="AW2586" s="88" t="str">
        <f>HYPERLINK("http://www.openstreetmap.org/?mlat=34.8186&amp;mlon=45.5097&amp;zoom=12#map=12/34.8186/45.5097","Maplink1")</f>
        <v>Maplink1</v>
      </c>
      <c r="AX2586" s="88" t="str">
        <f>HYPERLINK("https://www.google.iq/maps/search/+34.8186,45.5097/@34.8186,45.5097,14z?hl=en","Maplink2")</f>
        <v>Maplink2</v>
      </c>
      <c r="AY2586" s="88" t="str">
        <f>HYPERLINK("http://www.bing.com/maps/?lvl=14&amp;sty=h&amp;cp=34.8186~45.5097&amp;sp=point.34.8186_45.5097","Maplink3")</f>
        <v>Maplink3</v>
      </c>
      <c r="AZ2586" s="76"/>
    </row>
    <row r="2587" spans="1:52" x14ac:dyDescent="0.25">
      <c r="A2587" s="86">
        <v>29688</v>
      </c>
      <c r="B2587" s="87" t="s">
        <v>27</v>
      </c>
      <c r="C2587" s="87" t="s">
        <v>4878</v>
      </c>
      <c r="D2587" s="87" t="s">
        <v>4921</v>
      </c>
      <c r="E2587" s="87" t="s">
        <v>4922</v>
      </c>
      <c r="F2587" s="87">
        <v>34.494592900000001</v>
      </c>
      <c r="G2587" s="87">
        <v>45.193731100000001</v>
      </c>
      <c r="H2587" s="86">
        <v>32</v>
      </c>
      <c r="I2587" s="86">
        <v>192</v>
      </c>
      <c r="J2587" s="87"/>
      <c r="K2587" s="87"/>
      <c r="L2587" s="87"/>
      <c r="M2587" s="87"/>
      <c r="N2587" s="87"/>
      <c r="O2587" s="87">
        <v>32</v>
      </c>
      <c r="P2587" s="87"/>
      <c r="Q2587" s="87"/>
      <c r="R2587" s="87"/>
      <c r="S2587" s="87"/>
      <c r="T2587" s="87"/>
      <c r="U2587" s="87"/>
      <c r="V2587" s="87"/>
      <c r="W2587" s="87"/>
      <c r="X2587" s="87"/>
      <c r="Y2587" s="87"/>
      <c r="Z2587" s="87"/>
      <c r="AA2587" s="87"/>
      <c r="AB2587" s="87"/>
      <c r="AC2587" s="87">
        <v>6</v>
      </c>
      <c r="AD2587" s="87"/>
      <c r="AE2587" s="87"/>
      <c r="AF2587" s="87"/>
      <c r="AG2587" s="87"/>
      <c r="AH2587" s="87">
        <v>18</v>
      </c>
      <c r="AI2587" s="87">
        <v>7</v>
      </c>
      <c r="AJ2587" s="87"/>
      <c r="AK2587" s="87">
        <v>1</v>
      </c>
      <c r="AL2587" s="87"/>
      <c r="AM2587" s="87"/>
      <c r="AN2587" s="87"/>
      <c r="AO2587" s="87"/>
      <c r="AP2587" s="87">
        <v>29</v>
      </c>
      <c r="AQ2587" s="87"/>
      <c r="AR2587" s="87"/>
      <c r="AS2587" s="87">
        <v>2</v>
      </c>
      <c r="AT2587" s="87"/>
      <c r="AU2587" s="87">
        <v>1</v>
      </c>
      <c r="AV2587" s="87"/>
      <c r="AW2587" s="88" t="str">
        <f>HYPERLINK("http://www.openstreetmap.org/?mlat=34.4946&amp;mlon=45.1937&amp;zoom=12#map=12/34.4946/45.1937","Maplink1")</f>
        <v>Maplink1</v>
      </c>
      <c r="AX2587" s="88" t="str">
        <f>HYPERLINK("https://www.google.iq/maps/search/+34.4946,45.1937/@34.4946,45.1937,14z?hl=en","Maplink2")</f>
        <v>Maplink2</v>
      </c>
      <c r="AY2587" s="88" t="str">
        <f>HYPERLINK("http://www.bing.com/maps/?lvl=14&amp;sty=h&amp;cp=34.4946~45.1937&amp;sp=point.34.4946_45.1937","Maplink3")</f>
        <v>Maplink3</v>
      </c>
      <c r="AZ2587" s="76"/>
    </row>
    <row r="2588" spans="1:52" x14ac:dyDescent="0.25">
      <c r="A2588" s="86">
        <v>21983</v>
      </c>
      <c r="B2588" s="87" t="s">
        <v>27</v>
      </c>
      <c r="C2588" s="87" t="s">
        <v>4878</v>
      </c>
      <c r="D2588" s="87" t="s">
        <v>4923</v>
      </c>
      <c r="E2588" s="87" t="s">
        <v>2597</v>
      </c>
      <c r="F2588" s="87">
        <v>34.628231519099998</v>
      </c>
      <c r="G2588" s="87">
        <v>45.312714200000002</v>
      </c>
      <c r="H2588" s="86">
        <v>66</v>
      </c>
      <c r="I2588" s="86">
        <v>396</v>
      </c>
      <c r="J2588" s="87">
        <v>7</v>
      </c>
      <c r="K2588" s="87"/>
      <c r="L2588" s="87">
        <v>7</v>
      </c>
      <c r="M2588" s="87"/>
      <c r="N2588" s="87"/>
      <c r="O2588" s="87">
        <v>43</v>
      </c>
      <c r="P2588" s="87"/>
      <c r="Q2588" s="87"/>
      <c r="R2588" s="87"/>
      <c r="S2588" s="87"/>
      <c r="T2588" s="87"/>
      <c r="U2588" s="87"/>
      <c r="V2588" s="87"/>
      <c r="W2588" s="87"/>
      <c r="X2588" s="87">
        <v>9</v>
      </c>
      <c r="Y2588" s="87"/>
      <c r="Z2588" s="87"/>
      <c r="AA2588" s="87"/>
      <c r="AB2588" s="87"/>
      <c r="AC2588" s="87"/>
      <c r="AD2588" s="87"/>
      <c r="AE2588" s="87"/>
      <c r="AF2588" s="87"/>
      <c r="AG2588" s="87"/>
      <c r="AH2588" s="87">
        <v>66</v>
      </c>
      <c r="AI2588" s="87"/>
      <c r="AJ2588" s="87"/>
      <c r="AK2588" s="87"/>
      <c r="AL2588" s="87"/>
      <c r="AM2588" s="87"/>
      <c r="AN2588" s="87">
        <v>6</v>
      </c>
      <c r="AO2588" s="87">
        <v>16</v>
      </c>
      <c r="AP2588" s="87">
        <v>5</v>
      </c>
      <c r="AQ2588" s="87">
        <v>11</v>
      </c>
      <c r="AR2588" s="87">
        <v>6</v>
      </c>
      <c r="AS2588" s="87">
        <v>2</v>
      </c>
      <c r="AT2588" s="87">
        <v>10</v>
      </c>
      <c r="AU2588" s="87">
        <v>10</v>
      </c>
      <c r="AV2588" s="87"/>
      <c r="AW2588" s="88" t="str">
        <f>HYPERLINK("http://www.openstreetmap.org/?mlat=34.6282&amp;mlon=45.3127&amp;zoom=12#map=12/34.6282/45.3127","Maplink1")</f>
        <v>Maplink1</v>
      </c>
      <c r="AX2588" s="88" t="str">
        <f>HYPERLINK("https://www.google.iq/maps/search/+34.6282,45.3127/@34.6282,45.3127,14z?hl=en","Maplink2")</f>
        <v>Maplink2</v>
      </c>
      <c r="AY2588" s="88" t="str">
        <f>HYPERLINK("http://www.bing.com/maps/?lvl=14&amp;sty=h&amp;cp=34.6282~45.3127&amp;sp=point.34.6282_45.3127","Maplink3")</f>
        <v>Maplink3</v>
      </c>
      <c r="AZ2588" s="76"/>
    </row>
    <row r="2589" spans="1:52" x14ac:dyDescent="0.25">
      <c r="A2589" s="86">
        <v>31997</v>
      </c>
      <c r="B2589" s="87" t="s">
        <v>27</v>
      </c>
      <c r="C2589" s="87" t="s">
        <v>4878</v>
      </c>
      <c r="D2589" s="87" t="s">
        <v>4924</v>
      </c>
      <c r="E2589" s="87" t="s">
        <v>2049</v>
      </c>
      <c r="F2589" s="87">
        <v>34.639149353400001</v>
      </c>
      <c r="G2589" s="87">
        <v>45.322009799999996</v>
      </c>
      <c r="H2589" s="86">
        <v>88</v>
      </c>
      <c r="I2589" s="86">
        <v>528</v>
      </c>
      <c r="J2589" s="87">
        <v>6</v>
      </c>
      <c r="K2589" s="87"/>
      <c r="L2589" s="87">
        <v>2</v>
      </c>
      <c r="M2589" s="87"/>
      <c r="N2589" s="87"/>
      <c r="O2589" s="87">
        <v>66</v>
      </c>
      <c r="P2589" s="87"/>
      <c r="Q2589" s="87"/>
      <c r="R2589" s="87"/>
      <c r="S2589" s="87"/>
      <c r="T2589" s="87"/>
      <c r="U2589" s="87"/>
      <c r="V2589" s="87"/>
      <c r="W2589" s="87"/>
      <c r="X2589" s="87">
        <v>14</v>
      </c>
      <c r="Y2589" s="87"/>
      <c r="Z2589" s="87"/>
      <c r="AA2589" s="87"/>
      <c r="AB2589" s="87"/>
      <c r="AC2589" s="87"/>
      <c r="AD2589" s="87"/>
      <c r="AE2589" s="87"/>
      <c r="AF2589" s="87"/>
      <c r="AG2589" s="87"/>
      <c r="AH2589" s="87">
        <v>88</v>
      </c>
      <c r="AI2589" s="87"/>
      <c r="AJ2589" s="87"/>
      <c r="AK2589" s="87"/>
      <c r="AL2589" s="87"/>
      <c r="AM2589" s="87"/>
      <c r="AN2589" s="87">
        <v>4</v>
      </c>
      <c r="AO2589" s="87">
        <v>22</v>
      </c>
      <c r="AP2589" s="87">
        <v>8</v>
      </c>
      <c r="AQ2589" s="87">
        <v>21</v>
      </c>
      <c r="AR2589" s="87">
        <v>12</v>
      </c>
      <c r="AS2589" s="87"/>
      <c r="AT2589" s="87">
        <v>11</v>
      </c>
      <c r="AU2589" s="87">
        <v>10</v>
      </c>
      <c r="AV2589" s="87"/>
      <c r="AW2589" s="88" t="str">
        <f>HYPERLINK("http://www.openstreetmap.org/?mlat=34.6391&amp;mlon=45.322&amp;zoom=12#map=12/34.6391/45.322","Maplink1")</f>
        <v>Maplink1</v>
      </c>
      <c r="AX2589" s="88" t="str">
        <f>HYPERLINK("https://www.google.iq/maps/search/+34.6391,45.322/@34.6391,45.322,14z?hl=en","Maplink2")</f>
        <v>Maplink2</v>
      </c>
      <c r="AY2589" s="88" t="str">
        <f>HYPERLINK("http://www.bing.com/maps/?lvl=14&amp;sty=h&amp;cp=34.6391~45.322&amp;sp=point.34.6391_45.322","Maplink3")</f>
        <v>Maplink3</v>
      </c>
      <c r="AZ2589" s="76"/>
    </row>
    <row r="2590" spans="1:52" x14ac:dyDescent="0.25">
      <c r="A2590" s="86">
        <v>29690</v>
      </c>
      <c r="B2590" s="87" t="s">
        <v>27</v>
      </c>
      <c r="C2590" s="87" t="s">
        <v>4878</v>
      </c>
      <c r="D2590" s="87" t="s">
        <v>4925</v>
      </c>
      <c r="E2590" s="87" t="s">
        <v>4926</v>
      </c>
      <c r="F2590" s="87">
        <v>34.551761300000003</v>
      </c>
      <c r="G2590" s="87">
        <v>45.025137299999997</v>
      </c>
      <c r="H2590" s="86">
        <v>8</v>
      </c>
      <c r="I2590" s="86">
        <v>48</v>
      </c>
      <c r="J2590" s="87"/>
      <c r="K2590" s="87"/>
      <c r="L2590" s="87"/>
      <c r="M2590" s="87"/>
      <c r="N2590" s="87"/>
      <c r="O2590" s="87">
        <v>8</v>
      </c>
      <c r="P2590" s="87"/>
      <c r="Q2590" s="87"/>
      <c r="R2590" s="87"/>
      <c r="S2590" s="87"/>
      <c r="T2590" s="87"/>
      <c r="U2590" s="87"/>
      <c r="V2590" s="87"/>
      <c r="W2590" s="87"/>
      <c r="X2590" s="87"/>
      <c r="Y2590" s="87"/>
      <c r="Z2590" s="87"/>
      <c r="AA2590" s="87"/>
      <c r="AB2590" s="87"/>
      <c r="AC2590" s="87">
        <v>5</v>
      </c>
      <c r="AD2590" s="87"/>
      <c r="AE2590" s="87"/>
      <c r="AF2590" s="87"/>
      <c r="AG2590" s="87"/>
      <c r="AH2590" s="87"/>
      <c r="AI2590" s="87"/>
      <c r="AJ2590" s="87">
        <v>3</v>
      </c>
      <c r="AK2590" s="87"/>
      <c r="AL2590" s="87"/>
      <c r="AM2590" s="87"/>
      <c r="AN2590" s="87"/>
      <c r="AO2590" s="87">
        <v>3</v>
      </c>
      <c r="AP2590" s="87">
        <v>5</v>
      </c>
      <c r="AQ2590" s="87"/>
      <c r="AR2590" s="87"/>
      <c r="AS2590" s="87"/>
      <c r="AT2590" s="87"/>
      <c r="AU2590" s="87"/>
      <c r="AV2590" s="87"/>
      <c r="AW2590" s="88" t="str">
        <f>HYPERLINK("http://www.openstreetmap.org/?mlat=34.5518&amp;mlon=45.0251&amp;zoom=12#map=12/34.5518/45.0251","Maplink1")</f>
        <v>Maplink1</v>
      </c>
      <c r="AX2590" s="88" t="str">
        <f>HYPERLINK("https://www.google.iq/maps/search/+34.5518,45.0251/@34.5518,45.0251,14z?hl=en","Maplink2")</f>
        <v>Maplink2</v>
      </c>
      <c r="AY2590" s="88" t="str">
        <f>HYPERLINK("http://www.bing.com/maps/?lvl=14&amp;sty=h&amp;cp=34.5518~45.0251&amp;sp=point.34.5518_45.0251","Maplink3")</f>
        <v>Maplink3</v>
      </c>
      <c r="AZ2590" s="76"/>
    </row>
    <row r="2591" spans="1:52" x14ac:dyDescent="0.25">
      <c r="A2591" s="86">
        <v>31930</v>
      </c>
      <c r="B2591" s="87" t="s">
        <v>27</v>
      </c>
      <c r="C2591" s="87" t="s">
        <v>4878</v>
      </c>
      <c r="D2591" s="87" t="s">
        <v>4927</v>
      </c>
      <c r="E2591" s="87" t="s">
        <v>4928</v>
      </c>
      <c r="F2591" s="87">
        <v>34.667929618800002</v>
      </c>
      <c r="G2591" s="87">
        <v>45.225186899999997</v>
      </c>
      <c r="H2591" s="86">
        <v>186</v>
      </c>
      <c r="I2591" s="86">
        <v>1116</v>
      </c>
      <c r="J2591" s="87">
        <v>5</v>
      </c>
      <c r="K2591" s="87">
        <v>68</v>
      </c>
      <c r="L2591" s="87"/>
      <c r="M2591" s="87"/>
      <c r="N2591" s="87"/>
      <c r="O2591" s="87">
        <v>61</v>
      </c>
      <c r="P2591" s="87"/>
      <c r="Q2591" s="87"/>
      <c r="R2591" s="87"/>
      <c r="S2591" s="87"/>
      <c r="T2591" s="87"/>
      <c r="U2591" s="87"/>
      <c r="V2591" s="87"/>
      <c r="W2591" s="87"/>
      <c r="X2591" s="87">
        <v>52</v>
      </c>
      <c r="Y2591" s="87"/>
      <c r="Z2591" s="87"/>
      <c r="AA2591" s="87"/>
      <c r="AB2591" s="87"/>
      <c r="AC2591" s="87"/>
      <c r="AD2591" s="87"/>
      <c r="AE2591" s="87"/>
      <c r="AF2591" s="87"/>
      <c r="AG2591" s="87"/>
      <c r="AH2591" s="87">
        <v>186</v>
      </c>
      <c r="AI2591" s="87"/>
      <c r="AJ2591" s="87"/>
      <c r="AK2591" s="87"/>
      <c r="AL2591" s="87"/>
      <c r="AM2591" s="87"/>
      <c r="AN2591" s="87">
        <v>29</v>
      </c>
      <c r="AO2591" s="87">
        <v>47</v>
      </c>
      <c r="AP2591" s="87">
        <v>11</v>
      </c>
      <c r="AQ2591" s="87">
        <v>28</v>
      </c>
      <c r="AR2591" s="87">
        <v>5</v>
      </c>
      <c r="AS2591" s="87">
        <v>1</v>
      </c>
      <c r="AT2591" s="87">
        <v>3</v>
      </c>
      <c r="AU2591" s="87">
        <v>61</v>
      </c>
      <c r="AV2591" s="87">
        <v>1</v>
      </c>
      <c r="AW2591" s="88" t="str">
        <f>HYPERLINK("http://www.openstreetmap.org/?mlat=34.6679&amp;mlon=45.2252&amp;zoom=12#map=12/34.6679/45.2252","Maplink1")</f>
        <v>Maplink1</v>
      </c>
      <c r="AX2591" s="88" t="str">
        <f>HYPERLINK("https://www.google.iq/maps/search/+34.6679,45.2252/@34.6679,45.2252,14z?hl=en","Maplink2")</f>
        <v>Maplink2</v>
      </c>
      <c r="AY2591" s="88" t="str">
        <f>HYPERLINK("http://www.bing.com/maps/?lvl=14&amp;sty=h&amp;cp=34.6679~45.2252&amp;sp=point.34.6679_45.2252","Maplink3")</f>
        <v>Maplink3</v>
      </c>
      <c r="AZ2591" s="76"/>
    </row>
    <row r="2592" spans="1:52" x14ac:dyDescent="0.25">
      <c r="A2592" s="86">
        <v>31999</v>
      </c>
      <c r="B2592" s="87" t="s">
        <v>27</v>
      </c>
      <c r="C2592" s="87" t="s">
        <v>4878</v>
      </c>
      <c r="D2592" s="87" t="s">
        <v>4929</v>
      </c>
      <c r="E2592" s="87" t="s">
        <v>4930</v>
      </c>
      <c r="F2592" s="87">
        <v>34.628864106000002</v>
      </c>
      <c r="G2592" s="87">
        <v>45.326411499999999</v>
      </c>
      <c r="H2592" s="86">
        <v>24</v>
      </c>
      <c r="I2592" s="86">
        <v>144</v>
      </c>
      <c r="J2592" s="87">
        <v>3</v>
      </c>
      <c r="K2592" s="87"/>
      <c r="L2592" s="87">
        <v>1</v>
      </c>
      <c r="M2592" s="87"/>
      <c r="N2592" s="87"/>
      <c r="O2592" s="87">
        <v>12</v>
      </c>
      <c r="P2592" s="87"/>
      <c r="Q2592" s="87"/>
      <c r="R2592" s="87">
        <v>1</v>
      </c>
      <c r="S2592" s="87"/>
      <c r="T2592" s="87"/>
      <c r="U2592" s="87"/>
      <c r="V2592" s="87"/>
      <c r="W2592" s="87"/>
      <c r="X2592" s="87">
        <v>7</v>
      </c>
      <c r="Y2592" s="87"/>
      <c r="Z2592" s="87"/>
      <c r="AA2592" s="87"/>
      <c r="AB2592" s="87"/>
      <c r="AC2592" s="87"/>
      <c r="AD2592" s="87"/>
      <c r="AE2592" s="87"/>
      <c r="AF2592" s="87"/>
      <c r="AG2592" s="87"/>
      <c r="AH2592" s="87">
        <v>24</v>
      </c>
      <c r="AI2592" s="87"/>
      <c r="AJ2592" s="87"/>
      <c r="AK2592" s="87"/>
      <c r="AL2592" s="87"/>
      <c r="AM2592" s="87"/>
      <c r="AN2592" s="87">
        <v>3</v>
      </c>
      <c r="AO2592" s="87">
        <v>3</v>
      </c>
      <c r="AP2592" s="87">
        <v>3</v>
      </c>
      <c r="AQ2592" s="87">
        <v>4</v>
      </c>
      <c r="AR2592" s="87"/>
      <c r="AS2592" s="87"/>
      <c r="AT2592" s="87">
        <v>4</v>
      </c>
      <c r="AU2592" s="87">
        <v>7</v>
      </c>
      <c r="AV2592" s="87"/>
      <c r="AW2592" s="88" t="str">
        <f>HYPERLINK("http://www.openstreetmap.org/?mlat=34.6289&amp;mlon=45.3264&amp;zoom=12#map=12/34.6289/45.3264","Maplink1")</f>
        <v>Maplink1</v>
      </c>
      <c r="AX2592" s="88" t="str">
        <f>HYPERLINK("https://www.google.iq/maps/search/+34.6289,45.3264/@34.6289,45.3264,14z?hl=en","Maplink2")</f>
        <v>Maplink2</v>
      </c>
      <c r="AY2592" s="88" t="str">
        <f>HYPERLINK("http://www.bing.com/maps/?lvl=14&amp;sty=h&amp;cp=34.6289~45.3264&amp;sp=point.34.6289_45.3264","Maplink3")</f>
        <v>Maplink3</v>
      </c>
      <c r="AZ2592" s="76"/>
    </row>
    <row r="2593" spans="1:52" x14ac:dyDescent="0.25">
      <c r="A2593" s="86">
        <v>23928</v>
      </c>
      <c r="B2593" s="87" t="s">
        <v>27</v>
      </c>
      <c r="C2593" s="87" t="s">
        <v>4878</v>
      </c>
      <c r="D2593" s="87" t="s">
        <v>2054</v>
      </c>
      <c r="E2593" s="87" t="s">
        <v>2055</v>
      </c>
      <c r="F2593" s="87">
        <v>34.634696748300001</v>
      </c>
      <c r="G2593" s="87">
        <v>45.323703399999999</v>
      </c>
      <c r="H2593" s="86">
        <v>41</v>
      </c>
      <c r="I2593" s="86">
        <v>246</v>
      </c>
      <c r="J2593" s="87"/>
      <c r="K2593" s="87"/>
      <c r="L2593" s="87">
        <v>1</v>
      </c>
      <c r="M2593" s="87"/>
      <c r="N2593" s="87"/>
      <c r="O2593" s="87">
        <v>7</v>
      </c>
      <c r="P2593" s="87"/>
      <c r="Q2593" s="87"/>
      <c r="R2593" s="87"/>
      <c r="S2593" s="87"/>
      <c r="T2593" s="87"/>
      <c r="U2593" s="87"/>
      <c r="V2593" s="87"/>
      <c r="W2593" s="87"/>
      <c r="X2593" s="87">
        <v>33</v>
      </c>
      <c r="Y2593" s="87"/>
      <c r="Z2593" s="87"/>
      <c r="AA2593" s="87"/>
      <c r="AB2593" s="87"/>
      <c r="AC2593" s="87"/>
      <c r="AD2593" s="87"/>
      <c r="AE2593" s="87"/>
      <c r="AF2593" s="87"/>
      <c r="AG2593" s="87"/>
      <c r="AH2593" s="87">
        <v>41</v>
      </c>
      <c r="AI2593" s="87"/>
      <c r="AJ2593" s="87"/>
      <c r="AK2593" s="87"/>
      <c r="AL2593" s="87"/>
      <c r="AM2593" s="87"/>
      <c r="AN2593" s="87"/>
      <c r="AO2593" s="87">
        <v>3</v>
      </c>
      <c r="AP2593" s="87"/>
      <c r="AQ2593" s="87"/>
      <c r="AR2593" s="87"/>
      <c r="AS2593" s="87"/>
      <c r="AT2593" s="87"/>
      <c r="AU2593" s="87">
        <v>38</v>
      </c>
      <c r="AV2593" s="87"/>
      <c r="AW2593" s="88" t="str">
        <f>HYPERLINK("http://www.openstreetmap.org/?mlat=34.6347&amp;mlon=45.3237&amp;zoom=12#map=12/34.6347/45.3237","Maplink1")</f>
        <v>Maplink1</v>
      </c>
      <c r="AX2593" s="88" t="str">
        <f>HYPERLINK("https://www.google.iq/maps/search/+34.6347,45.3237/@34.6347,45.3237,14z?hl=en","Maplink2")</f>
        <v>Maplink2</v>
      </c>
      <c r="AY2593" s="88" t="str">
        <f>HYPERLINK("http://www.bing.com/maps/?lvl=14&amp;sty=h&amp;cp=34.6347~45.3237&amp;sp=point.34.6347_45.3237","Maplink3")</f>
        <v>Maplink3</v>
      </c>
      <c r="AZ2593" s="76"/>
    </row>
    <row r="2594" spans="1:52" x14ac:dyDescent="0.25">
      <c r="A2594" s="86">
        <v>6161</v>
      </c>
      <c r="B2594" s="87" t="s">
        <v>27</v>
      </c>
      <c r="C2594" s="87" t="s">
        <v>4878</v>
      </c>
      <c r="D2594" s="87" t="s">
        <v>4931</v>
      </c>
      <c r="E2594" s="87" t="s">
        <v>4932</v>
      </c>
      <c r="F2594" s="87">
        <v>34.665568988399997</v>
      </c>
      <c r="G2594" s="87">
        <v>45.220216499999999</v>
      </c>
      <c r="H2594" s="86">
        <v>207</v>
      </c>
      <c r="I2594" s="86">
        <v>1242</v>
      </c>
      <c r="J2594" s="87"/>
      <c r="K2594" s="87">
        <v>53</v>
      </c>
      <c r="L2594" s="87">
        <v>2</v>
      </c>
      <c r="M2594" s="87"/>
      <c r="N2594" s="87"/>
      <c r="O2594" s="87">
        <v>126</v>
      </c>
      <c r="P2594" s="87"/>
      <c r="Q2594" s="87"/>
      <c r="R2594" s="87"/>
      <c r="S2594" s="87"/>
      <c r="T2594" s="87"/>
      <c r="U2594" s="87"/>
      <c r="V2594" s="87"/>
      <c r="W2594" s="87"/>
      <c r="X2594" s="87">
        <v>26</v>
      </c>
      <c r="Y2594" s="87"/>
      <c r="Z2594" s="87"/>
      <c r="AA2594" s="87"/>
      <c r="AB2594" s="87"/>
      <c r="AC2594" s="87"/>
      <c r="AD2594" s="87"/>
      <c r="AE2594" s="87"/>
      <c r="AF2594" s="87"/>
      <c r="AG2594" s="87"/>
      <c r="AH2594" s="87">
        <v>207</v>
      </c>
      <c r="AI2594" s="87"/>
      <c r="AJ2594" s="87"/>
      <c r="AK2594" s="87"/>
      <c r="AL2594" s="87"/>
      <c r="AM2594" s="87"/>
      <c r="AN2594" s="87">
        <v>54</v>
      </c>
      <c r="AO2594" s="87">
        <v>59</v>
      </c>
      <c r="AP2594" s="87">
        <v>13</v>
      </c>
      <c r="AQ2594" s="87">
        <v>26</v>
      </c>
      <c r="AR2594" s="87">
        <v>11</v>
      </c>
      <c r="AS2594" s="87">
        <v>4</v>
      </c>
      <c r="AT2594" s="87">
        <v>6</v>
      </c>
      <c r="AU2594" s="87">
        <v>33</v>
      </c>
      <c r="AV2594" s="87">
        <v>1</v>
      </c>
      <c r="AW2594" s="88" t="str">
        <f>HYPERLINK("http://www.openstreetmap.org/?mlat=34.6656&amp;mlon=45.2202&amp;zoom=12#map=12/34.6656/45.2202","Maplink1")</f>
        <v>Maplink1</v>
      </c>
      <c r="AX2594" s="88" t="str">
        <f>HYPERLINK("https://www.google.iq/maps/search/+34.6656,45.2202/@34.6656,45.2202,14z?hl=en","Maplink2")</f>
        <v>Maplink2</v>
      </c>
      <c r="AY2594" s="88" t="str">
        <f>HYPERLINK("http://www.bing.com/maps/?lvl=14&amp;sty=h&amp;cp=34.6656~45.2202&amp;sp=point.34.6656_45.2202","Maplink3")</f>
        <v>Maplink3</v>
      </c>
      <c r="AZ2594" s="76"/>
    </row>
    <row r="2595" spans="1:52" x14ac:dyDescent="0.25">
      <c r="A2595" s="86">
        <v>24962</v>
      </c>
      <c r="B2595" s="87" t="s">
        <v>27</v>
      </c>
      <c r="C2595" s="87" t="s">
        <v>4878</v>
      </c>
      <c r="D2595" s="87" t="s">
        <v>4933</v>
      </c>
      <c r="E2595" s="87" t="s">
        <v>2779</v>
      </c>
      <c r="F2595" s="87">
        <v>34.639643721100001</v>
      </c>
      <c r="G2595" s="87">
        <v>45.312903200000001</v>
      </c>
      <c r="H2595" s="86">
        <v>148</v>
      </c>
      <c r="I2595" s="86">
        <v>888</v>
      </c>
      <c r="J2595" s="87">
        <v>20</v>
      </c>
      <c r="K2595" s="87"/>
      <c r="L2595" s="87">
        <v>9</v>
      </c>
      <c r="M2595" s="87"/>
      <c r="N2595" s="87"/>
      <c r="O2595" s="87">
        <v>102</v>
      </c>
      <c r="P2595" s="87"/>
      <c r="Q2595" s="87"/>
      <c r="R2595" s="87"/>
      <c r="S2595" s="87"/>
      <c r="T2595" s="87"/>
      <c r="U2595" s="87"/>
      <c r="V2595" s="87">
        <v>4</v>
      </c>
      <c r="W2595" s="87"/>
      <c r="X2595" s="87">
        <v>13</v>
      </c>
      <c r="Y2595" s="87"/>
      <c r="Z2595" s="87"/>
      <c r="AA2595" s="87"/>
      <c r="AB2595" s="87"/>
      <c r="AC2595" s="87"/>
      <c r="AD2595" s="87"/>
      <c r="AE2595" s="87"/>
      <c r="AF2595" s="87"/>
      <c r="AG2595" s="87"/>
      <c r="AH2595" s="87">
        <v>148</v>
      </c>
      <c r="AI2595" s="87"/>
      <c r="AJ2595" s="87"/>
      <c r="AK2595" s="87"/>
      <c r="AL2595" s="87"/>
      <c r="AM2595" s="87"/>
      <c r="AN2595" s="87">
        <v>13</v>
      </c>
      <c r="AO2595" s="87">
        <v>18</v>
      </c>
      <c r="AP2595" s="87">
        <v>11</v>
      </c>
      <c r="AQ2595" s="87">
        <v>30</v>
      </c>
      <c r="AR2595" s="87">
        <v>13</v>
      </c>
      <c r="AS2595" s="87">
        <v>10</v>
      </c>
      <c r="AT2595" s="87">
        <v>29</v>
      </c>
      <c r="AU2595" s="87">
        <v>24</v>
      </c>
      <c r="AV2595" s="87"/>
      <c r="AW2595" s="88" t="str">
        <f>HYPERLINK("http://www.openstreetmap.org/?mlat=34.6396&amp;mlon=45.3129&amp;zoom=12#map=12/34.6396/45.3129","Maplink1")</f>
        <v>Maplink1</v>
      </c>
      <c r="AX2595" s="88" t="str">
        <f>HYPERLINK("https://www.google.iq/maps/search/+34.6396,45.3129/@34.6396,45.3129,14z?hl=en","Maplink2")</f>
        <v>Maplink2</v>
      </c>
      <c r="AY2595" s="88" t="str">
        <f>HYPERLINK("http://www.bing.com/maps/?lvl=14&amp;sty=h&amp;cp=34.6396~45.3129&amp;sp=point.34.6396_45.3129","Maplink3")</f>
        <v>Maplink3</v>
      </c>
      <c r="AZ2595" s="76"/>
    </row>
    <row r="2596" spans="1:52" x14ac:dyDescent="0.25">
      <c r="A2596" s="86">
        <v>6000</v>
      </c>
      <c r="B2596" s="87" t="s">
        <v>27</v>
      </c>
      <c r="C2596" s="87" t="s">
        <v>4878</v>
      </c>
      <c r="D2596" s="87" t="s">
        <v>4934</v>
      </c>
      <c r="E2596" s="87" t="s">
        <v>4935</v>
      </c>
      <c r="F2596" s="87">
        <v>34.555585700000002</v>
      </c>
      <c r="G2596" s="87">
        <v>45.248150500000001</v>
      </c>
      <c r="H2596" s="86">
        <v>199</v>
      </c>
      <c r="I2596" s="86">
        <v>1194</v>
      </c>
      <c r="J2596" s="87">
        <v>4</v>
      </c>
      <c r="K2596" s="87"/>
      <c r="L2596" s="87">
        <v>3</v>
      </c>
      <c r="M2596" s="87"/>
      <c r="N2596" s="87"/>
      <c r="O2596" s="87">
        <v>177</v>
      </c>
      <c r="P2596" s="87"/>
      <c r="Q2596" s="87"/>
      <c r="R2596" s="87"/>
      <c r="S2596" s="87"/>
      <c r="T2596" s="87"/>
      <c r="U2596" s="87"/>
      <c r="V2596" s="87"/>
      <c r="W2596" s="87"/>
      <c r="X2596" s="87">
        <v>15</v>
      </c>
      <c r="Y2596" s="87"/>
      <c r="Z2596" s="87"/>
      <c r="AA2596" s="87"/>
      <c r="AB2596" s="87"/>
      <c r="AC2596" s="87"/>
      <c r="AD2596" s="87"/>
      <c r="AE2596" s="87"/>
      <c r="AF2596" s="87"/>
      <c r="AG2596" s="87"/>
      <c r="AH2596" s="87">
        <v>199</v>
      </c>
      <c r="AI2596" s="87"/>
      <c r="AJ2596" s="87"/>
      <c r="AK2596" s="87"/>
      <c r="AL2596" s="87"/>
      <c r="AM2596" s="87"/>
      <c r="AN2596" s="87">
        <v>20</v>
      </c>
      <c r="AO2596" s="87">
        <v>29</v>
      </c>
      <c r="AP2596" s="87">
        <v>38</v>
      </c>
      <c r="AQ2596" s="87">
        <v>29</v>
      </c>
      <c r="AR2596" s="87">
        <v>8</v>
      </c>
      <c r="AS2596" s="87">
        <v>36</v>
      </c>
      <c r="AT2596" s="87">
        <v>7</v>
      </c>
      <c r="AU2596" s="87">
        <v>32</v>
      </c>
      <c r="AV2596" s="87"/>
      <c r="AW2596" s="88" t="str">
        <f>HYPERLINK("http://www.openstreetmap.org/?mlat=34.5556&amp;mlon=45.2482&amp;zoom=12#map=12/34.5556/45.2482","Maplink1")</f>
        <v>Maplink1</v>
      </c>
      <c r="AX2596" s="88" t="str">
        <f>HYPERLINK("https://www.google.iq/maps/search/+34.5556,45.2482/@34.5556,45.2482,14z?hl=en","Maplink2")</f>
        <v>Maplink2</v>
      </c>
      <c r="AY2596" s="88" t="str">
        <f>HYPERLINK("http://www.bing.com/maps/?lvl=14&amp;sty=h&amp;cp=34.5556~45.2482&amp;sp=point.34.5556_45.2482","Maplink3")</f>
        <v>Maplink3</v>
      </c>
      <c r="AZ2596" s="76"/>
    </row>
    <row r="2597" spans="1:52" x14ac:dyDescent="0.25">
      <c r="A2597" s="86">
        <v>23769</v>
      </c>
      <c r="B2597" s="87" t="s">
        <v>27</v>
      </c>
      <c r="C2597" s="87" t="s">
        <v>4878</v>
      </c>
      <c r="D2597" s="87" t="s">
        <v>4936</v>
      </c>
      <c r="E2597" s="87" t="s">
        <v>4937</v>
      </c>
      <c r="F2597" s="87">
        <v>34.610857675299997</v>
      </c>
      <c r="G2597" s="87">
        <v>45.316623800000002</v>
      </c>
      <c r="H2597" s="86">
        <v>41</v>
      </c>
      <c r="I2597" s="86">
        <v>246</v>
      </c>
      <c r="J2597" s="87">
        <v>5</v>
      </c>
      <c r="K2597" s="87"/>
      <c r="L2597" s="87">
        <v>2</v>
      </c>
      <c r="M2597" s="87"/>
      <c r="N2597" s="87"/>
      <c r="O2597" s="87">
        <v>27</v>
      </c>
      <c r="P2597" s="87"/>
      <c r="Q2597" s="87"/>
      <c r="R2597" s="87">
        <v>1</v>
      </c>
      <c r="S2597" s="87"/>
      <c r="T2597" s="87"/>
      <c r="U2597" s="87"/>
      <c r="V2597" s="87"/>
      <c r="W2597" s="87"/>
      <c r="X2597" s="87">
        <v>6</v>
      </c>
      <c r="Y2597" s="87"/>
      <c r="Z2597" s="87"/>
      <c r="AA2597" s="87"/>
      <c r="AB2597" s="87"/>
      <c r="AC2597" s="87"/>
      <c r="AD2597" s="87"/>
      <c r="AE2597" s="87"/>
      <c r="AF2597" s="87"/>
      <c r="AG2597" s="87"/>
      <c r="AH2597" s="87">
        <v>41</v>
      </c>
      <c r="AI2597" s="87"/>
      <c r="AJ2597" s="87"/>
      <c r="AK2597" s="87"/>
      <c r="AL2597" s="87"/>
      <c r="AM2597" s="87"/>
      <c r="AN2597" s="87">
        <v>6</v>
      </c>
      <c r="AO2597" s="87">
        <v>11</v>
      </c>
      <c r="AP2597" s="87">
        <v>1</v>
      </c>
      <c r="AQ2597" s="87">
        <v>7</v>
      </c>
      <c r="AR2597" s="87">
        <v>2</v>
      </c>
      <c r="AS2597" s="87">
        <v>1</v>
      </c>
      <c r="AT2597" s="87">
        <v>9</v>
      </c>
      <c r="AU2597" s="87">
        <v>4</v>
      </c>
      <c r="AV2597" s="87"/>
      <c r="AW2597" s="88" t="str">
        <f>HYPERLINK("http://www.openstreetmap.org/?mlat=34.6109&amp;mlon=45.3166&amp;zoom=12#map=12/34.6109/45.3166","Maplink1")</f>
        <v>Maplink1</v>
      </c>
      <c r="AX2597" s="88" t="str">
        <f>HYPERLINK("https://www.google.iq/maps/search/+34.6109,45.3166/@34.6109,45.3166,14z?hl=en","Maplink2")</f>
        <v>Maplink2</v>
      </c>
      <c r="AY2597" s="88" t="str">
        <f>HYPERLINK("http://www.bing.com/maps/?lvl=14&amp;sty=h&amp;cp=34.6109~45.3166&amp;sp=point.34.6109_45.3166","Maplink3")</f>
        <v>Maplink3</v>
      </c>
      <c r="AZ2597" s="76"/>
    </row>
    <row r="2598" spans="1:52" x14ac:dyDescent="0.25">
      <c r="A2598" s="86">
        <v>31998</v>
      </c>
      <c r="B2598" s="87" t="s">
        <v>27</v>
      </c>
      <c r="C2598" s="87" t="s">
        <v>4878</v>
      </c>
      <c r="D2598" s="87" t="s">
        <v>2784</v>
      </c>
      <c r="E2598" s="87" t="s">
        <v>2156</v>
      </c>
      <c r="F2598" s="87">
        <v>34.6213749096</v>
      </c>
      <c r="G2598" s="87">
        <v>45.309273099999999</v>
      </c>
      <c r="H2598" s="86">
        <v>52</v>
      </c>
      <c r="I2598" s="86">
        <v>312</v>
      </c>
      <c r="J2598" s="87">
        <v>2</v>
      </c>
      <c r="K2598" s="87"/>
      <c r="L2598" s="87">
        <v>5</v>
      </c>
      <c r="M2598" s="87"/>
      <c r="N2598" s="87"/>
      <c r="O2598" s="87">
        <v>41</v>
      </c>
      <c r="P2598" s="87"/>
      <c r="Q2598" s="87"/>
      <c r="R2598" s="87">
        <v>1</v>
      </c>
      <c r="S2598" s="87"/>
      <c r="T2598" s="87"/>
      <c r="U2598" s="87"/>
      <c r="V2598" s="87">
        <v>1</v>
      </c>
      <c r="W2598" s="87"/>
      <c r="X2598" s="87">
        <v>2</v>
      </c>
      <c r="Y2598" s="87"/>
      <c r="Z2598" s="87"/>
      <c r="AA2598" s="87"/>
      <c r="AB2598" s="87"/>
      <c r="AC2598" s="87"/>
      <c r="AD2598" s="87"/>
      <c r="AE2598" s="87"/>
      <c r="AF2598" s="87"/>
      <c r="AG2598" s="87"/>
      <c r="AH2598" s="87">
        <v>52</v>
      </c>
      <c r="AI2598" s="87"/>
      <c r="AJ2598" s="87"/>
      <c r="AK2598" s="87"/>
      <c r="AL2598" s="87"/>
      <c r="AM2598" s="87"/>
      <c r="AN2598" s="87">
        <v>1</v>
      </c>
      <c r="AO2598" s="87">
        <v>14</v>
      </c>
      <c r="AP2598" s="87">
        <v>3</v>
      </c>
      <c r="AQ2598" s="87">
        <v>3</v>
      </c>
      <c r="AR2598" s="87">
        <v>7</v>
      </c>
      <c r="AS2598" s="87">
        <v>5</v>
      </c>
      <c r="AT2598" s="87">
        <v>13</v>
      </c>
      <c r="AU2598" s="87">
        <v>6</v>
      </c>
      <c r="AV2598" s="87"/>
      <c r="AW2598" s="88" t="str">
        <f>HYPERLINK("http://www.openstreetmap.org/?mlat=34.6214&amp;mlon=45.3093&amp;zoom=12#map=12/34.6214/45.3093","Maplink1")</f>
        <v>Maplink1</v>
      </c>
      <c r="AX2598" s="88" t="str">
        <f>HYPERLINK("https://www.google.iq/maps/search/+34.6214,45.3093/@34.6214,45.3093,14z?hl=en","Maplink2")</f>
        <v>Maplink2</v>
      </c>
      <c r="AY2598" s="88" t="str">
        <f>HYPERLINK("http://www.bing.com/maps/?lvl=14&amp;sty=h&amp;cp=34.6214~45.3093&amp;sp=point.34.6214_45.3093","Maplink3")</f>
        <v>Maplink3</v>
      </c>
      <c r="AZ2598" s="76"/>
    </row>
    <row r="2599" spans="1:52" x14ac:dyDescent="0.25">
      <c r="A2599" s="86">
        <v>24890</v>
      </c>
      <c r="B2599" s="87" t="s">
        <v>27</v>
      </c>
      <c r="C2599" s="87" t="s">
        <v>4878</v>
      </c>
      <c r="D2599" s="87" t="s">
        <v>4938</v>
      </c>
      <c r="E2599" s="87" t="s">
        <v>4939</v>
      </c>
      <c r="F2599" s="87">
        <v>34.622312304799998</v>
      </c>
      <c r="G2599" s="87">
        <v>45.330438800000003</v>
      </c>
      <c r="H2599" s="86">
        <v>49</v>
      </c>
      <c r="I2599" s="86">
        <v>294</v>
      </c>
      <c r="J2599" s="87">
        <v>1</v>
      </c>
      <c r="K2599" s="87"/>
      <c r="L2599" s="87"/>
      <c r="M2599" s="87"/>
      <c r="N2599" s="87"/>
      <c r="O2599" s="87">
        <v>35</v>
      </c>
      <c r="P2599" s="87"/>
      <c r="Q2599" s="87"/>
      <c r="R2599" s="87">
        <v>1</v>
      </c>
      <c r="S2599" s="87"/>
      <c r="T2599" s="87"/>
      <c r="U2599" s="87"/>
      <c r="V2599" s="87">
        <v>1</v>
      </c>
      <c r="W2599" s="87"/>
      <c r="X2599" s="87">
        <v>11</v>
      </c>
      <c r="Y2599" s="87"/>
      <c r="Z2599" s="87"/>
      <c r="AA2599" s="87"/>
      <c r="AB2599" s="87"/>
      <c r="AC2599" s="87"/>
      <c r="AD2599" s="87"/>
      <c r="AE2599" s="87"/>
      <c r="AF2599" s="87"/>
      <c r="AG2599" s="87"/>
      <c r="AH2599" s="87">
        <v>49</v>
      </c>
      <c r="AI2599" s="87"/>
      <c r="AJ2599" s="87"/>
      <c r="AK2599" s="87"/>
      <c r="AL2599" s="87"/>
      <c r="AM2599" s="87"/>
      <c r="AN2599" s="87">
        <v>2</v>
      </c>
      <c r="AO2599" s="87">
        <v>9</v>
      </c>
      <c r="AP2599" s="87">
        <v>3</v>
      </c>
      <c r="AQ2599" s="87">
        <v>11</v>
      </c>
      <c r="AR2599" s="87">
        <v>3</v>
      </c>
      <c r="AS2599" s="87"/>
      <c r="AT2599" s="87">
        <v>4</v>
      </c>
      <c r="AU2599" s="87">
        <v>17</v>
      </c>
      <c r="AV2599" s="87"/>
      <c r="AW2599" s="88" t="str">
        <f>HYPERLINK("http://www.openstreetmap.org/?mlat=34.6223&amp;mlon=45.3304&amp;zoom=12#map=12/34.6223/45.3304","Maplink1")</f>
        <v>Maplink1</v>
      </c>
      <c r="AX2599" s="88" t="str">
        <f>HYPERLINK("https://www.google.iq/maps/search/+34.6223,45.3304/@34.6223,45.3304,14z?hl=en","Maplink2")</f>
        <v>Maplink2</v>
      </c>
      <c r="AY2599" s="88" t="str">
        <f>HYPERLINK("http://www.bing.com/maps/?lvl=14&amp;sty=h&amp;cp=34.6223~45.3304&amp;sp=point.34.6223_45.3304","Maplink3")</f>
        <v>Maplink3</v>
      </c>
      <c r="AZ2599" s="76"/>
    </row>
    <row r="2600" spans="1:52" x14ac:dyDescent="0.25">
      <c r="A2600" s="86">
        <v>29695</v>
      </c>
      <c r="B2600" s="87" t="s">
        <v>27</v>
      </c>
      <c r="C2600" s="87" t="s">
        <v>4878</v>
      </c>
      <c r="D2600" s="87" t="s">
        <v>4940</v>
      </c>
      <c r="E2600" s="87" t="s">
        <v>4941</v>
      </c>
      <c r="F2600" s="87">
        <v>34.490628000000001</v>
      </c>
      <c r="G2600" s="87">
        <v>45.1194962</v>
      </c>
      <c r="H2600" s="86">
        <v>7</v>
      </c>
      <c r="I2600" s="86">
        <v>42</v>
      </c>
      <c r="J2600" s="87"/>
      <c r="K2600" s="87"/>
      <c r="L2600" s="87"/>
      <c r="M2600" s="87"/>
      <c r="N2600" s="87"/>
      <c r="O2600" s="87">
        <v>7</v>
      </c>
      <c r="P2600" s="87"/>
      <c r="Q2600" s="87"/>
      <c r="R2600" s="87"/>
      <c r="S2600" s="87"/>
      <c r="T2600" s="87"/>
      <c r="U2600" s="87"/>
      <c r="V2600" s="87"/>
      <c r="W2600" s="87"/>
      <c r="X2600" s="87"/>
      <c r="Y2600" s="87"/>
      <c r="Z2600" s="87"/>
      <c r="AA2600" s="87"/>
      <c r="AB2600" s="87"/>
      <c r="AC2600" s="87">
        <v>7</v>
      </c>
      <c r="AD2600" s="87"/>
      <c r="AE2600" s="87"/>
      <c r="AF2600" s="87"/>
      <c r="AG2600" s="87"/>
      <c r="AH2600" s="87"/>
      <c r="AI2600" s="87"/>
      <c r="AJ2600" s="87"/>
      <c r="AK2600" s="87"/>
      <c r="AL2600" s="87"/>
      <c r="AM2600" s="87"/>
      <c r="AN2600" s="87"/>
      <c r="AO2600" s="87">
        <v>6</v>
      </c>
      <c r="AP2600" s="87"/>
      <c r="AQ2600" s="87">
        <v>1</v>
      </c>
      <c r="AR2600" s="87"/>
      <c r="AS2600" s="87"/>
      <c r="AT2600" s="87"/>
      <c r="AU2600" s="87"/>
      <c r="AV2600" s="87"/>
      <c r="AW2600" s="88" t="str">
        <f>HYPERLINK("http://www.openstreetmap.org/?mlat=34.4906&amp;mlon=45.1195&amp;zoom=12#map=12/34.4906/45.1195","Maplink1")</f>
        <v>Maplink1</v>
      </c>
      <c r="AX2600" s="88" t="str">
        <f>HYPERLINK("https://www.google.iq/maps/search/+34.4906,45.1195/@34.4906,45.1195,14z?hl=en","Maplink2")</f>
        <v>Maplink2</v>
      </c>
      <c r="AY2600" s="88" t="str">
        <f>HYPERLINK("http://www.bing.com/maps/?lvl=14&amp;sty=h&amp;cp=34.4906~45.1195&amp;sp=point.34.4906_45.1195","Maplink3")</f>
        <v>Maplink3</v>
      </c>
      <c r="AZ2600" s="76"/>
    </row>
    <row r="2601" spans="1:52" x14ac:dyDescent="0.25">
      <c r="A2601" s="86">
        <v>26072</v>
      </c>
      <c r="B2601" s="87" t="s">
        <v>27</v>
      </c>
      <c r="C2601" s="87" t="s">
        <v>4878</v>
      </c>
      <c r="D2601" s="87" t="s">
        <v>4942</v>
      </c>
      <c r="E2601" s="87" t="s">
        <v>4943</v>
      </c>
      <c r="F2601" s="87">
        <v>34.7055127</v>
      </c>
      <c r="G2601" s="87">
        <v>45.4486086</v>
      </c>
      <c r="H2601" s="86">
        <v>273</v>
      </c>
      <c r="I2601" s="86">
        <v>1638</v>
      </c>
      <c r="J2601" s="87">
        <v>26</v>
      </c>
      <c r="K2601" s="87">
        <v>106</v>
      </c>
      <c r="L2601" s="87"/>
      <c r="M2601" s="87"/>
      <c r="N2601" s="87"/>
      <c r="O2601" s="87">
        <v>41</v>
      </c>
      <c r="P2601" s="87"/>
      <c r="Q2601" s="87"/>
      <c r="R2601" s="87"/>
      <c r="S2601" s="87"/>
      <c r="T2601" s="87"/>
      <c r="U2601" s="87"/>
      <c r="V2601" s="87">
        <v>23</v>
      </c>
      <c r="W2601" s="87"/>
      <c r="X2601" s="87">
        <v>77</v>
      </c>
      <c r="Y2601" s="87"/>
      <c r="Z2601" s="87"/>
      <c r="AA2601" s="87"/>
      <c r="AB2601" s="87">
        <v>273</v>
      </c>
      <c r="AC2601" s="87"/>
      <c r="AD2601" s="87"/>
      <c r="AE2601" s="87"/>
      <c r="AF2601" s="87"/>
      <c r="AG2601" s="87"/>
      <c r="AH2601" s="87"/>
      <c r="AI2601" s="87"/>
      <c r="AJ2601" s="87"/>
      <c r="AK2601" s="87"/>
      <c r="AL2601" s="87"/>
      <c r="AM2601" s="87"/>
      <c r="AN2601" s="87">
        <v>2</v>
      </c>
      <c r="AO2601" s="87">
        <v>73</v>
      </c>
      <c r="AP2601" s="87">
        <v>34</v>
      </c>
      <c r="AQ2601" s="87">
        <v>50</v>
      </c>
      <c r="AR2601" s="87">
        <v>15</v>
      </c>
      <c r="AS2601" s="87">
        <v>60</v>
      </c>
      <c r="AT2601" s="87">
        <v>33</v>
      </c>
      <c r="AU2601" s="87">
        <v>6</v>
      </c>
      <c r="AV2601" s="87"/>
      <c r="AW2601" s="88" t="str">
        <f>HYPERLINK("http://www.openstreetmap.org/?mlat=34.7055&amp;mlon=45.4486&amp;zoom=12#map=12/34.7055/45.4486","Maplink1")</f>
        <v>Maplink1</v>
      </c>
      <c r="AX2601" s="88" t="str">
        <f>HYPERLINK("https://www.google.iq/maps/search/+34.7055,45.4486/@34.7055,45.4486,14z?hl=en","Maplink2")</f>
        <v>Maplink2</v>
      </c>
      <c r="AY2601" s="88" t="str">
        <f>HYPERLINK("http://www.bing.com/maps/?lvl=14&amp;sty=h&amp;cp=34.7055~45.4486&amp;sp=point.34.7055_45.4486","Maplink3")</f>
        <v>Maplink3</v>
      </c>
      <c r="AZ2601" s="76"/>
    </row>
    <row r="2602" spans="1:52" x14ac:dyDescent="0.25">
      <c r="A2602" s="86">
        <v>31929</v>
      </c>
      <c r="B2602" s="87" t="s">
        <v>27</v>
      </c>
      <c r="C2602" s="87" t="s">
        <v>4878</v>
      </c>
      <c r="D2602" s="87" t="s">
        <v>4944</v>
      </c>
      <c r="E2602" s="87" t="s">
        <v>4945</v>
      </c>
      <c r="F2602" s="87">
        <v>34.655953408899997</v>
      </c>
      <c r="G2602" s="87">
        <v>45.2575523</v>
      </c>
      <c r="H2602" s="86">
        <v>94</v>
      </c>
      <c r="I2602" s="86">
        <v>564</v>
      </c>
      <c r="J2602" s="87">
        <v>6</v>
      </c>
      <c r="K2602" s="87">
        <v>6</v>
      </c>
      <c r="L2602" s="87">
        <v>2</v>
      </c>
      <c r="M2602" s="87"/>
      <c r="N2602" s="87"/>
      <c r="O2602" s="87">
        <v>54</v>
      </c>
      <c r="P2602" s="87"/>
      <c r="Q2602" s="87"/>
      <c r="R2602" s="87"/>
      <c r="S2602" s="87"/>
      <c r="T2602" s="87"/>
      <c r="U2602" s="87"/>
      <c r="V2602" s="87"/>
      <c r="W2602" s="87"/>
      <c r="X2602" s="87">
        <v>26</v>
      </c>
      <c r="Y2602" s="87"/>
      <c r="Z2602" s="87"/>
      <c r="AA2602" s="87"/>
      <c r="AB2602" s="87"/>
      <c r="AC2602" s="87"/>
      <c r="AD2602" s="87"/>
      <c r="AE2602" s="87"/>
      <c r="AF2602" s="87"/>
      <c r="AG2602" s="87"/>
      <c r="AH2602" s="87">
        <v>94</v>
      </c>
      <c r="AI2602" s="87"/>
      <c r="AJ2602" s="87"/>
      <c r="AK2602" s="87"/>
      <c r="AL2602" s="87"/>
      <c r="AM2602" s="87"/>
      <c r="AN2602" s="87">
        <v>5</v>
      </c>
      <c r="AO2602" s="87">
        <v>10</v>
      </c>
      <c r="AP2602" s="87">
        <v>2</v>
      </c>
      <c r="AQ2602" s="87">
        <v>15</v>
      </c>
      <c r="AR2602" s="87">
        <v>18</v>
      </c>
      <c r="AS2602" s="87">
        <v>5</v>
      </c>
      <c r="AT2602" s="87">
        <v>3</v>
      </c>
      <c r="AU2602" s="87">
        <v>33</v>
      </c>
      <c r="AV2602" s="87">
        <v>3</v>
      </c>
      <c r="AW2602" s="88" t="str">
        <f>HYPERLINK("http://www.openstreetmap.org/?mlat=34.656&amp;mlon=45.2576&amp;zoom=12#map=12/34.656/45.2576","Maplink1")</f>
        <v>Maplink1</v>
      </c>
      <c r="AX2602" s="88" t="str">
        <f>HYPERLINK("https://www.google.iq/maps/search/+34.656,45.2576/@34.656,45.2576,14z?hl=en","Maplink2")</f>
        <v>Maplink2</v>
      </c>
      <c r="AY2602" s="88" t="str">
        <f>HYPERLINK("http://www.bing.com/maps/?lvl=14&amp;sty=h&amp;cp=34.656~45.2576&amp;sp=point.34.656_45.2576","Maplink3")</f>
        <v>Maplink3</v>
      </c>
      <c r="AZ2602" s="76"/>
    </row>
    <row r="2603" spans="1:52" x14ac:dyDescent="0.25">
      <c r="A2603" s="86">
        <v>22459</v>
      </c>
      <c r="B2603" s="87" t="s">
        <v>27</v>
      </c>
      <c r="C2603" s="87" t="s">
        <v>4946</v>
      </c>
      <c r="D2603" s="87" t="s">
        <v>2715</v>
      </c>
      <c r="E2603" s="87" t="s">
        <v>2588</v>
      </c>
      <c r="F2603" s="87">
        <v>35.621629300000002</v>
      </c>
      <c r="G2603" s="87">
        <v>45.9502174</v>
      </c>
      <c r="H2603" s="86">
        <v>2</v>
      </c>
      <c r="I2603" s="86">
        <v>12</v>
      </c>
      <c r="J2603" s="87">
        <v>1</v>
      </c>
      <c r="K2603" s="87"/>
      <c r="L2603" s="87">
        <v>1</v>
      </c>
      <c r="M2603" s="87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  <c r="X2603" s="87"/>
      <c r="Y2603" s="87"/>
      <c r="Z2603" s="87"/>
      <c r="AA2603" s="87"/>
      <c r="AB2603" s="87"/>
      <c r="AC2603" s="87"/>
      <c r="AD2603" s="87"/>
      <c r="AE2603" s="87"/>
      <c r="AF2603" s="87"/>
      <c r="AG2603" s="87"/>
      <c r="AH2603" s="87">
        <v>2</v>
      </c>
      <c r="AI2603" s="87"/>
      <c r="AJ2603" s="87"/>
      <c r="AK2603" s="87"/>
      <c r="AL2603" s="87"/>
      <c r="AM2603" s="87"/>
      <c r="AN2603" s="87">
        <v>1</v>
      </c>
      <c r="AO2603" s="87"/>
      <c r="AP2603" s="87"/>
      <c r="AQ2603" s="87">
        <v>1</v>
      </c>
      <c r="AR2603" s="87"/>
      <c r="AS2603" s="87"/>
      <c r="AT2603" s="87"/>
      <c r="AU2603" s="87"/>
      <c r="AV2603" s="87"/>
      <c r="AW2603" s="88" t="str">
        <f>HYPERLINK("http://www.openstreetmap.org/?mlat=35.6216&amp;mlon=45.9502&amp;zoom=12#map=12/35.6216/45.9502","Maplink1")</f>
        <v>Maplink1</v>
      </c>
      <c r="AX2603" s="88" t="str">
        <f>HYPERLINK("https://www.google.iq/maps/search/+35.6216,45.9502/@35.6216,45.9502,14z?hl=en","Maplink2")</f>
        <v>Maplink2</v>
      </c>
      <c r="AY2603" s="88" t="str">
        <f>HYPERLINK("http://www.bing.com/maps/?lvl=14&amp;sty=h&amp;cp=35.6216~45.9502&amp;sp=point.35.6216_45.9502","Maplink3")</f>
        <v>Maplink3</v>
      </c>
      <c r="AZ2603" s="76"/>
    </row>
    <row r="2604" spans="1:52" x14ac:dyDescent="0.25">
      <c r="A2604" s="86">
        <v>22591</v>
      </c>
      <c r="B2604" s="87" t="s">
        <v>27</v>
      </c>
      <c r="C2604" s="87" t="s">
        <v>4946</v>
      </c>
      <c r="D2604" s="87" t="s">
        <v>2763</v>
      </c>
      <c r="E2604" s="87" t="s">
        <v>2049</v>
      </c>
      <c r="F2604" s="87">
        <v>35.630207599999999</v>
      </c>
      <c r="G2604" s="87">
        <v>45.9376222</v>
      </c>
      <c r="H2604" s="86">
        <v>3</v>
      </c>
      <c r="I2604" s="86">
        <v>18</v>
      </c>
      <c r="J2604" s="87"/>
      <c r="K2604" s="87"/>
      <c r="L2604" s="87"/>
      <c r="M2604" s="87"/>
      <c r="N2604" s="87"/>
      <c r="O2604" s="87">
        <v>1</v>
      </c>
      <c r="P2604" s="87"/>
      <c r="Q2604" s="87"/>
      <c r="R2604" s="87"/>
      <c r="S2604" s="87"/>
      <c r="T2604" s="87"/>
      <c r="U2604" s="87"/>
      <c r="V2604" s="87"/>
      <c r="W2604" s="87"/>
      <c r="X2604" s="87">
        <v>2</v>
      </c>
      <c r="Y2604" s="87"/>
      <c r="Z2604" s="87"/>
      <c r="AA2604" s="87"/>
      <c r="AB2604" s="87"/>
      <c r="AC2604" s="87"/>
      <c r="AD2604" s="87"/>
      <c r="AE2604" s="87"/>
      <c r="AF2604" s="87"/>
      <c r="AG2604" s="87"/>
      <c r="AH2604" s="87">
        <v>3</v>
      </c>
      <c r="AI2604" s="87"/>
      <c r="AJ2604" s="87"/>
      <c r="AK2604" s="87"/>
      <c r="AL2604" s="87"/>
      <c r="AM2604" s="87"/>
      <c r="AN2604" s="87">
        <v>1</v>
      </c>
      <c r="AO2604" s="87">
        <v>2</v>
      </c>
      <c r="AP2604" s="87"/>
      <c r="AQ2604" s="87"/>
      <c r="AR2604" s="87"/>
      <c r="AS2604" s="87"/>
      <c r="AT2604" s="87"/>
      <c r="AU2604" s="87"/>
      <c r="AV2604" s="87"/>
      <c r="AW2604" s="88" t="str">
        <f>HYPERLINK("http://www.openstreetmap.org/?mlat=35.6302&amp;mlon=45.9376&amp;zoom=12#map=12/35.6302/45.9376","Maplink1")</f>
        <v>Maplink1</v>
      </c>
      <c r="AX2604" s="88" t="str">
        <f>HYPERLINK("https://www.google.iq/maps/search/+35.6302,45.9376/@35.6302,45.9376,14z?hl=en","Maplink2")</f>
        <v>Maplink2</v>
      </c>
      <c r="AY2604" s="88" t="str">
        <f>HYPERLINK("http://www.bing.com/maps/?lvl=14&amp;sty=h&amp;cp=35.6302~45.9376&amp;sp=point.35.6302_45.9376","Maplink3")</f>
        <v>Maplink3</v>
      </c>
      <c r="AZ2604" s="76"/>
    </row>
    <row r="2605" spans="1:52" x14ac:dyDescent="0.25">
      <c r="A2605" s="86">
        <v>24669</v>
      </c>
      <c r="B2605" s="87" t="s">
        <v>27</v>
      </c>
      <c r="C2605" s="87" t="s">
        <v>4947</v>
      </c>
      <c r="D2605" s="87" t="s">
        <v>4948</v>
      </c>
      <c r="E2605" s="87" t="s">
        <v>4949</v>
      </c>
      <c r="F2605" s="87">
        <v>36.182805999999999</v>
      </c>
      <c r="G2605" s="87">
        <v>45.1353735</v>
      </c>
      <c r="H2605" s="86">
        <v>7</v>
      </c>
      <c r="I2605" s="86">
        <v>42</v>
      </c>
      <c r="J2605" s="87">
        <v>3</v>
      </c>
      <c r="K2605" s="87"/>
      <c r="L2605" s="87"/>
      <c r="M2605" s="87"/>
      <c r="N2605" s="87"/>
      <c r="O2605" s="87"/>
      <c r="P2605" s="87"/>
      <c r="Q2605" s="87"/>
      <c r="R2605" s="87">
        <v>4</v>
      </c>
      <c r="S2605" s="87"/>
      <c r="T2605" s="87"/>
      <c r="U2605" s="87"/>
      <c r="V2605" s="87"/>
      <c r="W2605" s="87"/>
      <c r="X2605" s="87"/>
      <c r="Y2605" s="87"/>
      <c r="Z2605" s="87"/>
      <c r="AA2605" s="87"/>
      <c r="AB2605" s="87"/>
      <c r="AC2605" s="87"/>
      <c r="AD2605" s="87"/>
      <c r="AE2605" s="87"/>
      <c r="AF2605" s="87"/>
      <c r="AG2605" s="87"/>
      <c r="AH2605" s="87">
        <v>7</v>
      </c>
      <c r="AI2605" s="87"/>
      <c r="AJ2605" s="87"/>
      <c r="AK2605" s="87"/>
      <c r="AL2605" s="87"/>
      <c r="AM2605" s="87"/>
      <c r="AN2605" s="87"/>
      <c r="AO2605" s="87"/>
      <c r="AP2605" s="87"/>
      <c r="AQ2605" s="87">
        <v>3</v>
      </c>
      <c r="AR2605" s="87"/>
      <c r="AS2605" s="87"/>
      <c r="AT2605" s="87"/>
      <c r="AU2605" s="87">
        <v>4</v>
      </c>
      <c r="AV2605" s="87"/>
      <c r="AW2605" s="88" t="str">
        <f>HYPERLINK("http://www.openstreetmap.org/?mlat=36.1828&amp;mlon=45.1354&amp;zoom=12#map=12/36.1828/45.1354","Maplink1")</f>
        <v>Maplink1</v>
      </c>
      <c r="AX2605" s="88" t="str">
        <f>HYPERLINK("https://www.google.iq/maps/search/+36.1828,45.1354/@36.1828,45.1354,14z?hl=en","Maplink2")</f>
        <v>Maplink2</v>
      </c>
      <c r="AY2605" s="88" t="str">
        <f>HYPERLINK("http://www.bing.com/maps/?lvl=14&amp;sty=h&amp;cp=36.1828~45.1354&amp;sp=point.36.1828_45.1354","Maplink3")</f>
        <v>Maplink3</v>
      </c>
      <c r="AZ2605" s="76"/>
    </row>
    <row r="2606" spans="1:52" x14ac:dyDescent="0.25">
      <c r="A2606" s="86">
        <v>31849</v>
      </c>
      <c r="B2606" s="87" t="s">
        <v>27</v>
      </c>
      <c r="C2606" s="87" t="s">
        <v>4947</v>
      </c>
      <c r="D2606" s="87" t="s">
        <v>4755</v>
      </c>
      <c r="E2606" s="87" t="s">
        <v>4756</v>
      </c>
      <c r="F2606" s="87">
        <v>36.249233099999998</v>
      </c>
      <c r="G2606" s="87">
        <v>45.0070804</v>
      </c>
      <c r="H2606" s="86">
        <v>4</v>
      </c>
      <c r="I2606" s="86">
        <v>24</v>
      </c>
      <c r="J2606" s="87">
        <v>3</v>
      </c>
      <c r="K2606" s="87"/>
      <c r="L2606" s="87"/>
      <c r="M2606" s="87"/>
      <c r="N2606" s="87"/>
      <c r="O2606" s="87"/>
      <c r="P2606" s="87"/>
      <c r="Q2606" s="87"/>
      <c r="R2606" s="87"/>
      <c r="S2606" s="87"/>
      <c r="T2606" s="87"/>
      <c r="U2606" s="87"/>
      <c r="V2606" s="87">
        <v>1</v>
      </c>
      <c r="W2606" s="87"/>
      <c r="X2606" s="87"/>
      <c r="Y2606" s="87"/>
      <c r="Z2606" s="87"/>
      <c r="AA2606" s="87"/>
      <c r="AB2606" s="87"/>
      <c r="AC2606" s="87"/>
      <c r="AD2606" s="87"/>
      <c r="AE2606" s="87"/>
      <c r="AF2606" s="87"/>
      <c r="AG2606" s="87"/>
      <c r="AH2606" s="87">
        <v>4</v>
      </c>
      <c r="AI2606" s="87"/>
      <c r="AJ2606" s="87"/>
      <c r="AK2606" s="87"/>
      <c r="AL2606" s="87"/>
      <c r="AM2606" s="87"/>
      <c r="AN2606" s="87">
        <v>2</v>
      </c>
      <c r="AO2606" s="87"/>
      <c r="AP2606" s="87"/>
      <c r="AQ2606" s="87">
        <v>2</v>
      </c>
      <c r="AR2606" s="87"/>
      <c r="AS2606" s="87"/>
      <c r="AT2606" s="87"/>
      <c r="AU2606" s="87"/>
      <c r="AV2606" s="87"/>
      <c r="AW2606" s="88" t="str">
        <f>HYPERLINK("http://www.openstreetmap.org/?mlat=36.2492&amp;mlon=45.0071&amp;zoom=12#map=12/36.2492/45.0071","Maplink1")</f>
        <v>Maplink1</v>
      </c>
      <c r="AX2606" s="88" t="str">
        <f>HYPERLINK("https://www.google.iq/maps/search/+36.2492,45.0071/@36.2492,45.0071,14z?hl=en","Maplink2")</f>
        <v>Maplink2</v>
      </c>
      <c r="AY2606" s="88" t="str">
        <f>HYPERLINK("http://www.bing.com/maps/?lvl=14&amp;sty=h&amp;cp=36.2492~45.0071&amp;sp=point.36.2492_45.0071","Maplink3")</f>
        <v>Maplink3</v>
      </c>
      <c r="AZ2606" s="76"/>
    </row>
    <row r="2607" spans="1:52" x14ac:dyDescent="0.25">
      <c r="A2607" s="86">
        <v>31851</v>
      </c>
      <c r="B2607" s="87" t="s">
        <v>27</v>
      </c>
      <c r="C2607" s="87" t="s">
        <v>4947</v>
      </c>
      <c r="D2607" s="87" t="s">
        <v>1902</v>
      </c>
      <c r="E2607" s="87" t="s">
        <v>2817</v>
      </c>
      <c r="F2607" s="87">
        <v>36.253959700000003</v>
      </c>
      <c r="G2607" s="87">
        <v>45.006788700000001</v>
      </c>
      <c r="H2607" s="86">
        <v>1</v>
      </c>
      <c r="I2607" s="86">
        <v>6</v>
      </c>
      <c r="J2607" s="87">
        <v>1</v>
      </c>
      <c r="K2607" s="87"/>
      <c r="L2607" s="87"/>
      <c r="M2607" s="87"/>
      <c r="N2607" s="87"/>
      <c r="O2607" s="87"/>
      <c r="P2607" s="87"/>
      <c r="Q2607" s="87"/>
      <c r="R2607" s="87"/>
      <c r="S2607" s="87"/>
      <c r="T2607" s="87"/>
      <c r="U2607" s="87"/>
      <c r="V2607" s="87"/>
      <c r="W2607" s="87"/>
      <c r="X2607" s="87"/>
      <c r="Y2607" s="87"/>
      <c r="Z2607" s="87"/>
      <c r="AA2607" s="87"/>
      <c r="AB2607" s="87"/>
      <c r="AC2607" s="87"/>
      <c r="AD2607" s="87"/>
      <c r="AE2607" s="87"/>
      <c r="AF2607" s="87"/>
      <c r="AG2607" s="87"/>
      <c r="AH2607" s="87">
        <v>1</v>
      </c>
      <c r="AI2607" s="87"/>
      <c r="AJ2607" s="87"/>
      <c r="AK2607" s="87"/>
      <c r="AL2607" s="87"/>
      <c r="AM2607" s="87"/>
      <c r="AN2607" s="87"/>
      <c r="AO2607" s="87">
        <v>1</v>
      </c>
      <c r="AP2607" s="87"/>
      <c r="AQ2607" s="87"/>
      <c r="AR2607" s="87"/>
      <c r="AS2607" s="87"/>
      <c r="AT2607" s="87"/>
      <c r="AU2607" s="87"/>
      <c r="AV2607" s="87"/>
      <c r="AW2607" s="88" t="str">
        <f>HYPERLINK("http://www.openstreetmap.org/?mlat=36.254&amp;mlon=45.0068&amp;zoom=12#map=12/36.254/45.0068","Maplink1")</f>
        <v>Maplink1</v>
      </c>
      <c r="AX2607" s="88" t="str">
        <f>HYPERLINK("https://www.google.iq/maps/search/+36.254,45.0068/@36.254,45.0068,14z?hl=en","Maplink2")</f>
        <v>Maplink2</v>
      </c>
      <c r="AY2607" s="88" t="str">
        <f>HYPERLINK("http://www.bing.com/maps/?lvl=14&amp;sty=h&amp;cp=36.254~45.0068&amp;sp=point.36.254_45.0068","Maplink3")</f>
        <v>Maplink3</v>
      </c>
      <c r="AZ2607" s="76"/>
    </row>
    <row r="2608" spans="1:52" x14ac:dyDescent="0.25">
      <c r="A2608" s="86">
        <v>31853</v>
      </c>
      <c r="B2608" s="87" t="s">
        <v>27</v>
      </c>
      <c r="C2608" s="87" t="s">
        <v>4947</v>
      </c>
      <c r="D2608" s="87" t="s">
        <v>4950</v>
      </c>
      <c r="E2608" s="87" t="s">
        <v>4951</v>
      </c>
      <c r="F2608" s="87">
        <v>36.252594100000003</v>
      </c>
      <c r="G2608" s="87">
        <v>45.036033400000001</v>
      </c>
      <c r="H2608" s="86">
        <v>3</v>
      </c>
      <c r="I2608" s="86">
        <v>18</v>
      </c>
      <c r="J2608" s="87"/>
      <c r="K2608" s="87"/>
      <c r="L2608" s="87">
        <v>2</v>
      </c>
      <c r="M2608" s="87"/>
      <c r="N2608" s="87"/>
      <c r="O2608" s="87"/>
      <c r="P2608" s="87"/>
      <c r="Q2608" s="87"/>
      <c r="R2608" s="87"/>
      <c r="S2608" s="87"/>
      <c r="T2608" s="87"/>
      <c r="U2608" s="87"/>
      <c r="V2608" s="87">
        <v>1</v>
      </c>
      <c r="W2608" s="87"/>
      <c r="X2608" s="87"/>
      <c r="Y2608" s="87"/>
      <c r="Z2608" s="87"/>
      <c r="AA2608" s="87"/>
      <c r="AB2608" s="87"/>
      <c r="AC2608" s="87"/>
      <c r="AD2608" s="87"/>
      <c r="AE2608" s="87"/>
      <c r="AF2608" s="87"/>
      <c r="AG2608" s="87"/>
      <c r="AH2608" s="87">
        <v>3</v>
      </c>
      <c r="AI2608" s="87"/>
      <c r="AJ2608" s="87"/>
      <c r="AK2608" s="87"/>
      <c r="AL2608" s="87"/>
      <c r="AM2608" s="87"/>
      <c r="AN2608" s="87"/>
      <c r="AO2608" s="87"/>
      <c r="AP2608" s="87">
        <v>1</v>
      </c>
      <c r="AQ2608" s="87"/>
      <c r="AR2608" s="87"/>
      <c r="AS2608" s="87">
        <v>2</v>
      </c>
      <c r="AT2608" s="87"/>
      <c r="AU2608" s="87"/>
      <c r="AV2608" s="87"/>
      <c r="AW2608" s="88" t="str">
        <f>HYPERLINK("http://www.openstreetmap.org/?mlat=36.2526&amp;mlon=45.036&amp;zoom=12#map=12/36.2526/45.036","Maplink1")</f>
        <v>Maplink1</v>
      </c>
      <c r="AX2608" s="88" t="str">
        <f>HYPERLINK("https://www.google.iq/maps/search/+36.2526,45.036/@36.2526,45.036,14z?hl=en","Maplink2")</f>
        <v>Maplink2</v>
      </c>
      <c r="AY2608" s="88" t="str">
        <f>HYPERLINK("http://www.bing.com/maps/?lvl=14&amp;sty=h&amp;cp=36.2526~45.036&amp;sp=point.36.2526_45.036","Maplink3")</f>
        <v>Maplink3</v>
      </c>
      <c r="AZ2608" s="76"/>
    </row>
    <row r="2609" spans="1:52" x14ac:dyDescent="0.25">
      <c r="A2609" s="86">
        <v>31852</v>
      </c>
      <c r="B2609" s="87" t="s">
        <v>27</v>
      </c>
      <c r="C2609" s="87" t="s">
        <v>4947</v>
      </c>
      <c r="D2609" s="87" t="s">
        <v>4952</v>
      </c>
      <c r="E2609" s="87" t="s">
        <v>4953</v>
      </c>
      <c r="F2609" s="87">
        <v>36.241897000000002</v>
      </c>
      <c r="G2609" s="87">
        <v>45.0252895</v>
      </c>
      <c r="H2609" s="86">
        <v>2</v>
      </c>
      <c r="I2609" s="86">
        <v>12</v>
      </c>
      <c r="J2609" s="87">
        <v>2</v>
      </c>
      <c r="K2609" s="87"/>
      <c r="L2609" s="87"/>
      <c r="M2609" s="87"/>
      <c r="N2609" s="87"/>
      <c r="O2609" s="87"/>
      <c r="P2609" s="87"/>
      <c r="Q2609" s="87"/>
      <c r="R2609" s="87"/>
      <c r="S2609" s="87"/>
      <c r="T2609" s="87"/>
      <c r="U2609" s="87"/>
      <c r="V2609" s="87"/>
      <c r="W2609" s="87"/>
      <c r="X2609" s="87"/>
      <c r="Y2609" s="87"/>
      <c r="Z2609" s="87"/>
      <c r="AA2609" s="87"/>
      <c r="AB2609" s="87"/>
      <c r="AC2609" s="87"/>
      <c r="AD2609" s="87"/>
      <c r="AE2609" s="87"/>
      <c r="AF2609" s="87"/>
      <c r="AG2609" s="87"/>
      <c r="AH2609" s="87">
        <v>2</v>
      </c>
      <c r="AI2609" s="87"/>
      <c r="AJ2609" s="87"/>
      <c r="AK2609" s="87"/>
      <c r="AL2609" s="87"/>
      <c r="AM2609" s="87"/>
      <c r="AN2609" s="87">
        <v>2</v>
      </c>
      <c r="AO2609" s="87"/>
      <c r="AP2609" s="87"/>
      <c r="AQ2609" s="87"/>
      <c r="AR2609" s="87"/>
      <c r="AS2609" s="87"/>
      <c r="AT2609" s="87"/>
      <c r="AU2609" s="87"/>
      <c r="AV2609" s="87"/>
      <c r="AW2609" s="88" t="str">
        <f>HYPERLINK("http://www.openstreetmap.org/?mlat=36.2419&amp;mlon=45.0253&amp;zoom=12#map=12/36.2419/45.0253","Maplink1")</f>
        <v>Maplink1</v>
      </c>
      <c r="AX2609" s="88" t="str">
        <f>HYPERLINK("https://www.google.iq/maps/search/+36.2419,45.0253/@36.2419,45.0253,14z?hl=en","Maplink2")</f>
        <v>Maplink2</v>
      </c>
      <c r="AY2609" s="88" t="str">
        <f>HYPERLINK("http://www.bing.com/maps/?lvl=14&amp;sty=h&amp;cp=36.2419~45.0253&amp;sp=point.36.2419_45.0253","Maplink3")</f>
        <v>Maplink3</v>
      </c>
      <c r="AZ2609" s="76"/>
    </row>
    <row r="2610" spans="1:52" x14ac:dyDescent="0.25">
      <c r="A2610" s="86">
        <v>31847</v>
      </c>
      <c r="B2610" s="87" t="s">
        <v>27</v>
      </c>
      <c r="C2610" s="87" t="s">
        <v>4947</v>
      </c>
      <c r="D2610" s="87" t="s">
        <v>4954</v>
      </c>
      <c r="E2610" s="87" t="s">
        <v>4955</v>
      </c>
      <c r="F2610" s="87">
        <v>36.246994299999997</v>
      </c>
      <c r="G2610" s="87">
        <v>45.005017799999997</v>
      </c>
      <c r="H2610" s="86">
        <v>4</v>
      </c>
      <c r="I2610" s="86">
        <v>24</v>
      </c>
      <c r="J2610" s="87">
        <v>4</v>
      </c>
      <c r="K2610" s="87"/>
      <c r="L2610" s="87"/>
      <c r="M2610" s="87"/>
      <c r="N2610" s="87"/>
      <c r="O2610" s="87"/>
      <c r="P2610" s="87"/>
      <c r="Q2610" s="87"/>
      <c r="R2610" s="87"/>
      <c r="S2610" s="87"/>
      <c r="T2610" s="87"/>
      <c r="U2610" s="87"/>
      <c r="V2610" s="87"/>
      <c r="W2610" s="87"/>
      <c r="X2610" s="87"/>
      <c r="Y2610" s="87"/>
      <c r="Z2610" s="87"/>
      <c r="AA2610" s="87"/>
      <c r="AB2610" s="87"/>
      <c r="AC2610" s="87"/>
      <c r="AD2610" s="87"/>
      <c r="AE2610" s="87"/>
      <c r="AF2610" s="87"/>
      <c r="AG2610" s="87"/>
      <c r="AH2610" s="87">
        <v>4</v>
      </c>
      <c r="AI2610" s="87"/>
      <c r="AJ2610" s="87"/>
      <c r="AK2610" s="87"/>
      <c r="AL2610" s="87"/>
      <c r="AM2610" s="87"/>
      <c r="AN2610" s="87"/>
      <c r="AO2610" s="87"/>
      <c r="AP2610" s="87"/>
      <c r="AQ2610" s="87">
        <v>3</v>
      </c>
      <c r="AR2610" s="87"/>
      <c r="AS2610" s="87">
        <v>1</v>
      </c>
      <c r="AT2610" s="87"/>
      <c r="AU2610" s="87"/>
      <c r="AV2610" s="87"/>
      <c r="AW2610" s="88" t="str">
        <f>HYPERLINK("http://www.openstreetmap.org/?mlat=36.247&amp;mlon=45.005&amp;zoom=12#map=12/36.247/45.005","Maplink1")</f>
        <v>Maplink1</v>
      </c>
      <c r="AX2610" s="88" t="str">
        <f>HYPERLINK("https://www.google.iq/maps/search/+36.247,45.005/@36.247,45.005,14z?hl=en","Maplink2")</f>
        <v>Maplink2</v>
      </c>
      <c r="AY2610" s="88" t="str">
        <f>HYPERLINK("http://www.bing.com/maps/?lvl=14&amp;sty=h&amp;cp=36.247~45.005&amp;sp=point.36.247_45.005","Maplink3")</f>
        <v>Maplink3</v>
      </c>
      <c r="AZ2610" s="76"/>
    </row>
    <row r="2611" spans="1:52" x14ac:dyDescent="0.25">
      <c r="A2611" s="86">
        <v>31848</v>
      </c>
      <c r="B2611" s="87" t="s">
        <v>27</v>
      </c>
      <c r="C2611" s="87" t="s">
        <v>4947</v>
      </c>
      <c r="D2611" s="87" t="s">
        <v>4956</v>
      </c>
      <c r="E2611" s="87" t="s">
        <v>2584</v>
      </c>
      <c r="F2611" s="87">
        <v>36.244983300000001</v>
      </c>
      <c r="G2611" s="87">
        <v>45.0103656</v>
      </c>
      <c r="H2611" s="86">
        <v>5</v>
      </c>
      <c r="I2611" s="86">
        <v>30</v>
      </c>
      <c r="J2611" s="87">
        <v>3</v>
      </c>
      <c r="K2611" s="87"/>
      <c r="L2611" s="87"/>
      <c r="M2611" s="87"/>
      <c r="N2611" s="87"/>
      <c r="O2611" s="87">
        <v>2</v>
      </c>
      <c r="P2611" s="87"/>
      <c r="Q2611" s="87"/>
      <c r="R2611" s="87"/>
      <c r="S2611" s="87"/>
      <c r="T2611" s="87"/>
      <c r="U2611" s="87"/>
      <c r="V2611" s="87"/>
      <c r="W2611" s="87"/>
      <c r="X2611" s="87"/>
      <c r="Y2611" s="87"/>
      <c r="Z2611" s="87"/>
      <c r="AA2611" s="87"/>
      <c r="AB2611" s="87"/>
      <c r="AC2611" s="87"/>
      <c r="AD2611" s="87"/>
      <c r="AE2611" s="87"/>
      <c r="AF2611" s="87"/>
      <c r="AG2611" s="87"/>
      <c r="AH2611" s="87">
        <v>5</v>
      </c>
      <c r="AI2611" s="87"/>
      <c r="AJ2611" s="87"/>
      <c r="AK2611" s="87"/>
      <c r="AL2611" s="87"/>
      <c r="AM2611" s="87"/>
      <c r="AN2611" s="87">
        <v>4</v>
      </c>
      <c r="AO2611" s="87"/>
      <c r="AP2611" s="87"/>
      <c r="AQ2611" s="87"/>
      <c r="AR2611" s="87"/>
      <c r="AS2611" s="87"/>
      <c r="AT2611" s="87"/>
      <c r="AU2611" s="87">
        <v>1</v>
      </c>
      <c r="AV2611" s="87"/>
      <c r="AW2611" s="88" t="str">
        <f>HYPERLINK("http://www.openstreetmap.org/?mlat=36.245&amp;mlon=45.0104&amp;zoom=12#map=12/36.245/45.0104","Maplink1")</f>
        <v>Maplink1</v>
      </c>
      <c r="AX2611" s="88" t="str">
        <f>HYPERLINK("https://www.google.iq/maps/search/+36.245,45.0104/@36.245,45.0104,14z?hl=en","Maplink2")</f>
        <v>Maplink2</v>
      </c>
      <c r="AY2611" s="88" t="str">
        <f>HYPERLINK("http://www.bing.com/maps/?lvl=14&amp;sty=h&amp;cp=36.245~45.0104&amp;sp=point.36.245_45.0104","Maplink3")</f>
        <v>Maplink3</v>
      </c>
      <c r="AZ2611" s="76"/>
    </row>
    <row r="2612" spans="1:52" x14ac:dyDescent="0.25">
      <c r="A2612" s="86">
        <v>31854</v>
      </c>
      <c r="B2612" s="87" t="s">
        <v>27</v>
      </c>
      <c r="C2612" s="87" t="s">
        <v>4947</v>
      </c>
      <c r="D2612" s="87" t="s">
        <v>4957</v>
      </c>
      <c r="E2612" s="87" t="s">
        <v>4958</v>
      </c>
      <c r="F2612" s="87">
        <v>36.193726900000001</v>
      </c>
      <c r="G2612" s="87">
        <v>45.128654400000002</v>
      </c>
      <c r="H2612" s="86">
        <v>2</v>
      </c>
      <c r="I2612" s="86">
        <v>12</v>
      </c>
      <c r="J2612" s="87">
        <v>1</v>
      </c>
      <c r="K2612" s="87"/>
      <c r="L2612" s="87"/>
      <c r="M2612" s="87"/>
      <c r="N2612" s="87"/>
      <c r="O2612" s="87"/>
      <c r="P2612" s="87"/>
      <c r="Q2612" s="87"/>
      <c r="R2612" s="87">
        <v>1</v>
      </c>
      <c r="S2612" s="87"/>
      <c r="T2612" s="87"/>
      <c r="U2612" s="87"/>
      <c r="V2612" s="87"/>
      <c r="W2612" s="87"/>
      <c r="X2612" s="87"/>
      <c r="Y2612" s="87"/>
      <c r="Z2612" s="87"/>
      <c r="AA2612" s="87"/>
      <c r="AB2612" s="87"/>
      <c r="AC2612" s="87"/>
      <c r="AD2612" s="87"/>
      <c r="AE2612" s="87"/>
      <c r="AF2612" s="87"/>
      <c r="AG2612" s="87"/>
      <c r="AH2612" s="87">
        <v>2</v>
      </c>
      <c r="AI2612" s="87"/>
      <c r="AJ2612" s="87"/>
      <c r="AK2612" s="87"/>
      <c r="AL2612" s="87"/>
      <c r="AM2612" s="87"/>
      <c r="AN2612" s="87"/>
      <c r="AO2612" s="87"/>
      <c r="AP2612" s="87"/>
      <c r="AQ2612" s="87">
        <v>1</v>
      </c>
      <c r="AR2612" s="87"/>
      <c r="AS2612" s="87"/>
      <c r="AT2612" s="87"/>
      <c r="AU2612" s="87">
        <v>1</v>
      </c>
      <c r="AV2612" s="87"/>
      <c r="AW2612" s="88" t="str">
        <f>HYPERLINK("http://www.openstreetmap.org/?mlat=36.1937&amp;mlon=45.1287&amp;zoom=12#map=12/36.1937/45.1287","Maplink1")</f>
        <v>Maplink1</v>
      </c>
      <c r="AX2612" s="88" t="str">
        <f>HYPERLINK("https://www.google.iq/maps/search/+36.1937,45.1287/@36.1937,45.1287,14z?hl=en","Maplink2")</f>
        <v>Maplink2</v>
      </c>
      <c r="AY2612" s="88" t="str">
        <f>HYPERLINK("http://www.bing.com/maps/?lvl=14&amp;sty=h&amp;cp=36.1937~45.1287&amp;sp=point.36.1937_45.1287","Maplink3")</f>
        <v>Maplink3</v>
      </c>
      <c r="AZ2612" s="76"/>
    </row>
    <row r="2613" spans="1:52" x14ac:dyDescent="0.25">
      <c r="A2613" s="86">
        <v>31856</v>
      </c>
      <c r="B2613" s="87" t="s">
        <v>27</v>
      </c>
      <c r="C2613" s="87" t="s">
        <v>4947</v>
      </c>
      <c r="D2613" s="87" t="s">
        <v>4959</v>
      </c>
      <c r="E2613" s="87" t="s">
        <v>4960</v>
      </c>
      <c r="F2613" s="87">
        <v>36.186228200000002</v>
      </c>
      <c r="G2613" s="87">
        <v>45.121442100000003</v>
      </c>
      <c r="H2613" s="86">
        <v>2</v>
      </c>
      <c r="I2613" s="86">
        <v>12</v>
      </c>
      <c r="J2613" s="87">
        <v>2</v>
      </c>
      <c r="K2613" s="87"/>
      <c r="L2613" s="87"/>
      <c r="M2613" s="87"/>
      <c r="N2613" s="87"/>
      <c r="O2613" s="87"/>
      <c r="P2613" s="87"/>
      <c r="Q2613" s="87"/>
      <c r="R2613" s="87"/>
      <c r="S2613" s="87"/>
      <c r="T2613" s="87"/>
      <c r="U2613" s="87"/>
      <c r="V2613" s="87"/>
      <c r="W2613" s="87"/>
      <c r="X2613" s="87"/>
      <c r="Y2613" s="87"/>
      <c r="Z2613" s="87"/>
      <c r="AA2613" s="87"/>
      <c r="AB2613" s="87"/>
      <c r="AC2613" s="87"/>
      <c r="AD2613" s="87"/>
      <c r="AE2613" s="87"/>
      <c r="AF2613" s="87"/>
      <c r="AG2613" s="87"/>
      <c r="AH2613" s="87">
        <v>2</v>
      </c>
      <c r="AI2613" s="87"/>
      <c r="AJ2613" s="87"/>
      <c r="AK2613" s="87"/>
      <c r="AL2613" s="87"/>
      <c r="AM2613" s="87"/>
      <c r="AN2613" s="87"/>
      <c r="AO2613" s="87">
        <v>2</v>
      </c>
      <c r="AP2613" s="87"/>
      <c r="AQ2613" s="87"/>
      <c r="AR2613" s="87"/>
      <c r="AS2613" s="87"/>
      <c r="AT2613" s="87"/>
      <c r="AU2613" s="87"/>
      <c r="AV2613" s="87"/>
      <c r="AW2613" s="88" t="str">
        <f>HYPERLINK("http://www.openstreetmap.org/?mlat=36.1862&amp;mlon=45.1214&amp;zoom=12#map=12/36.1862/45.1214","Maplink1")</f>
        <v>Maplink1</v>
      </c>
      <c r="AX2613" s="88" t="str">
        <f>HYPERLINK("https://www.google.iq/maps/search/+36.1862,45.1214/@36.1862,45.1214,14z?hl=en","Maplink2")</f>
        <v>Maplink2</v>
      </c>
      <c r="AY2613" s="88" t="str">
        <f>HYPERLINK("http://www.bing.com/maps/?lvl=14&amp;sty=h&amp;cp=36.1862~45.1214&amp;sp=point.36.1862_45.1214","Maplink3")</f>
        <v>Maplink3</v>
      </c>
      <c r="AZ2613" s="76"/>
    </row>
    <row r="2614" spans="1:52" x14ac:dyDescent="0.25">
      <c r="A2614" s="86">
        <v>24492</v>
      </c>
      <c r="B2614" s="87" t="s">
        <v>27</v>
      </c>
      <c r="C2614" s="87" t="s">
        <v>4947</v>
      </c>
      <c r="D2614" s="87" t="s">
        <v>4961</v>
      </c>
      <c r="E2614" s="87" t="s">
        <v>4962</v>
      </c>
      <c r="F2614" s="87">
        <v>36.183502300000001</v>
      </c>
      <c r="G2614" s="87">
        <v>45.121568699999997</v>
      </c>
      <c r="H2614" s="86">
        <v>5</v>
      </c>
      <c r="I2614" s="86">
        <v>30</v>
      </c>
      <c r="J2614" s="87"/>
      <c r="K2614" s="87"/>
      <c r="L2614" s="87"/>
      <c r="M2614" s="87"/>
      <c r="N2614" s="87"/>
      <c r="O2614" s="87"/>
      <c r="P2614" s="87"/>
      <c r="Q2614" s="87"/>
      <c r="R2614" s="87">
        <v>2</v>
      </c>
      <c r="S2614" s="87"/>
      <c r="T2614" s="87"/>
      <c r="U2614" s="87"/>
      <c r="V2614" s="87">
        <v>3</v>
      </c>
      <c r="W2614" s="87"/>
      <c r="X2614" s="87"/>
      <c r="Y2614" s="87"/>
      <c r="Z2614" s="87"/>
      <c r="AA2614" s="87"/>
      <c r="AB2614" s="87"/>
      <c r="AC2614" s="87"/>
      <c r="AD2614" s="87"/>
      <c r="AE2614" s="87"/>
      <c r="AF2614" s="87"/>
      <c r="AG2614" s="87"/>
      <c r="AH2614" s="87">
        <v>5</v>
      </c>
      <c r="AI2614" s="87"/>
      <c r="AJ2614" s="87"/>
      <c r="AK2614" s="87"/>
      <c r="AL2614" s="87"/>
      <c r="AM2614" s="87"/>
      <c r="AN2614" s="87"/>
      <c r="AO2614" s="87"/>
      <c r="AP2614" s="87">
        <v>3</v>
      </c>
      <c r="AQ2614" s="87"/>
      <c r="AR2614" s="87"/>
      <c r="AS2614" s="87"/>
      <c r="AT2614" s="87"/>
      <c r="AU2614" s="87">
        <v>2</v>
      </c>
      <c r="AV2614" s="87"/>
      <c r="AW2614" s="88" t="str">
        <f>HYPERLINK("http://www.openstreetmap.org/?mlat=36.1835&amp;mlon=45.1216&amp;zoom=12#map=12/36.1835/45.1216","Maplink1")</f>
        <v>Maplink1</v>
      </c>
      <c r="AX2614" s="88" t="str">
        <f>HYPERLINK("https://www.google.iq/maps/search/+36.1835,45.1216/@36.1835,45.1216,14z?hl=en","Maplink2")</f>
        <v>Maplink2</v>
      </c>
      <c r="AY2614" s="88" t="str">
        <f>HYPERLINK("http://www.bing.com/maps/?lvl=14&amp;sty=h&amp;cp=36.1835~45.1216&amp;sp=point.36.1835_45.1216","Maplink3")</f>
        <v>Maplink3</v>
      </c>
      <c r="AZ2614" s="76"/>
    </row>
    <row r="2615" spans="1:52" x14ac:dyDescent="0.25">
      <c r="A2615" s="86">
        <v>31846</v>
      </c>
      <c r="B2615" s="87" t="s">
        <v>27</v>
      </c>
      <c r="C2615" s="87" t="s">
        <v>4947</v>
      </c>
      <c r="D2615" s="87" t="s">
        <v>4963</v>
      </c>
      <c r="E2615" s="87" t="s">
        <v>4964</v>
      </c>
      <c r="F2615" s="87">
        <v>36.243837900000003</v>
      </c>
      <c r="G2615" s="87">
        <v>45.007661599999999</v>
      </c>
      <c r="H2615" s="86">
        <v>3</v>
      </c>
      <c r="I2615" s="86">
        <v>18</v>
      </c>
      <c r="J2615" s="87">
        <v>3</v>
      </c>
      <c r="K2615" s="87"/>
      <c r="L2615" s="87"/>
      <c r="M2615" s="87"/>
      <c r="N2615" s="87"/>
      <c r="O2615" s="87"/>
      <c r="P2615" s="87"/>
      <c r="Q2615" s="87"/>
      <c r="R2615" s="87"/>
      <c r="S2615" s="87"/>
      <c r="T2615" s="87"/>
      <c r="U2615" s="87"/>
      <c r="V2615" s="87"/>
      <c r="W2615" s="87"/>
      <c r="X2615" s="87"/>
      <c r="Y2615" s="87"/>
      <c r="Z2615" s="87"/>
      <c r="AA2615" s="87"/>
      <c r="AB2615" s="87"/>
      <c r="AC2615" s="87"/>
      <c r="AD2615" s="87"/>
      <c r="AE2615" s="87"/>
      <c r="AF2615" s="87"/>
      <c r="AG2615" s="87"/>
      <c r="AH2615" s="87">
        <v>3</v>
      </c>
      <c r="AI2615" s="87"/>
      <c r="AJ2615" s="87"/>
      <c r="AK2615" s="87"/>
      <c r="AL2615" s="87"/>
      <c r="AM2615" s="87"/>
      <c r="AN2615" s="87"/>
      <c r="AO2615" s="87">
        <v>3</v>
      </c>
      <c r="AP2615" s="87"/>
      <c r="AQ2615" s="87"/>
      <c r="AR2615" s="87"/>
      <c r="AS2615" s="87"/>
      <c r="AT2615" s="87"/>
      <c r="AU2615" s="87"/>
      <c r="AV2615" s="87"/>
      <c r="AW2615" s="88" t="str">
        <f>HYPERLINK("http://www.openstreetmap.org/?mlat=36.2438&amp;mlon=45.0077&amp;zoom=12#map=12/36.2438/45.0077","Maplink1")</f>
        <v>Maplink1</v>
      </c>
      <c r="AX2615" s="88" t="str">
        <f>HYPERLINK("https://www.google.iq/maps/search/+36.2438,45.0077/@36.2438,45.0077,14z?hl=en","Maplink2")</f>
        <v>Maplink2</v>
      </c>
      <c r="AY2615" s="88" t="str">
        <f>HYPERLINK("http://www.bing.com/maps/?lvl=14&amp;sty=h&amp;cp=36.2438~45.0077&amp;sp=point.36.2438_45.0077","Maplink3")</f>
        <v>Maplink3</v>
      </c>
      <c r="AZ2615" s="76"/>
    </row>
    <row r="2616" spans="1:52" x14ac:dyDescent="0.25">
      <c r="A2616" s="86">
        <v>31855</v>
      </c>
      <c r="B2616" s="87" t="s">
        <v>27</v>
      </c>
      <c r="C2616" s="87" t="s">
        <v>4947</v>
      </c>
      <c r="D2616" s="87" t="s">
        <v>4965</v>
      </c>
      <c r="E2616" s="87" t="s">
        <v>4966</v>
      </c>
      <c r="F2616" s="87">
        <v>36.175989899999998</v>
      </c>
      <c r="G2616" s="87">
        <v>45.130098199999999</v>
      </c>
      <c r="H2616" s="86">
        <v>3</v>
      </c>
      <c r="I2616" s="86">
        <v>18</v>
      </c>
      <c r="J2616" s="87">
        <v>2</v>
      </c>
      <c r="K2616" s="87"/>
      <c r="L2616" s="87"/>
      <c r="M2616" s="87"/>
      <c r="N2616" s="87"/>
      <c r="O2616" s="87"/>
      <c r="P2616" s="87"/>
      <c r="Q2616" s="87"/>
      <c r="R2616" s="87"/>
      <c r="S2616" s="87"/>
      <c r="T2616" s="87"/>
      <c r="U2616" s="87"/>
      <c r="V2616" s="87">
        <v>1</v>
      </c>
      <c r="W2616" s="87"/>
      <c r="X2616" s="87"/>
      <c r="Y2616" s="87"/>
      <c r="Z2616" s="87"/>
      <c r="AA2616" s="87"/>
      <c r="AB2616" s="87"/>
      <c r="AC2616" s="87"/>
      <c r="AD2616" s="87"/>
      <c r="AE2616" s="87"/>
      <c r="AF2616" s="87"/>
      <c r="AG2616" s="87"/>
      <c r="AH2616" s="87">
        <v>3</v>
      </c>
      <c r="AI2616" s="87"/>
      <c r="AJ2616" s="87"/>
      <c r="AK2616" s="87"/>
      <c r="AL2616" s="87"/>
      <c r="AM2616" s="87"/>
      <c r="AN2616" s="87"/>
      <c r="AO2616" s="87"/>
      <c r="AP2616" s="87"/>
      <c r="AQ2616" s="87">
        <v>1</v>
      </c>
      <c r="AR2616" s="87"/>
      <c r="AS2616" s="87">
        <v>1</v>
      </c>
      <c r="AT2616" s="87">
        <v>1</v>
      </c>
      <c r="AU2616" s="87"/>
      <c r="AV2616" s="87"/>
      <c r="AW2616" s="88" t="str">
        <f>HYPERLINK("http://www.openstreetmap.org/?mlat=36.176&amp;mlon=45.1301&amp;zoom=12#map=12/36.176/45.1301","Maplink1")</f>
        <v>Maplink1</v>
      </c>
      <c r="AX2616" s="88" t="str">
        <f>HYPERLINK("https://www.google.iq/maps/search/+36.176,45.1301/@36.176,45.1301,14z?hl=en","Maplink2")</f>
        <v>Maplink2</v>
      </c>
      <c r="AY2616" s="88" t="str">
        <f>HYPERLINK("http://www.bing.com/maps/?lvl=14&amp;sty=h&amp;cp=36.176~45.1301&amp;sp=point.36.176_45.1301","Maplink3")</f>
        <v>Maplink3</v>
      </c>
      <c r="AZ2616" s="76"/>
    </row>
    <row r="2617" spans="1:52" x14ac:dyDescent="0.25">
      <c r="A2617" s="86">
        <v>31857</v>
      </c>
      <c r="B2617" s="87" t="s">
        <v>27</v>
      </c>
      <c r="C2617" s="87" t="s">
        <v>4947</v>
      </c>
      <c r="D2617" s="87" t="s">
        <v>4967</v>
      </c>
      <c r="E2617" s="87" t="s">
        <v>4968</v>
      </c>
      <c r="F2617" s="87">
        <v>36.178341899999999</v>
      </c>
      <c r="G2617" s="87">
        <v>45.1250286</v>
      </c>
      <c r="H2617" s="86">
        <v>2</v>
      </c>
      <c r="I2617" s="86">
        <v>12</v>
      </c>
      <c r="J2617" s="87">
        <v>2</v>
      </c>
      <c r="K2617" s="87"/>
      <c r="L2617" s="87"/>
      <c r="M2617" s="87"/>
      <c r="N2617" s="87"/>
      <c r="O2617" s="87"/>
      <c r="P2617" s="87"/>
      <c r="Q2617" s="87"/>
      <c r="R2617" s="87"/>
      <c r="S2617" s="87"/>
      <c r="T2617" s="87"/>
      <c r="U2617" s="87"/>
      <c r="V2617" s="87"/>
      <c r="W2617" s="87"/>
      <c r="X2617" s="87"/>
      <c r="Y2617" s="87"/>
      <c r="Z2617" s="87"/>
      <c r="AA2617" s="87"/>
      <c r="AB2617" s="87"/>
      <c r="AC2617" s="87"/>
      <c r="AD2617" s="87"/>
      <c r="AE2617" s="87"/>
      <c r="AF2617" s="87"/>
      <c r="AG2617" s="87"/>
      <c r="AH2617" s="87">
        <v>2</v>
      </c>
      <c r="AI2617" s="87"/>
      <c r="AJ2617" s="87"/>
      <c r="AK2617" s="87"/>
      <c r="AL2617" s="87"/>
      <c r="AM2617" s="87"/>
      <c r="AN2617" s="87">
        <v>1</v>
      </c>
      <c r="AO2617" s="87"/>
      <c r="AP2617" s="87"/>
      <c r="AQ2617" s="87"/>
      <c r="AR2617" s="87">
        <v>1</v>
      </c>
      <c r="AS2617" s="87"/>
      <c r="AT2617" s="87"/>
      <c r="AU2617" s="87"/>
      <c r="AV2617" s="87"/>
      <c r="AW2617" s="88" t="str">
        <f>HYPERLINK("http://www.openstreetmap.org/?mlat=36.1783&amp;mlon=45.125&amp;zoom=12#map=12/36.1783/45.125","Maplink1")</f>
        <v>Maplink1</v>
      </c>
      <c r="AX2617" s="88" t="str">
        <f>HYPERLINK("https://www.google.iq/maps/search/+36.1783,45.125/@36.1783,45.125,14z?hl=en","Maplink2")</f>
        <v>Maplink2</v>
      </c>
      <c r="AY2617" s="88" t="str">
        <f>HYPERLINK("http://www.bing.com/maps/?lvl=14&amp;sty=h&amp;cp=36.1783~45.125&amp;sp=point.36.1783_45.125","Maplink3")</f>
        <v>Maplink3</v>
      </c>
      <c r="AZ2617" s="76"/>
    </row>
    <row r="2618" spans="1:52" x14ac:dyDescent="0.25">
      <c r="A2618" s="86">
        <v>4061</v>
      </c>
      <c r="B2618" s="87" t="s">
        <v>27</v>
      </c>
      <c r="C2618" s="87" t="s">
        <v>4947</v>
      </c>
      <c r="D2618" s="87" t="s">
        <v>4969</v>
      </c>
      <c r="E2618" s="87" t="s">
        <v>4970</v>
      </c>
      <c r="F2618" s="87">
        <v>36.224111000000001</v>
      </c>
      <c r="G2618" s="87">
        <v>45.066414899999998</v>
      </c>
      <c r="H2618" s="86">
        <v>3</v>
      </c>
      <c r="I2618" s="86">
        <v>18</v>
      </c>
      <c r="J2618" s="87">
        <v>1</v>
      </c>
      <c r="K2618" s="87"/>
      <c r="L2618" s="87"/>
      <c r="M2618" s="87"/>
      <c r="N2618" s="87"/>
      <c r="O2618" s="87">
        <v>2</v>
      </c>
      <c r="P2618" s="87"/>
      <c r="Q2618" s="87"/>
      <c r="R2618" s="87"/>
      <c r="S2618" s="87"/>
      <c r="T2618" s="87"/>
      <c r="U2618" s="87"/>
      <c r="V2618" s="87"/>
      <c r="W2618" s="87"/>
      <c r="X2618" s="87"/>
      <c r="Y2618" s="87"/>
      <c r="Z2618" s="87"/>
      <c r="AA2618" s="87"/>
      <c r="AB2618" s="87"/>
      <c r="AC2618" s="87"/>
      <c r="AD2618" s="87"/>
      <c r="AE2618" s="87"/>
      <c r="AF2618" s="87"/>
      <c r="AG2618" s="87"/>
      <c r="AH2618" s="87">
        <v>3</v>
      </c>
      <c r="AI2618" s="87"/>
      <c r="AJ2618" s="87"/>
      <c r="AK2618" s="87"/>
      <c r="AL2618" s="87"/>
      <c r="AM2618" s="87"/>
      <c r="AN2618" s="87">
        <v>1</v>
      </c>
      <c r="AO2618" s="87"/>
      <c r="AP2618" s="87">
        <v>2</v>
      </c>
      <c r="AQ2618" s="87"/>
      <c r="AR2618" s="87"/>
      <c r="AS2618" s="87"/>
      <c r="AT2618" s="87"/>
      <c r="AU2618" s="87"/>
      <c r="AV2618" s="87"/>
      <c r="AW2618" s="88" t="str">
        <f>HYPERLINK("http://www.openstreetmap.org/?mlat=36.2241&amp;mlon=45.0664&amp;zoom=12#map=12/36.2241/45.0664","Maplink1")</f>
        <v>Maplink1</v>
      </c>
      <c r="AX2618" s="88" t="str">
        <f>HYPERLINK("https://www.google.iq/maps/search/+36.2241,45.0664/@36.2241,45.0664,14z?hl=en","Maplink2")</f>
        <v>Maplink2</v>
      </c>
      <c r="AY2618" s="88" t="str">
        <f>HYPERLINK("http://www.bing.com/maps/?lvl=14&amp;sty=h&amp;cp=36.2241~45.0664&amp;sp=point.36.2241_45.0664","Maplink3")</f>
        <v>Maplink3</v>
      </c>
      <c r="AZ2618" s="76"/>
    </row>
    <row r="2619" spans="1:52" x14ac:dyDescent="0.25">
      <c r="A2619" s="86">
        <v>31870</v>
      </c>
      <c r="B2619" s="87" t="s">
        <v>27</v>
      </c>
      <c r="C2619" s="87" t="s">
        <v>4971</v>
      </c>
      <c r="D2619" s="87" t="s">
        <v>4972</v>
      </c>
      <c r="E2619" s="87" t="s">
        <v>4973</v>
      </c>
      <c r="F2619" s="87">
        <v>36.257897700000001</v>
      </c>
      <c r="G2619" s="87">
        <v>44.877663099999999</v>
      </c>
      <c r="H2619" s="86">
        <v>13</v>
      </c>
      <c r="I2619" s="86">
        <v>78</v>
      </c>
      <c r="J2619" s="87">
        <v>7</v>
      </c>
      <c r="K2619" s="87"/>
      <c r="L2619" s="87">
        <v>5</v>
      </c>
      <c r="M2619" s="87"/>
      <c r="N2619" s="87"/>
      <c r="O2619" s="87"/>
      <c r="P2619" s="87"/>
      <c r="Q2619" s="87"/>
      <c r="R2619" s="87">
        <v>1</v>
      </c>
      <c r="S2619" s="87"/>
      <c r="T2619" s="87"/>
      <c r="U2619" s="87"/>
      <c r="V2619" s="87"/>
      <c r="W2619" s="87"/>
      <c r="X2619" s="87"/>
      <c r="Y2619" s="87"/>
      <c r="Z2619" s="87"/>
      <c r="AA2619" s="87"/>
      <c r="AB2619" s="87"/>
      <c r="AC2619" s="87"/>
      <c r="AD2619" s="87"/>
      <c r="AE2619" s="87"/>
      <c r="AF2619" s="87"/>
      <c r="AG2619" s="87"/>
      <c r="AH2619" s="87">
        <v>13</v>
      </c>
      <c r="AI2619" s="87"/>
      <c r="AJ2619" s="87"/>
      <c r="AK2619" s="87"/>
      <c r="AL2619" s="87"/>
      <c r="AM2619" s="87"/>
      <c r="AN2619" s="87"/>
      <c r="AO2619" s="87">
        <v>6</v>
      </c>
      <c r="AP2619" s="87">
        <v>2</v>
      </c>
      <c r="AQ2619" s="87">
        <v>4</v>
      </c>
      <c r="AR2619" s="87"/>
      <c r="AS2619" s="87"/>
      <c r="AT2619" s="87"/>
      <c r="AU2619" s="87">
        <v>1</v>
      </c>
      <c r="AV2619" s="87"/>
      <c r="AW2619" s="88" t="str">
        <f>HYPERLINK("http://www.openstreetmap.org/?mlat=36.2579&amp;mlon=44.8777&amp;zoom=12#map=12/36.2579/44.8777","Maplink1")</f>
        <v>Maplink1</v>
      </c>
      <c r="AX2619" s="88" t="str">
        <f>HYPERLINK("https://www.google.iq/maps/search/+36.2579,44.8777/@36.2579,44.8777,14z?hl=en","Maplink2")</f>
        <v>Maplink2</v>
      </c>
      <c r="AY2619" s="88" t="str">
        <f>HYPERLINK("http://www.bing.com/maps/?lvl=14&amp;sty=h&amp;cp=36.2579~44.8777&amp;sp=point.36.2579_44.8777","Maplink3")</f>
        <v>Maplink3</v>
      </c>
      <c r="AZ2619" s="76"/>
    </row>
    <row r="2620" spans="1:52" x14ac:dyDescent="0.25">
      <c r="A2620" s="86">
        <v>31869</v>
      </c>
      <c r="B2620" s="87" t="s">
        <v>27</v>
      </c>
      <c r="C2620" s="87" t="s">
        <v>4971</v>
      </c>
      <c r="D2620" s="87" t="s">
        <v>4974</v>
      </c>
      <c r="E2620" s="87" t="s">
        <v>4975</v>
      </c>
      <c r="F2620" s="87">
        <v>36.252779400000001</v>
      </c>
      <c r="G2620" s="87">
        <v>44.875127599999999</v>
      </c>
      <c r="H2620" s="86">
        <v>12</v>
      </c>
      <c r="I2620" s="86">
        <v>72</v>
      </c>
      <c r="J2620" s="87">
        <v>10</v>
      </c>
      <c r="K2620" s="87">
        <v>1</v>
      </c>
      <c r="L2620" s="87"/>
      <c r="M2620" s="87"/>
      <c r="N2620" s="87"/>
      <c r="O2620" s="87"/>
      <c r="P2620" s="87"/>
      <c r="Q2620" s="87"/>
      <c r="R2620" s="87"/>
      <c r="S2620" s="87"/>
      <c r="T2620" s="87"/>
      <c r="U2620" s="87"/>
      <c r="V2620" s="87">
        <v>1</v>
      </c>
      <c r="W2620" s="87"/>
      <c r="X2620" s="87"/>
      <c r="Y2620" s="87"/>
      <c r="Z2620" s="87"/>
      <c r="AA2620" s="87"/>
      <c r="AB2620" s="87"/>
      <c r="AC2620" s="87"/>
      <c r="AD2620" s="87"/>
      <c r="AE2620" s="87"/>
      <c r="AF2620" s="87"/>
      <c r="AG2620" s="87"/>
      <c r="AH2620" s="87">
        <v>12</v>
      </c>
      <c r="AI2620" s="87"/>
      <c r="AJ2620" s="87"/>
      <c r="AK2620" s="87"/>
      <c r="AL2620" s="87"/>
      <c r="AM2620" s="87"/>
      <c r="AN2620" s="87"/>
      <c r="AO2620" s="87"/>
      <c r="AP2620" s="87">
        <v>1</v>
      </c>
      <c r="AQ2620" s="87">
        <v>5</v>
      </c>
      <c r="AR2620" s="87">
        <v>3</v>
      </c>
      <c r="AS2620" s="87">
        <v>2</v>
      </c>
      <c r="AT2620" s="87"/>
      <c r="AU2620" s="87">
        <v>1</v>
      </c>
      <c r="AV2620" s="87"/>
      <c r="AW2620" s="88" t="str">
        <f>HYPERLINK("http://www.openstreetmap.org/?mlat=36.2528&amp;mlon=44.8751&amp;zoom=12#map=12/36.2528/44.8751","Maplink1")</f>
        <v>Maplink1</v>
      </c>
      <c r="AX2620" s="88" t="str">
        <f>HYPERLINK("https://www.google.iq/maps/search/+36.2528,44.8751/@36.2528,44.8751,14z?hl=en","Maplink2")</f>
        <v>Maplink2</v>
      </c>
      <c r="AY2620" s="88" t="str">
        <f>HYPERLINK("http://www.bing.com/maps/?lvl=14&amp;sty=h&amp;cp=36.2528~44.8751&amp;sp=point.36.2528_44.8751","Maplink3")</f>
        <v>Maplink3</v>
      </c>
      <c r="AZ2620" s="76"/>
    </row>
    <row r="2621" spans="1:52" x14ac:dyDescent="0.25">
      <c r="A2621" s="86">
        <v>4705</v>
      </c>
      <c r="B2621" s="87" t="s">
        <v>27</v>
      </c>
      <c r="C2621" s="87" t="s">
        <v>4971</v>
      </c>
      <c r="D2621" s="87" t="s">
        <v>4976</v>
      </c>
      <c r="E2621" s="87" t="s">
        <v>4977</v>
      </c>
      <c r="F2621" s="87">
        <v>36.238227999999999</v>
      </c>
      <c r="G2621" s="87">
        <v>44.920282999999998</v>
      </c>
      <c r="H2621" s="86">
        <v>13</v>
      </c>
      <c r="I2621" s="86">
        <v>78</v>
      </c>
      <c r="J2621" s="87">
        <v>2</v>
      </c>
      <c r="K2621" s="87"/>
      <c r="L2621" s="87">
        <v>2</v>
      </c>
      <c r="M2621" s="87"/>
      <c r="N2621" s="87"/>
      <c r="O2621" s="87">
        <v>3</v>
      </c>
      <c r="P2621" s="87"/>
      <c r="Q2621" s="87"/>
      <c r="R2621" s="87"/>
      <c r="S2621" s="87"/>
      <c r="T2621" s="87"/>
      <c r="U2621" s="87"/>
      <c r="V2621" s="87">
        <v>6</v>
      </c>
      <c r="W2621" s="87"/>
      <c r="X2621" s="87"/>
      <c r="Y2621" s="87"/>
      <c r="Z2621" s="87"/>
      <c r="AA2621" s="87"/>
      <c r="AB2621" s="87"/>
      <c r="AC2621" s="87"/>
      <c r="AD2621" s="87"/>
      <c r="AE2621" s="87"/>
      <c r="AF2621" s="87"/>
      <c r="AG2621" s="87"/>
      <c r="AH2621" s="87">
        <v>13</v>
      </c>
      <c r="AI2621" s="87"/>
      <c r="AJ2621" s="87"/>
      <c r="AK2621" s="87"/>
      <c r="AL2621" s="87"/>
      <c r="AM2621" s="87"/>
      <c r="AN2621" s="87">
        <v>3</v>
      </c>
      <c r="AO2621" s="87">
        <v>4</v>
      </c>
      <c r="AP2621" s="87"/>
      <c r="AQ2621" s="87">
        <v>2</v>
      </c>
      <c r="AR2621" s="87"/>
      <c r="AS2621" s="87"/>
      <c r="AT2621" s="87">
        <v>1</v>
      </c>
      <c r="AU2621" s="87">
        <v>3</v>
      </c>
      <c r="AV2621" s="87"/>
      <c r="AW2621" s="88" t="str">
        <f>HYPERLINK("http://www.openstreetmap.org/?mlat=36.2382&amp;mlon=44.9203&amp;zoom=12#map=12/36.2382/44.9203","Maplink1")</f>
        <v>Maplink1</v>
      </c>
      <c r="AX2621" s="88" t="str">
        <f>HYPERLINK("https://www.google.iq/maps/search/+36.2382,44.9203/@36.2382,44.9203,14z?hl=en","Maplink2")</f>
        <v>Maplink2</v>
      </c>
      <c r="AY2621" s="88" t="str">
        <f>HYPERLINK("http://www.bing.com/maps/?lvl=14&amp;sty=h&amp;cp=36.2382~44.9203&amp;sp=point.36.2382_44.9203","Maplink3")</f>
        <v>Maplink3</v>
      </c>
      <c r="AZ2621" s="76"/>
    </row>
    <row r="2622" spans="1:52" x14ac:dyDescent="0.25">
      <c r="A2622" s="86">
        <v>24898</v>
      </c>
      <c r="B2622" s="87" t="s">
        <v>27</v>
      </c>
      <c r="C2622" s="87" t="s">
        <v>4971</v>
      </c>
      <c r="D2622" s="87" t="s">
        <v>4978</v>
      </c>
      <c r="E2622" s="87" t="s">
        <v>4979</v>
      </c>
      <c r="F2622" s="87">
        <v>36.244474799999999</v>
      </c>
      <c r="G2622" s="87">
        <v>44.775685299999999</v>
      </c>
      <c r="H2622" s="86">
        <v>5</v>
      </c>
      <c r="I2622" s="86">
        <v>30</v>
      </c>
      <c r="J2622" s="87">
        <v>4</v>
      </c>
      <c r="K2622" s="87"/>
      <c r="L2622" s="87"/>
      <c r="M2622" s="87"/>
      <c r="N2622" s="87"/>
      <c r="O2622" s="87"/>
      <c r="P2622" s="87"/>
      <c r="Q2622" s="87"/>
      <c r="R2622" s="87"/>
      <c r="S2622" s="87"/>
      <c r="T2622" s="87"/>
      <c r="U2622" s="87"/>
      <c r="V2622" s="87"/>
      <c r="W2622" s="87"/>
      <c r="X2622" s="87">
        <v>1</v>
      </c>
      <c r="Y2622" s="87"/>
      <c r="Z2622" s="87"/>
      <c r="AA2622" s="87"/>
      <c r="AB2622" s="87"/>
      <c r="AC2622" s="87"/>
      <c r="AD2622" s="87"/>
      <c r="AE2622" s="87"/>
      <c r="AF2622" s="87"/>
      <c r="AG2622" s="87"/>
      <c r="AH2622" s="87">
        <v>5</v>
      </c>
      <c r="AI2622" s="87"/>
      <c r="AJ2622" s="87"/>
      <c r="AK2622" s="87"/>
      <c r="AL2622" s="87"/>
      <c r="AM2622" s="87"/>
      <c r="AN2622" s="87"/>
      <c r="AO2622" s="87">
        <v>1</v>
      </c>
      <c r="AP2622" s="87">
        <v>2</v>
      </c>
      <c r="AQ2622" s="87">
        <v>2</v>
      </c>
      <c r="AR2622" s="87"/>
      <c r="AS2622" s="87"/>
      <c r="AT2622" s="87"/>
      <c r="AU2622" s="87"/>
      <c r="AV2622" s="87"/>
      <c r="AW2622" s="88" t="str">
        <f>HYPERLINK("http://www.openstreetmap.org/?mlat=36.2445&amp;mlon=44.7757&amp;zoom=12#map=12/36.2445/44.7757","Maplink1")</f>
        <v>Maplink1</v>
      </c>
      <c r="AX2622" s="88" t="str">
        <f>HYPERLINK("https://www.google.iq/maps/search/+36.2445,44.7757/@36.2445,44.7757,14z?hl=en","Maplink2")</f>
        <v>Maplink2</v>
      </c>
      <c r="AY2622" s="88" t="str">
        <f>HYPERLINK("http://www.bing.com/maps/?lvl=14&amp;sty=h&amp;cp=36.2445~44.7757&amp;sp=point.36.2445_44.7757","Maplink3")</f>
        <v>Maplink3</v>
      </c>
      <c r="AZ2622" s="76"/>
    </row>
    <row r="2623" spans="1:52" x14ac:dyDescent="0.25">
      <c r="A2623" s="86">
        <v>31874</v>
      </c>
      <c r="B2623" s="87" t="s">
        <v>27</v>
      </c>
      <c r="C2623" s="87" t="s">
        <v>4971</v>
      </c>
      <c r="D2623" s="87" t="s">
        <v>4980</v>
      </c>
      <c r="E2623" s="87" t="s">
        <v>4981</v>
      </c>
      <c r="F2623" s="87">
        <v>36.258086400000003</v>
      </c>
      <c r="G2623" s="87">
        <v>44.8804546</v>
      </c>
      <c r="H2623" s="86">
        <v>4</v>
      </c>
      <c r="I2623" s="86">
        <v>24</v>
      </c>
      <c r="J2623" s="87">
        <v>4</v>
      </c>
      <c r="K2623" s="87"/>
      <c r="L2623" s="87"/>
      <c r="M2623" s="87"/>
      <c r="N2623" s="87"/>
      <c r="O2623" s="87"/>
      <c r="P2623" s="87"/>
      <c r="Q2623" s="87"/>
      <c r="R2623" s="87"/>
      <c r="S2623" s="87"/>
      <c r="T2623" s="87"/>
      <c r="U2623" s="87"/>
      <c r="V2623" s="87"/>
      <c r="W2623" s="87"/>
      <c r="X2623" s="87"/>
      <c r="Y2623" s="87"/>
      <c r="Z2623" s="87"/>
      <c r="AA2623" s="87"/>
      <c r="AB2623" s="87"/>
      <c r="AC2623" s="87"/>
      <c r="AD2623" s="87"/>
      <c r="AE2623" s="87"/>
      <c r="AF2623" s="87"/>
      <c r="AG2623" s="87"/>
      <c r="AH2623" s="87">
        <v>4</v>
      </c>
      <c r="AI2623" s="87"/>
      <c r="AJ2623" s="87"/>
      <c r="AK2623" s="87"/>
      <c r="AL2623" s="87"/>
      <c r="AM2623" s="87"/>
      <c r="AN2623" s="87">
        <v>1</v>
      </c>
      <c r="AO2623" s="87"/>
      <c r="AP2623" s="87"/>
      <c r="AQ2623" s="87"/>
      <c r="AR2623" s="87"/>
      <c r="AS2623" s="87">
        <v>2</v>
      </c>
      <c r="AT2623" s="87">
        <v>1</v>
      </c>
      <c r="AU2623" s="87"/>
      <c r="AV2623" s="87"/>
      <c r="AW2623" s="88" t="str">
        <f>HYPERLINK("http://www.openstreetmap.org/?mlat=36.2581&amp;mlon=44.8805&amp;zoom=12#map=12/36.2581/44.8805","Maplink1")</f>
        <v>Maplink1</v>
      </c>
      <c r="AX2623" s="88" t="str">
        <f>HYPERLINK("https://www.google.iq/maps/search/+36.2581,44.8805/@36.2581,44.8805,14z?hl=en","Maplink2")</f>
        <v>Maplink2</v>
      </c>
      <c r="AY2623" s="88" t="str">
        <f>HYPERLINK("http://www.bing.com/maps/?lvl=14&amp;sty=h&amp;cp=36.2581~44.8805&amp;sp=point.36.2581_44.8805","Maplink3")</f>
        <v>Maplink3</v>
      </c>
      <c r="AZ2623" s="76"/>
    </row>
    <row r="2624" spans="1:52" x14ac:dyDescent="0.25">
      <c r="A2624" s="86">
        <v>31858</v>
      </c>
      <c r="B2624" s="87" t="s">
        <v>27</v>
      </c>
      <c r="C2624" s="87" t="s">
        <v>4971</v>
      </c>
      <c r="D2624" s="87" t="s">
        <v>4982</v>
      </c>
      <c r="E2624" s="87" t="s">
        <v>4983</v>
      </c>
      <c r="F2624" s="87">
        <v>36.209536700000001</v>
      </c>
      <c r="G2624" s="87">
        <v>44.792856200000003</v>
      </c>
      <c r="H2624" s="86">
        <v>14</v>
      </c>
      <c r="I2624" s="86">
        <v>84</v>
      </c>
      <c r="J2624" s="87">
        <v>9</v>
      </c>
      <c r="K2624" s="87">
        <v>4</v>
      </c>
      <c r="L2624" s="87"/>
      <c r="M2624" s="87"/>
      <c r="N2624" s="87"/>
      <c r="O2624" s="87"/>
      <c r="P2624" s="87"/>
      <c r="Q2624" s="87"/>
      <c r="R2624" s="87"/>
      <c r="S2624" s="87"/>
      <c r="T2624" s="87"/>
      <c r="U2624" s="87"/>
      <c r="V2624" s="87">
        <v>1</v>
      </c>
      <c r="W2624" s="87"/>
      <c r="X2624" s="87"/>
      <c r="Y2624" s="87"/>
      <c r="Z2624" s="87"/>
      <c r="AA2624" s="87"/>
      <c r="AB2624" s="87"/>
      <c r="AC2624" s="87"/>
      <c r="AD2624" s="87"/>
      <c r="AE2624" s="87"/>
      <c r="AF2624" s="87"/>
      <c r="AG2624" s="87"/>
      <c r="AH2624" s="87">
        <v>14</v>
      </c>
      <c r="AI2624" s="87"/>
      <c r="AJ2624" s="87"/>
      <c r="AK2624" s="87"/>
      <c r="AL2624" s="87"/>
      <c r="AM2624" s="87"/>
      <c r="AN2624" s="87">
        <v>3</v>
      </c>
      <c r="AO2624" s="87">
        <v>6</v>
      </c>
      <c r="AP2624" s="87">
        <v>2</v>
      </c>
      <c r="AQ2624" s="87"/>
      <c r="AR2624" s="87">
        <v>1</v>
      </c>
      <c r="AS2624" s="87">
        <v>1</v>
      </c>
      <c r="AT2624" s="87"/>
      <c r="AU2624" s="87"/>
      <c r="AV2624" s="87">
        <v>1</v>
      </c>
      <c r="AW2624" s="88" t="str">
        <f>HYPERLINK("http://www.openstreetmap.org/?mlat=36.2095&amp;mlon=44.7929&amp;zoom=12#map=12/36.2095/44.7929","Maplink1")</f>
        <v>Maplink1</v>
      </c>
      <c r="AX2624" s="88" t="str">
        <f>HYPERLINK("https://www.google.iq/maps/search/+36.2095,44.7929/@36.2095,44.7929,14z?hl=en","Maplink2")</f>
        <v>Maplink2</v>
      </c>
      <c r="AY2624" s="88" t="str">
        <f>HYPERLINK("http://www.bing.com/maps/?lvl=14&amp;sty=h&amp;cp=36.2095~44.7929&amp;sp=point.36.2095_44.7929","Maplink3")</f>
        <v>Maplink3</v>
      </c>
      <c r="AZ2624" s="76"/>
    </row>
    <row r="2625" spans="1:52" x14ac:dyDescent="0.25">
      <c r="A2625" s="86">
        <v>31875</v>
      </c>
      <c r="B2625" s="87" t="s">
        <v>27</v>
      </c>
      <c r="C2625" s="87" t="s">
        <v>4971</v>
      </c>
      <c r="D2625" s="87" t="s">
        <v>4984</v>
      </c>
      <c r="E2625" s="87" t="s">
        <v>4985</v>
      </c>
      <c r="F2625" s="87">
        <v>36.255351099999999</v>
      </c>
      <c r="G2625" s="87">
        <v>44.869973899999998</v>
      </c>
      <c r="H2625" s="86">
        <v>4</v>
      </c>
      <c r="I2625" s="86">
        <v>24</v>
      </c>
      <c r="J2625" s="87"/>
      <c r="K2625" s="87"/>
      <c r="L2625" s="87"/>
      <c r="M2625" s="87"/>
      <c r="N2625" s="87"/>
      <c r="O2625" s="87">
        <v>4</v>
      </c>
      <c r="P2625" s="87"/>
      <c r="Q2625" s="87"/>
      <c r="R2625" s="87"/>
      <c r="S2625" s="87"/>
      <c r="T2625" s="87"/>
      <c r="U2625" s="87"/>
      <c r="V2625" s="87"/>
      <c r="W2625" s="87"/>
      <c r="X2625" s="87"/>
      <c r="Y2625" s="87"/>
      <c r="Z2625" s="87"/>
      <c r="AA2625" s="87"/>
      <c r="AB2625" s="87"/>
      <c r="AC2625" s="87"/>
      <c r="AD2625" s="87"/>
      <c r="AE2625" s="87"/>
      <c r="AF2625" s="87"/>
      <c r="AG2625" s="87"/>
      <c r="AH2625" s="87">
        <v>4</v>
      </c>
      <c r="AI2625" s="87"/>
      <c r="AJ2625" s="87"/>
      <c r="AK2625" s="87"/>
      <c r="AL2625" s="87"/>
      <c r="AM2625" s="87"/>
      <c r="AN2625" s="87"/>
      <c r="AO2625" s="87">
        <v>1</v>
      </c>
      <c r="AP2625" s="87"/>
      <c r="AQ2625" s="87">
        <v>1</v>
      </c>
      <c r="AR2625" s="87">
        <v>1</v>
      </c>
      <c r="AS2625" s="87"/>
      <c r="AT2625" s="87"/>
      <c r="AU2625" s="87"/>
      <c r="AV2625" s="87">
        <v>1</v>
      </c>
      <c r="AW2625" s="88" t="str">
        <f>HYPERLINK("http://www.openstreetmap.org/?mlat=36.2554&amp;mlon=44.87&amp;zoom=12#map=12/36.2554/44.87","Maplink1")</f>
        <v>Maplink1</v>
      </c>
      <c r="AX2625" s="88" t="str">
        <f>HYPERLINK("https://www.google.iq/maps/search/+36.2554,44.87/@36.2554,44.87,14z?hl=en","Maplink2")</f>
        <v>Maplink2</v>
      </c>
      <c r="AY2625" s="88" t="str">
        <f>HYPERLINK("http://www.bing.com/maps/?lvl=14&amp;sty=h&amp;cp=36.2554~44.87&amp;sp=point.36.2554_44.87","Maplink3")</f>
        <v>Maplink3</v>
      </c>
      <c r="AZ2625" s="76"/>
    </row>
    <row r="2626" spans="1:52" x14ac:dyDescent="0.25">
      <c r="A2626" s="86">
        <v>25522</v>
      </c>
      <c r="B2626" s="87" t="s">
        <v>27</v>
      </c>
      <c r="C2626" s="87" t="s">
        <v>4971</v>
      </c>
      <c r="D2626" s="87" t="s">
        <v>4986</v>
      </c>
      <c r="E2626" s="87" t="s">
        <v>4987</v>
      </c>
      <c r="F2626" s="87">
        <v>36.263363099999999</v>
      </c>
      <c r="G2626" s="87">
        <v>44.881341399999997</v>
      </c>
      <c r="H2626" s="86">
        <v>13</v>
      </c>
      <c r="I2626" s="86">
        <v>78</v>
      </c>
      <c r="J2626" s="87">
        <v>6</v>
      </c>
      <c r="K2626" s="87">
        <v>1</v>
      </c>
      <c r="L2626" s="87"/>
      <c r="M2626" s="87"/>
      <c r="N2626" s="87"/>
      <c r="O2626" s="87">
        <v>3</v>
      </c>
      <c r="P2626" s="87"/>
      <c r="Q2626" s="87"/>
      <c r="R2626" s="87"/>
      <c r="S2626" s="87"/>
      <c r="T2626" s="87"/>
      <c r="U2626" s="87"/>
      <c r="V2626" s="87"/>
      <c r="W2626" s="87"/>
      <c r="X2626" s="87">
        <v>3</v>
      </c>
      <c r="Y2626" s="87"/>
      <c r="Z2626" s="87"/>
      <c r="AA2626" s="87"/>
      <c r="AB2626" s="87"/>
      <c r="AC2626" s="87"/>
      <c r="AD2626" s="87"/>
      <c r="AE2626" s="87"/>
      <c r="AF2626" s="87"/>
      <c r="AG2626" s="87"/>
      <c r="AH2626" s="87">
        <v>13</v>
      </c>
      <c r="AI2626" s="87"/>
      <c r="AJ2626" s="87"/>
      <c r="AK2626" s="87"/>
      <c r="AL2626" s="87"/>
      <c r="AM2626" s="87"/>
      <c r="AN2626" s="87">
        <v>2</v>
      </c>
      <c r="AO2626" s="87">
        <v>4</v>
      </c>
      <c r="AP2626" s="87"/>
      <c r="AQ2626" s="87">
        <v>2</v>
      </c>
      <c r="AR2626" s="87">
        <v>2</v>
      </c>
      <c r="AS2626" s="87"/>
      <c r="AT2626" s="87">
        <v>2</v>
      </c>
      <c r="AU2626" s="87"/>
      <c r="AV2626" s="87">
        <v>1</v>
      </c>
      <c r="AW2626" s="88" t="str">
        <f>HYPERLINK("http://www.openstreetmap.org/?mlat=36.2634&amp;mlon=44.8813&amp;zoom=12#map=12/36.2634/44.8813","Maplink1")</f>
        <v>Maplink1</v>
      </c>
      <c r="AX2626" s="88" t="str">
        <f>HYPERLINK("https://www.google.iq/maps/search/+36.2634,44.8813/@36.2634,44.8813,14z?hl=en","Maplink2")</f>
        <v>Maplink2</v>
      </c>
      <c r="AY2626" s="88" t="str">
        <f>HYPERLINK("http://www.bing.com/maps/?lvl=14&amp;sty=h&amp;cp=36.2634~44.8813&amp;sp=point.36.2634_44.8813","Maplink3")</f>
        <v>Maplink3</v>
      </c>
      <c r="AZ2626" s="76"/>
    </row>
    <row r="2627" spans="1:52" x14ac:dyDescent="0.25">
      <c r="A2627" s="86">
        <v>25298</v>
      </c>
      <c r="B2627" s="87" t="s">
        <v>27</v>
      </c>
      <c r="C2627" s="87" t="s">
        <v>4971</v>
      </c>
      <c r="D2627" s="87" t="s">
        <v>4988</v>
      </c>
      <c r="E2627" s="87" t="s">
        <v>4989</v>
      </c>
      <c r="F2627" s="87">
        <v>36.228778699999999</v>
      </c>
      <c r="G2627" s="87">
        <v>44.848507699999999</v>
      </c>
      <c r="H2627" s="86">
        <v>73</v>
      </c>
      <c r="I2627" s="86">
        <v>438</v>
      </c>
      <c r="J2627" s="87">
        <v>8</v>
      </c>
      <c r="K2627" s="87"/>
      <c r="L2627" s="87"/>
      <c r="M2627" s="87"/>
      <c r="N2627" s="87"/>
      <c r="O2627" s="87">
        <v>3</v>
      </c>
      <c r="P2627" s="87"/>
      <c r="Q2627" s="87"/>
      <c r="R2627" s="87">
        <v>2</v>
      </c>
      <c r="S2627" s="87"/>
      <c r="T2627" s="87"/>
      <c r="U2627" s="87"/>
      <c r="V2627" s="87">
        <v>53</v>
      </c>
      <c r="W2627" s="87"/>
      <c r="X2627" s="87">
        <v>7</v>
      </c>
      <c r="Y2627" s="87"/>
      <c r="Z2627" s="87"/>
      <c r="AA2627" s="87"/>
      <c r="AB2627" s="87"/>
      <c r="AC2627" s="87"/>
      <c r="AD2627" s="87"/>
      <c r="AE2627" s="87"/>
      <c r="AF2627" s="87"/>
      <c r="AG2627" s="87"/>
      <c r="AH2627" s="87">
        <v>63</v>
      </c>
      <c r="AI2627" s="87"/>
      <c r="AJ2627" s="87"/>
      <c r="AK2627" s="87"/>
      <c r="AL2627" s="87">
        <v>10</v>
      </c>
      <c r="AM2627" s="87"/>
      <c r="AN2627" s="87"/>
      <c r="AO2627" s="87">
        <v>35</v>
      </c>
      <c r="AP2627" s="87">
        <v>17</v>
      </c>
      <c r="AQ2627" s="87">
        <v>15</v>
      </c>
      <c r="AR2627" s="87"/>
      <c r="AS2627" s="87">
        <v>1</v>
      </c>
      <c r="AT2627" s="87"/>
      <c r="AU2627" s="87">
        <v>4</v>
      </c>
      <c r="AV2627" s="87">
        <v>1</v>
      </c>
      <c r="AW2627" s="88" t="str">
        <f>HYPERLINK("http://www.openstreetmap.org/?mlat=36.2288&amp;mlon=44.8485&amp;zoom=12#map=12/36.2288/44.8485","Maplink1")</f>
        <v>Maplink1</v>
      </c>
      <c r="AX2627" s="88" t="str">
        <f>HYPERLINK("https://www.google.iq/maps/search/+36.2288,44.8485/@36.2288,44.8485,14z?hl=en","Maplink2")</f>
        <v>Maplink2</v>
      </c>
      <c r="AY2627" s="88" t="str">
        <f>HYPERLINK("http://www.bing.com/maps/?lvl=14&amp;sty=h&amp;cp=36.2288~44.8485&amp;sp=point.36.2288_44.8485","Maplink3")</f>
        <v>Maplink3</v>
      </c>
      <c r="AZ2627" s="76"/>
    </row>
    <row r="2628" spans="1:52" x14ac:dyDescent="0.25">
      <c r="A2628" s="86">
        <v>5568</v>
      </c>
      <c r="B2628" s="87" t="s">
        <v>27</v>
      </c>
      <c r="C2628" s="87" t="s">
        <v>4971</v>
      </c>
      <c r="D2628" s="87" t="s">
        <v>4990</v>
      </c>
      <c r="E2628" s="87" t="s">
        <v>2706</v>
      </c>
      <c r="F2628" s="87">
        <v>36.220599100000001</v>
      </c>
      <c r="G2628" s="87">
        <v>44.835959699999997</v>
      </c>
      <c r="H2628" s="86">
        <v>17</v>
      </c>
      <c r="I2628" s="86">
        <v>102</v>
      </c>
      <c r="J2628" s="87">
        <v>1</v>
      </c>
      <c r="K2628" s="87"/>
      <c r="L2628" s="87">
        <v>3</v>
      </c>
      <c r="M2628" s="87"/>
      <c r="N2628" s="87"/>
      <c r="O2628" s="87">
        <v>5</v>
      </c>
      <c r="P2628" s="87"/>
      <c r="Q2628" s="87"/>
      <c r="R2628" s="87">
        <v>2</v>
      </c>
      <c r="S2628" s="87"/>
      <c r="T2628" s="87"/>
      <c r="U2628" s="87"/>
      <c r="V2628" s="87">
        <v>3</v>
      </c>
      <c r="W2628" s="87"/>
      <c r="X2628" s="87">
        <v>3</v>
      </c>
      <c r="Y2628" s="87"/>
      <c r="Z2628" s="87"/>
      <c r="AA2628" s="87"/>
      <c r="AB2628" s="87"/>
      <c r="AC2628" s="87"/>
      <c r="AD2628" s="87"/>
      <c r="AE2628" s="87"/>
      <c r="AF2628" s="87"/>
      <c r="AG2628" s="87"/>
      <c r="AH2628" s="87">
        <v>17</v>
      </c>
      <c r="AI2628" s="87"/>
      <c r="AJ2628" s="87"/>
      <c r="AK2628" s="87"/>
      <c r="AL2628" s="87"/>
      <c r="AM2628" s="87"/>
      <c r="AN2628" s="87"/>
      <c r="AO2628" s="87"/>
      <c r="AP2628" s="87">
        <v>4</v>
      </c>
      <c r="AQ2628" s="87">
        <v>7</v>
      </c>
      <c r="AR2628" s="87">
        <v>1</v>
      </c>
      <c r="AS2628" s="87">
        <v>1</v>
      </c>
      <c r="AT2628" s="87">
        <v>1</v>
      </c>
      <c r="AU2628" s="87">
        <v>3</v>
      </c>
      <c r="AV2628" s="87"/>
      <c r="AW2628" s="88" t="str">
        <f>HYPERLINK("http://www.openstreetmap.org/?mlat=36.2206&amp;mlon=44.836&amp;zoom=12#map=12/36.2206/44.836","Maplink1")</f>
        <v>Maplink1</v>
      </c>
      <c r="AX2628" s="88" t="str">
        <f>HYPERLINK("https://www.google.iq/maps/search/+36.2206,44.836/@36.2206,44.836,14z?hl=en","Maplink2")</f>
        <v>Maplink2</v>
      </c>
      <c r="AY2628" s="88" t="str">
        <f>HYPERLINK("http://www.bing.com/maps/?lvl=14&amp;sty=h&amp;cp=36.2206~44.836&amp;sp=point.36.2206_44.836","Maplink3")</f>
        <v>Maplink3</v>
      </c>
      <c r="AZ2628" s="76"/>
    </row>
    <row r="2629" spans="1:52" x14ac:dyDescent="0.25">
      <c r="A2629" s="86">
        <v>4179</v>
      </c>
      <c r="B2629" s="87" t="s">
        <v>27</v>
      </c>
      <c r="C2629" s="87" t="s">
        <v>4971</v>
      </c>
      <c r="D2629" s="87" t="s">
        <v>4991</v>
      </c>
      <c r="E2629" s="87" t="s">
        <v>4992</v>
      </c>
      <c r="F2629" s="87">
        <v>36.211379100000002</v>
      </c>
      <c r="G2629" s="87">
        <v>44.821446899999998</v>
      </c>
      <c r="H2629" s="86">
        <v>10</v>
      </c>
      <c r="I2629" s="86">
        <v>60</v>
      </c>
      <c r="J2629" s="87"/>
      <c r="K2629" s="87"/>
      <c r="L2629" s="87">
        <v>2</v>
      </c>
      <c r="M2629" s="87"/>
      <c r="N2629" s="87"/>
      <c r="O2629" s="87">
        <v>6</v>
      </c>
      <c r="P2629" s="87"/>
      <c r="Q2629" s="87"/>
      <c r="R2629" s="87">
        <v>1</v>
      </c>
      <c r="S2629" s="87"/>
      <c r="T2629" s="87"/>
      <c r="U2629" s="87"/>
      <c r="V2629" s="87"/>
      <c r="W2629" s="87"/>
      <c r="X2629" s="87">
        <v>1</v>
      </c>
      <c r="Y2629" s="87"/>
      <c r="Z2629" s="87"/>
      <c r="AA2629" s="87"/>
      <c r="AB2629" s="87"/>
      <c r="AC2629" s="87"/>
      <c r="AD2629" s="87"/>
      <c r="AE2629" s="87"/>
      <c r="AF2629" s="87"/>
      <c r="AG2629" s="87"/>
      <c r="AH2629" s="87">
        <v>10</v>
      </c>
      <c r="AI2629" s="87"/>
      <c r="AJ2629" s="87"/>
      <c r="AK2629" s="87"/>
      <c r="AL2629" s="87"/>
      <c r="AM2629" s="87"/>
      <c r="AN2629" s="87"/>
      <c r="AO2629" s="87">
        <v>3</v>
      </c>
      <c r="AP2629" s="87">
        <v>1</v>
      </c>
      <c r="AQ2629" s="87">
        <v>1</v>
      </c>
      <c r="AR2629" s="87">
        <v>2</v>
      </c>
      <c r="AS2629" s="87">
        <v>2</v>
      </c>
      <c r="AT2629" s="87"/>
      <c r="AU2629" s="87">
        <v>1</v>
      </c>
      <c r="AV2629" s="87"/>
      <c r="AW2629" s="88" t="str">
        <f>HYPERLINK("http://www.openstreetmap.org/?mlat=36.2114&amp;mlon=44.8214&amp;zoom=12#map=12/36.2114/44.8214","Maplink1")</f>
        <v>Maplink1</v>
      </c>
      <c r="AX2629" s="88" t="str">
        <f>HYPERLINK("https://www.google.iq/maps/search/+36.2114,44.8214/@36.2114,44.8214,14z?hl=en","Maplink2")</f>
        <v>Maplink2</v>
      </c>
      <c r="AY2629" s="88" t="str">
        <f>HYPERLINK("http://www.bing.com/maps/?lvl=14&amp;sty=h&amp;cp=36.2114~44.8214&amp;sp=point.36.2114_44.8214","Maplink3")</f>
        <v>Maplink3</v>
      </c>
      <c r="AZ2629" s="76"/>
    </row>
    <row r="2630" spans="1:52" x14ac:dyDescent="0.25">
      <c r="A2630" s="86">
        <v>24814</v>
      </c>
      <c r="B2630" s="87" t="s">
        <v>27</v>
      </c>
      <c r="C2630" s="87" t="s">
        <v>4971</v>
      </c>
      <c r="D2630" s="87" t="s">
        <v>2715</v>
      </c>
      <c r="E2630" s="87" t="s">
        <v>2588</v>
      </c>
      <c r="F2630" s="87">
        <v>36.258944100000001</v>
      </c>
      <c r="G2630" s="87">
        <v>44.890076299999997</v>
      </c>
      <c r="H2630" s="86">
        <v>9</v>
      </c>
      <c r="I2630" s="86">
        <v>54</v>
      </c>
      <c r="J2630" s="87">
        <v>3</v>
      </c>
      <c r="K2630" s="87">
        <v>2</v>
      </c>
      <c r="L2630" s="87">
        <v>1</v>
      </c>
      <c r="M2630" s="87"/>
      <c r="N2630" s="87"/>
      <c r="O2630" s="87">
        <v>1</v>
      </c>
      <c r="P2630" s="87"/>
      <c r="Q2630" s="87"/>
      <c r="R2630" s="87"/>
      <c r="S2630" s="87"/>
      <c r="T2630" s="87"/>
      <c r="U2630" s="87"/>
      <c r="V2630" s="87">
        <v>1</v>
      </c>
      <c r="W2630" s="87"/>
      <c r="X2630" s="87">
        <v>1</v>
      </c>
      <c r="Y2630" s="87"/>
      <c r="Z2630" s="87"/>
      <c r="AA2630" s="87"/>
      <c r="AB2630" s="87"/>
      <c r="AC2630" s="87"/>
      <c r="AD2630" s="87"/>
      <c r="AE2630" s="87"/>
      <c r="AF2630" s="87"/>
      <c r="AG2630" s="87"/>
      <c r="AH2630" s="87">
        <v>9</v>
      </c>
      <c r="AI2630" s="87"/>
      <c r="AJ2630" s="87"/>
      <c r="AK2630" s="87"/>
      <c r="AL2630" s="87"/>
      <c r="AM2630" s="87"/>
      <c r="AN2630" s="87"/>
      <c r="AO2630" s="87">
        <v>2</v>
      </c>
      <c r="AP2630" s="87">
        <v>3</v>
      </c>
      <c r="AQ2630" s="87"/>
      <c r="AR2630" s="87"/>
      <c r="AS2630" s="87">
        <v>4</v>
      </c>
      <c r="AT2630" s="87"/>
      <c r="AU2630" s="87"/>
      <c r="AV2630" s="87"/>
      <c r="AW2630" s="88" t="str">
        <f>HYPERLINK("http://www.openstreetmap.org/?mlat=36.2589&amp;mlon=44.8901&amp;zoom=12#map=12/36.2589/44.8901","Maplink1")</f>
        <v>Maplink1</v>
      </c>
      <c r="AX2630" s="88" t="str">
        <f>HYPERLINK("https://www.google.iq/maps/search/+36.2589,44.8901/@36.2589,44.8901,14z?hl=en","Maplink2")</f>
        <v>Maplink2</v>
      </c>
      <c r="AY2630" s="88" t="str">
        <f>HYPERLINK("http://www.bing.com/maps/?lvl=14&amp;sty=h&amp;cp=36.2589~44.8901&amp;sp=point.36.2589_44.8901","Maplink3")</f>
        <v>Maplink3</v>
      </c>
      <c r="AZ2630" s="76"/>
    </row>
    <row r="2631" spans="1:52" x14ac:dyDescent="0.25">
      <c r="A2631" s="86">
        <v>24101</v>
      </c>
      <c r="B2631" s="87" t="s">
        <v>27</v>
      </c>
      <c r="C2631" s="87" t="s">
        <v>4971</v>
      </c>
      <c r="D2631" s="87" t="s">
        <v>2038</v>
      </c>
      <c r="E2631" s="87" t="s">
        <v>2039</v>
      </c>
      <c r="F2631" s="87">
        <v>36.249443100000001</v>
      </c>
      <c r="G2631" s="87">
        <v>44.874116100000002</v>
      </c>
      <c r="H2631" s="86">
        <v>44</v>
      </c>
      <c r="I2631" s="86">
        <v>264</v>
      </c>
      <c r="J2631" s="87"/>
      <c r="K2631" s="87"/>
      <c r="L2631" s="87"/>
      <c r="M2631" s="87"/>
      <c r="N2631" s="87"/>
      <c r="O2631" s="87"/>
      <c r="P2631" s="87"/>
      <c r="Q2631" s="87"/>
      <c r="R2631" s="87"/>
      <c r="S2631" s="87"/>
      <c r="T2631" s="87"/>
      <c r="U2631" s="87"/>
      <c r="V2631" s="87">
        <v>44</v>
      </c>
      <c r="W2631" s="87"/>
      <c r="X2631" s="87"/>
      <c r="Y2631" s="87"/>
      <c r="Z2631" s="87"/>
      <c r="AA2631" s="87"/>
      <c r="AB2631" s="87"/>
      <c r="AC2631" s="87"/>
      <c r="AD2631" s="87"/>
      <c r="AE2631" s="87"/>
      <c r="AF2631" s="87"/>
      <c r="AG2631" s="87"/>
      <c r="AH2631" s="87">
        <v>44</v>
      </c>
      <c r="AI2631" s="87"/>
      <c r="AJ2631" s="87"/>
      <c r="AK2631" s="87"/>
      <c r="AL2631" s="87"/>
      <c r="AM2631" s="87"/>
      <c r="AN2631" s="87"/>
      <c r="AO2631" s="87">
        <v>44</v>
      </c>
      <c r="AP2631" s="87"/>
      <c r="AQ2631" s="87"/>
      <c r="AR2631" s="87"/>
      <c r="AS2631" s="87"/>
      <c r="AT2631" s="87"/>
      <c r="AU2631" s="87"/>
      <c r="AV2631" s="87"/>
      <c r="AW2631" s="88" t="str">
        <f>HYPERLINK("http://www.openstreetmap.org/?mlat=36.2494&amp;mlon=44.8741&amp;zoom=12#map=12/36.2494/44.8741","Maplink1")</f>
        <v>Maplink1</v>
      </c>
      <c r="AX2631" s="88" t="str">
        <f>HYPERLINK("https://www.google.iq/maps/search/+36.2494,44.8741/@36.2494,44.8741,14z?hl=en","Maplink2")</f>
        <v>Maplink2</v>
      </c>
      <c r="AY2631" s="88" t="str">
        <f>HYPERLINK("http://www.bing.com/maps/?lvl=14&amp;sty=h&amp;cp=36.2494~44.8741&amp;sp=point.36.2494_44.8741","Maplink3")</f>
        <v>Maplink3</v>
      </c>
      <c r="AZ2631" s="76"/>
    </row>
    <row r="2632" spans="1:52" x14ac:dyDescent="0.25">
      <c r="A2632" s="86">
        <v>4201</v>
      </c>
      <c r="B2632" s="87" t="s">
        <v>27</v>
      </c>
      <c r="C2632" s="87" t="s">
        <v>4971</v>
      </c>
      <c r="D2632" s="87" t="s">
        <v>2832</v>
      </c>
      <c r="E2632" s="87" t="s">
        <v>2833</v>
      </c>
      <c r="F2632" s="87">
        <v>36.254068500000002</v>
      </c>
      <c r="G2632" s="87">
        <v>44.8853674</v>
      </c>
      <c r="H2632" s="86">
        <v>10</v>
      </c>
      <c r="I2632" s="86">
        <v>60</v>
      </c>
      <c r="J2632" s="87">
        <v>6</v>
      </c>
      <c r="K2632" s="87">
        <v>1</v>
      </c>
      <c r="L2632" s="87">
        <v>1</v>
      </c>
      <c r="M2632" s="87"/>
      <c r="N2632" s="87"/>
      <c r="O2632" s="87"/>
      <c r="P2632" s="87"/>
      <c r="Q2632" s="87"/>
      <c r="R2632" s="87"/>
      <c r="S2632" s="87"/>
      <c r="T2632" s="87"/>
      <c r="U2632" s="87"/>
      <c r="V2632" s="87">
        <v>2</v>
      </c>
      <c r="W2632" s="87"/>
      <c r="X2632" s="87"/>
      <c r="Y2632" s="87"/>
      <c r="Z2632" s="87"/>
      <c r="AA2632" s="87"/>
      <c r="AB2632" s="87"/>
      <c r="AC2632" s="87"/>
      <c r="AD2632" s="87"/>
      <c r="AE2632" s="87"/>
      <c r="AF2632" s="87"/>
      <c r="AG2632" s="87"/>
      <c r="AH2632" s="87">
        <v>10</v>
      </c>
      <c r="AI2632" s="87"/>
      <c r="AJ2632" s="87"/>
      <c r="AK2632" s="87"/>
      <c r="AL2632" s="87"/>
      <c r="AM2632" s="87"/>
      <c r="AN2632" s="87">
        <v>2</v>
      </c>
      <c r="AO2632" s="87">
        <v>1</v>
      </c>
      <c r="AP2632" s="87">
        <v>3</v>
      </c>
      <c r="AQ2632" s="87">
        <v>1</v>
      </c>
      <c r="AR2632" s="87">
        <v>3</v>
      </c>
      <c r="AS2632" s="87"/>
      <c r="AT2632" s="87"/>
      <c r="AU2632" s="87"/>
      <c r="AV2632" s="87"/>
      <c r="AW2632" s="88" t="str">
        <f>HYPERLINK("http://www.openstreetmap.org/?mlat=36.2541&amp;mlon=44.8854&amp;zoom=12#map=12/36.2541/44.8854","Maplink1")</f>
        <v>Maplink1</v>
      </c>
      <c r="AX2632" s="88" t="str">
        <f>HYPERLINK("https://www.google.iq/maps/search/+36.2541,44.8854/@36.2541,44.8854,14z?hl=en","Maplink2")</f>
        <v>Maplink2</v>
      </c>
      <c r="AY2632" s="88" t="str">
        <f>HYPERLINK("http://www.bing.com/maps/?lvl=14&amp;sty=h&amp;cp=36.2541~44.8854&amp;sp=point.36.2541_44.8854","Maplink3")</f>
        <v>Maplink3</v>
      </c>
      <c r="AZ2632" s="76"/>
    </row>
    <row r="2633" spans="1:52" x14ac:dyDescent="0.25">
      <c r="A2633" s="86">
        <v>25296</v>
      </c>
      <c r="B2633" s="87" t="s">
        <v>27</v>
      </c>
      <c r="C2633" s="87" t="s">
        <v>4971</v>
      </c>
      <c r="D2633" s="87" t="s">
        <v>4993</v>
      </c>
      <c r="E2633" s="87" t="s">
        <v>4994</v>
      </c>
      <c r="F2633" s="87">
        <v>36.209730299999997</v>
      </c>
      <c r="G2633" s="87">
        <v>44.833708399999999</v>
      </c>
      <c r="H2633" s="86">
        <v>20</v>
      </c>
      <c r="I2633" s="86">
        <v>120</v>
      </c>
      <c r="J2633" s="87">
        <v>8</v>
      </c>
      <c r="K2633" s="87">
        <v>2</v>
      </c>
      <c r="L2633" s="87">
        <v>3</v>
      </c>
      <c r="M2633" s="87"/>
      <c r="N2633" s="87"/>
      <c r="O2633" s="87">
        <v>2</v>
      </c>
      <c r="P2633" s="87"/>
      <c r="Q2633" s="87"/>
      <c r="R2633" s="87">
        <v>3</v>
      </c>
      <c r="S2633" s="87"/>
      <c r="T2633" s="87"/>
      <c r="U2633" s="87"/>
      <c r="V2633" s="87"/>
      <c r="W2633" s="87"/>
      <c r="X2633" s="87">
        <v>2</v>
      </c>
      <c r="Y2633" s="87"/>
      <c r="Z2633" s="87"/>
      <c r="AA2633" s="87"/>
      <c r="AB2633" s="87"/>
      <c r="AC2633" s="87"/>
      <c r="AD2633" s="87"/>
      <c r="AE2633" s="87"/>
      <c r="AF2633" s="87"/>
      <c r="AG2633" s="87"/>
      <c r="AH2633" s="87">
        <v>19</v>
      </c>
      <c r="AI2633" s="87"/>
      <c r="AJ2633" s="87"/>
      <c r="AK2633" s="87"/>
      <c r="AL2633" s="87">
        <v>1</v>
      </c>
      <c r="AM2633" s="87"/>
      <c r="AN2633" s="87"/>
      <c r="AO2633" s="87">
        <v>1</v>
      </c>
      <c r="AP2633" s="87">
        <v>3</v>
      </c>
      <c r="AQ2633" s="87">
        <v>5</v>
      </c>
      <c r="AR2633" s="87">
        <v>3</v>
      </c>
      <c r="AS2633" s="87">
        <v>1</v>
      </c>
      <c r="AT2633" s="87">
        <v>2</v>
      </c>
      <c r="AU2633" s="87">
        <v>4</v>
      </c>
      <c r="AV2633" s="87">
        <v>1</v>
      </c>
      <c r="AW2633" s="88" t="str">
        <f>HYPERLINK("http://www.openstreetmap.org/?mlat=36.2097&amp;mlon=44.8337&amp;zoom=12#map=12/36.2097/44.8337","Maplink1")</f>
        <v>Maplink1</v>
      </c>
      <c r="AX2633" s="88" t="str">
        <f>HYPERLINK("https://www.google.iq/maps/search/+36.2097,44.8337/@36.2097,44.8337,14z?hl=en","Maplink2")</f>
        <v>Maplink2</v>
      </c>
      <c r="AY2633" s="88" t="str">
        <f>HYPERLINK("http://www.bing.com/maps/?lvl=14&amp;sty=h&amp;cp=36.2097~44.8337&amp;sp=point.36.2097_44.8337","Maplink3")</f>
        <v>Maplink3</v>
      </c>
      <c r="AZ2633" s="76"/>
    </row>
    <row r="2634" spans="1:52" x14ac:dyDescent="0.25">
      <c r="A2634" s="86">
        <v>24100</v>
      </c>
      <c r="B2634" s="87" t="s">
        <v>27</v>
      </c>
      <c r="C2634" s="87" t="s">
        <v>4971</v>
      </c>
      <c r="D2634" s="87" t="s">
        <v>4995</v>
      </c>
      <c r="E2634" s="87" t="s">
        <v>4996</v>
      </c>
      <c r="F2634" s="87">
        <v>36.2568178</v>
      </c>
      <c r="G2634" s="87">
        <v>44.886243700000001</v>
      </c>
      <c r="H2634" s="86">
        <v>11</v>
      </c>
      <c r="I2634" s="86">
        <v>66</v>
      </c>
      <c r="J2634" s="87">
        <v>10</v>
      </c>
      <c r="K2634" s="87"/>
      <c r="L2634" s="87"/>
      <c r="M2634" s="87"/>
      <c r="N2634" s="87"/>
      <c r="O2634" s="87"/>
      <c r="P2634" s="87"/>
      <c r="Q2634" s="87"/>
      <c r="R2634" s="87"/>
      <c r="S2634" s="87"/>
      <c r="T2634" s="87"/>
      <c r="U2634" s="87"/>
      <c r="V2634" s="87">
        <v>1</v>
      </c>
      <c r="W2634" s="87"/>
      <c r="X2634" s="87"/>
      <c r="Y2634" s="87"/>
      <c r="Z2634" s="87"/>
      <c r="AA2634" s="87"/>
      <c r="AB2634" s="87"/>
      <c r="AC2634" s="87"/>
      <c r="AD2634" s="87"/>
      <c r="AE2634" s="87"/>
      <c r="AF2634" s="87"/>
      <c r="AG2634" s="87"/>
      <c r="AH2634" s="87">
        <v>11</v>
      </c>
      <c r="AI2634" s="87"/>
      <c r="AJ2634" s="87"/>
      <c r="AK2634" s="87"/>
      <c r="AL2634" s="87"/>
      <c r="AM2634" s="87"/>
      <c r="AN2634" s="87">
        <v>2</v>
      </c>
      <c r="AO2634" s="87">
        <v>1</v>
      </c>
      <c r="AP2634" s="87"/>
      <c r="AQ2634" s="87">
        <v>2</v>
      </c>
      <c r="AR2634" s="87">
        <v>6</v>
      </c>
      <c r="AS2634" s="87"/>
      <c r="AT2634" s="87"/>
      <c r="AU2634" s="87"/>
      <c r="AV2634" s="87"/>
      <c r="AW2634" s="88" t="str">
        <f>HYPERLINK("http://www.openstreetmap.org/?mlat=36.2568&amp;mlon=44.8862&amp;zoom=12#map=12/36.2568/44.8862","Maplink1")</f>
        <v>Maplink1</v>
      </c>
      <c r="AX2634" s="88" t="str">
        <f>HYPERLINK("https://www.google.iq/maps/search/+36.2568,44.8862/@36.2568,44.8862,14z?hl=en","Maplink2")</f>
        <v>Maplink2</v>
      </c>
      <c r="AY2634" s="88" t="str">
        <f>HYPERLINK("http://www.bing.com/maps/?lvl=14&amp;sty=h&amp;cp=36.2568~44.8862&amp;sp=point.36.2568_44.8862","Maplink3")</f>
        <v>Maplink3</v>
      </c>
      <c r="AZ2634" s="76"/>
    </row>
    <row r="2635" spans="1:52" x14ac:dyDescent="0.25">
      <c r="A2635" s="86">
        <v>31872</v>
      </c>
      <c r="B2635" s="87" t="s">
        <v>27</v>
      </c>
      <c r="C2635" s="87" t="s">
        <v>4971</v>
      </c>
      <c r="D2635" s="87" t="s">
        <v>4997</v>
      </c>
      <c r="E2635" s="87" t="s">
        <v>4998</v>
      </c>
      <c r="F2635" s="87">
        <v>36.248329499999997</v>
      </c>
      <c r="G2635" s="87">
        <v>44.860491099999997</v>
      </c>
      <c r="H2635" s="86">
        <v>10</v>
      </c>
      <c r="I2635" s="86">
        <v>60</v>
      </c>
      <c r="J2635" s="87"/>
      <c r="K2635" s="87"/>
      <c r="L2635" s="87"/>
      <c r="M2635" s="87"/>
      <c r="N2635" s="87"/>
      <c r="O2635" s="87"/>
      <c r="P2635" s="87"/>
      <c r="Q2635" s="87"/>
      <c r="R2635" s="87"/>
      <c r="S2635" s="87"/>
      <c r="T2635" s="87"/>
      <c r="U2635" s="87"/>
      <c r="V2635" s="87">
        <v>10</v>
      </c>
      <c r="W2635" s="87"/>
      <c r="X2635" s="87"/>
      <c r="Y2635" s="87"/>
      <c r="Z2635" s="87"/>
      <c r="AA2635" s="87"/>
      <c r="AB2635" s="87"/>
      <c r="AC2635" s="87"/>
      <c r="AD2635" s="87"/>
      <c r="AE2635" s="87"/>
      <c r="AF2635" s="87"/>
      <c r="AG2635" s="87"/>
      <c r="AH2635" s="87">
        <v>10</v>
      </c>
      <c r="AI2635" s="87"/>
      <c r="AJ2635" s="87"/>
      <c r="AK2635" s="87"/>
      <c r="AL2635" s="87"/>
      <c r="AM2635" s="87"/>
      <c r="AN2635" s="87"/>
      <c r="AO2635" s="87">
        <v>3</v>
      </c>
      <c r="AP2635" s="87">
        <v>4</v>
      </c>
      <c r="AQ2635" s="87"/>
      <c r="AR2635" s="87"/>
      <c r="AS2635" s="87"/>
      <c r="AT2635" s="87">
        <v>3</v>
      </c>
      <c r="AU2635" s="87"/>
      <c r="AV2635" s="87"/>
      <c r="AW2635" s="88" t="str">
        <f>HYPERLINK("http://www.openstreetmap.org/?mlat=36.2483&amp;mlon=44.8605&amp;zoom=12#map=12/36.2483/44.8605","Maplink1")</f>
        <v>Maplink1</v>
      </c>
      <c r="AX2635" s="88" t="str">
        <f>HYPERLINK("https://www.google.iq/maps/search/+36.2483,44.8605/@36.2483,44.8605,14z?hl=en","Maplink2")</f>
        <v>Maplink2</v>
      </c>
      <c r="AY2635" s="88" t="str">
        <f>HYPERLINK("http://www.bing.com/maps/?lvl=14&amp;sty=h&amp;cp=36.2483~44.8605&amp;sp=point.36.2483_44.8605","Maplink3")</f>
        <v>Maplink3</v>
      </c>
      <c r="AZ2635" s="76"/>
    </row>
    <row r="2636" spans="1:52" x14ac:dyDescent="0.25">
      <c r="A2636" s="86">
        <v>31871</v>
      </c>
      <c r="B2636" s="87" t="s">
        <v>27</v>
      </c>
      <c r="C2636" s="87" t="s">
        <v>4971</v>
      </c>
      <c r="D2636" s="87" t="s">
        <v>4746</v>
      </c>
      <c r="E2636" s="87" t="s">
        <v>2597</v>
      </c>
      <c r="F2636" s="87">
        <v>36.241752400000003</v>
      </c>
      <c r="G2636" s="87">
        <v>44.881473</v>
      </c>
      <c r="H2636" s="86">
        <v>7</v>
      </c>
      <c r="I2636" s="86">
        <v>42</v>
      </c>
      <c r="J2636" s="87">
        <v>1</v>
      </c>
      <c r="K2636" s="87"/>
      <c r="L2636" s="87">
        <v>3</v>
      </c>
      <c r="M2636" s="87"/>
      <c r="N2636" s="87"/>
      <c r="O2636" s="87"/>
      <c r="P2636" s="87"/>
      <c r="Q2636" s="87"/>
      <c r="R2636" s="87"/>
      <c r="S2636" s="87"/>
      <c r="T2636" s="87"/>
      <c r="U2636" s="87"/>
      <c r="V2636" s="87">
        <v>3</v>
      </c>
      <c r="W2636" s="87"/>
      <c r="X2636" s="87"/>
      <c r="Y2636" s="87"/>
      <c r="Z2636" s="87"/>
      <c r="AA2636" s="87"/>
      <c r="AB2636" s="87"/>
      <c r="AC2636" s="87"/>
      <c r="AD2636" s="87"/>
      <c r="AE2636" s="87"/>
      <c r="AF2636" s="87"/>
      <c r="AG2636" s="87"/>
      <c r="AH2636" s="87">
        <v>7</v>
      </c>
      <c r="AI2636" s="87"/>
      <c r="AJ2636" s="87"/>
      <c r="AK2636" s="87"/>
      <c r="AL2636" s="87"/>
      <c r="AM2636" s="87"/>
      <c r="AN2636" s="87">
        <v>3</v>
      </c>
      <c r="AO2636" s="87">
        <v>2</v>
      </c>
      <c r="AP2636" s="87">
        <v>1</v>
      </c>
      <c r="AQ2636" s="87">
        <v>1</v>
      </c>
      <c r="AR2636" s="87"/>
      <c r="AS2636" s="87"/>
      <c r="AT2636" s="87"/>
      <c r="AU2636" s="87"/>
      <c r="AV2636" s="87"/>
      <c r="AW2636" s="88" t="str">
        <f>HYPERLINK("http://www.openstreetmap.org/?mlat=36.2418&amp;mlon=44.8815&amp;zoom=12#map=12/36.2418/44.8815","Maplink1")</f>
        <v>Maplink1</v>
      </c>
      <c r="AX2636" s="88" t="str">
        <f>HYPERLINK("https://www.google.iq/maps/search/+36.2418,44.8815/@36.2418,44.8815,14z?hl=en","Maplink2")</f>
        <v>Maplink2</v>
      </c>
      <c r="AY2636" s="88" t="str">
        <f>HYPERLINK("http://www.bing.com/maps/?lvl=14&amp;sty=h&amp;cp=36.2418~44.8815&amp;sp=point.36.2418_44.8815","Maplink3")</f>
        <v>Maplink3</v>
      </c>
      <c r="AZ2636" s="76"/>
    </row>
    <row r="2637" spans="1:52" x14ac:dyDescent="0.25">
      <c r="A2637" s="86">
        <v>25293</v>
      </c>
      <c r="B2637" s="87" t="s">
        <v>27</v>
      </c>
      <c r="C2637" s="87" t="s">
        <v>4971</v>
      </c>
      <c r="D2637" s="87" t="s">
        <v>4746</v>
      </c>
      <c r="E2637" s="87" t="s">
        <v>2597</v>
      </c>
      <c r="F2637" s="87">
        <v>36.20458</v>
      </c>
      <c r="G2637" s="87">
        <v>44.821505199999997</v>
      </c>
      <c r="H2637" s="86">
        <v>12</v>
      </c>
      <c r="I2637" s="86">
        <v>72</v>
      </c>
      <c r="J2637" s="87">
        <v>1</v>
      </c>
      <c r="K2637" s="87"/>
      <c r="L2637" s="87">
        <v>3</v>
      </c>
      <c r="M2637" s="87"/>
      <c r="N2637" s="87"/>
      <c r="O2637" s="87">
        <v>1</v>
      </c>
      <c r="P2637" s="87"/>
      <c r="Q2637" s="87"/>
      <c r="R2637" s="87">
        <v>5</v>
      </c>
      <c r="S2637" s="87"/>
      <c r="T2637" s="87"/>
      <c r="U2637" s="87"/>
      <c r="V2637" s="87"/>
      <c r="W2637" s="87"/>
      <c r="X2637" s="87">
        <v>2</v>
      </c>
      <c r="Y2637" s="87"/>
      <c r="Z2637" s="87"/>
      <c r="AA2637" s="87"/>
      <c r="AB2637" s="87"/>
      <c r="AC2637" s="87"/>
      <c r="AD2637" s="87"/>
      <c r="AE2637" s="87"/>
      <c r="AF2637" s="87"/>
      <c r="AG2637" s="87"/>
      <c r="AH2637" s="87">
        <v>12</v>
      </c>
      <c r="AI2637" s="87"/>
      <c r="AJ2637" s="87"/>
      <c r="AK2637" s="87"/>
      <c r="AL2637" s="87"/>
      <c r="AM2637" s="87"/>
      <c r="AN2637" s="87"/>
      <c r="AO2637" s="87">
        <v>1</v>
      </c>
      <c r="AP2637" s="87"/>
      <c r="AQ2637" s="87">
        <v>2</v>
      </c>
      <c r="AR2637" s="87">
        <v>2</v>
      </c>
      <c r="AS2637" s="87">
        <v>1</v>
      </c>
      <c r="AT2637" s="87"/>
      <c r="AU2637" s="87">
        <v>4</v>
      </c>
      <c r="AV2637" s="87">
        <v>2</v>
      </c>
      <c r="AW2637" s="88" t="str">
        <f>HYPERLINK("http://www.openstreetmap.org/?mlat=36.2046&amp;mlon=44.8215&amp;zoom=12#map=12/36.2046/44.8215","Maplink1")</f>
        <v>Maplink1</v>
      </c>
      <c r="AX2637" s="88" t="str">
        <f>HYPERLINK("https://www.google.iq/maps/search/+36.2046,44.8215/@36.2046,44.8215,14z?hl=en","Maplink2")</f>
        <v>Maplink2</v>
      </c>
      <c r="AY2637" s="88" t="str">
        <f>HYPERLINK("http://www.bing.com/maps/?lvl=14&amp;sty=h&amp;cp=36.2046~44.8215&amp;sp=point.36.2046_44.8215","Maplink3")</f>
        <v>Maplink3</v>
      </c>
      <c r="AZ2637" s="76"/>
    </row>
    <row r="2638" spans="1:52" x14ac:dyDescent="0.25">
      <c r="A2638" s="86">
        <v>31873</v>
      </c>
      <c r="B2638" s="87" t="s">
        <v>27</v>
      </c>
      <c r="C2638" s="87" t="s">
        <v>4971</v>
      </c>
      <c r="D2638" s="87" t="s">
        <v>4999</v>
      </c>
      <c r="E2638" s="87" t="s">
        <v>5000</v>
      </c>
      <c r="F2638" s="87">
        <v>36.259437300000002</v>
      </c>
      <c r="G2638" s="87">
        <v>44.881953500000002</v>
      </c>
      <c r="H2638" s="86">
        <v>8</v>
      </c>
      <c r="I2638" s="86">
        <v>48</v>
      </c>
      <c r="J2638" s="87">
        <v>4</v>
      </c>
      <c r="K2638" s="87"/>
      <c r="L2638" s="87"/>
      <c r="M2638" s="87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  <c r="X2638" s="87">
        <v>4</v>
      </c>
      <c r="Y2638" s="87"/>
      <c r="Z2638" s="87"/>
      <c r="AA2638" s="87"/>
      <c r="AB2638" s="87"/>
      <c r="AC2638" s="87"/>
      <c r="AD2638" s="87"/>
      <c r="AE2638" s="87"/>
      <c r="AF2638" s="87"/>
      <c r="AG2638" s="87"/>
      <c r="AH2638" s="87">
        <v>8</v>
      </c>
      <c r="AI2638" s="87"/>
      <c r="AJ2638" s="87"/>
      <c r="AK2638" s="87"/>
      <c r="AL2638" s="87"/>
      <c r="AM2638" s="87"/>
      <c r="AN2638" s="87">
        <v>1</v>
      </c>
      <c r="AO2638" s="87">
        <v>3</v>
      </c>
      <c r="AP2638" s="87">
        <v>1</v>
      </c>
      <c r="AQ2638" s="87"/>
      <c r="AR2638" s="87"/>
      <c r="AS2638" s="87">
        <v>2</v>
      </c>
      <c r="AT2638" s="87"/>
      <c r="AU2638" s="87"/>
      <c r="AV2638" s="87">
        <v>1</v>
      </c>
      <c r="AW2638" s="88" t="str">
        <f>HYPERLINK("http://www.openstreetmap.org/?mlat=36.2594&amp;mlon=44.882&amp;zoom=12#map=12/36.2594/44.882","Maplink1")</f>
        <v>Maplink1</v>
      </c>
      <c r="AX2638" s="88" t="str">
        <f>HYPERLINK("https://www.google.iq/maps/search/+36.2594,44.882/@36.2594,44.882,14z?hl=en","Maplink2")</f>
        <v>Maplink2</v>
      </c>
      <c r="AY2638" s="88" t="str">
        <f>HYPERLINK("http://www.bing.com/maps/?lvl=14&amp;sty=h&amp;cp=36.2594~44.882&amp;sp=point.36.2594_44.882","Maplink3")</f>
        <v>Maplink3</v>
      </c>
      <c r="AZ2638" s="76"/>
    </row>
    <row r="2639" spans="1:52" x14ac:dyDescent="0.25">
      <c r="A2639" s="86">
        <v>25294</v>
      </c>
      <c r="B2639" s="87" t="s">
        <v>27</v>
      </c>
      <c r="C2639" s="87" t="s">
        <v>4971</v>
      </c>
      <c r="D2639" s="87" t="s">
        <v>4861</v>
      </c>
      <c r="E2639" s="87" t="s">
        <v>2049</v>
      </c>
      <c r="F2639" s="87">
        <v>36.202849399999998</v>
      </c>
      <c r="G2639" s="87">
        <v>44.823399500000001</v>
      </c>
      <c r="H2639" s="86">
        <v>5</v>
      </c>
      <c r="I2639" s="86">
        <v>30</v>
      </c>
      <c r="J2639" s="87">
        <v>3</v>
      </c>
      <c r="K2639" s="87"/>
      <c r="L2639" s="87">
        <v>1</v>
      </c>
      <c r="M2639" s="87"/>
      <c r="N2639" s="87"/>
      <c r="O2639" s="87">
        <v>1</v>
      </c>
      <c r="P2639" s="87"/>
      <c r="Q2639" s="87"/>
      <c r="R2639" s="87"/>
      <c r="S2639" s="87"/>
      <c r="T2639" s="87"/>
      <c r="U2639" s="87"/>
      <c r="V2639" s="87"/>
      <c r="W2639" s="87"/>
      <c r="X2639" s="87"/>
      <c r="Y2639" s="87"/>
      <c r="Z2639" s="87"/>
      <c r="AA2639" s="87"/>
      <c r="AB2639" s="87"/>
      <c r="AC2639" s="87"/>
      <c r="AD2639" s="87"/>
      <c r="AE2639" s="87"/>
      <c r="AF2639" s="87"/>
      <c r="AG2639" s="87"/>
      <c r="AH2639" s="87">
        <v>5</v>
      </c>
      <c r="AI2639" s="87"/>
      <c r="AJ2639" s="87"/>
      <c r="AK2639" s="87"/>
      <c r="AL2639" s="87"/>
      <c r="AM2639" s="87"/>
      <c r="AN2639" s="87"/>
      <c r="AO2639" s="87">
        <v>1</v>
      </c>
      <c r="AP2639" s="87">
        <v>1</v>
      </c>
      <c r="AQ2639" s="87"/>
      <c r="AR2639" s="87">
        <v>1</v>
      </c>
      <c r="AS2639" s="87">
        <v>2</v>
      </c>
      <c r="AT2639" s="87"/>
      <c r="AU2639" s="87"/>
      <c r="AV2639" s="87"/>
      <c r="AW2639" s="88" t="str">
        <f>HYPERLINK("http://www.openstreetmap.org/?mlat=36.2028&amp;mlon=44.8234&amp;zoom=12#map=12/36.2028/44.8234","Maplink1")</f>
        <v>Maplink1</v>
      </c>
      <c r="AX2639" s="88" t="str">
        <f>HYPERLINK("https://www.google.iq/maps/search/+36.2028,44.8234/@36.2028,44.8234,14z?hl=en","Maplink2")</f>
        <v>Maplink2</v>
      </c>
      <c r="AY2639" s="88" t="str">
        <f>HYPERLINK("http://www.bing.com/maps/?lvl=14&amp;sty=h&amp;cp=36.2028~44.8234&amp;sp=point.36.2028_44.8234","Maplink3")</f>
        <v>Maplink3</v>
      </c>
      <c r="AZ2639" s="76"/>
    </row>
    <row r="2640" spans="1:52" x14ac:dyDescent="0.25">
      <c r="A2640" s="86">
        <v>31868</v>
      </c>
      <c r="B2640" s="87" t="s">
        <v>27</v>
      </c>
      <c r="C2640" s="87" t="s">
        <v>4971</v>
      </c>
      <c r="D2640" s="87" t="s">
        <v>2048</v>
      </c>
      <c r="E2640" s="87" t="s">
        <v>2049</v>
      </c>
      <c r="F2640" s="87">
        <v>36.256384699999998</v>
      </c>
      <c r="G2640" s="87">
        <v>44.898803200000003</v>
      </c>
      <c r="H2640" s="86">
        <v>3</v>
      </c>
      <c r="I2640" s="86">
        <v>18</v>
      </c>
      <c r="J2640" s="87">
        <v>1</v>
      </c>
      <c r="K2640" s="87"/>
      <c r="L2640" s="87"/>
      <c r="M2640" s="87"/>
      <c r="N2640" s="87"/>
      <c r="O2640" s="87">
        <v>2</v>
      </c>
      <c r="P2640" s="87"/>
      <c r="Q2640" s="87"/>
      <c r="R2640" s="87"/>
      <c r="S2640" s="87"/>
      <c r="T2640" s="87"/>
      <c r="U2640" s="87"/>
      <c r="V2640" s="87"/>
      <c r="W2640" s="87"/>
      <c r="X2640" s="87"/>
      <c r="Y2640" s="87"/>
      <c r="Z2640" s="87"/>
      <c r="AA2640" s="87"/>
      <c r="AB2640" s="87"/>
      <c r="AC2640" s="87"/>
      <c r="AD2640" s="87"/>
      <c r="AE2640" s="87"/>
      <c r="AF2640" s="87"/>
      <c r="AG2640" s="87"/>
      <c r="AH2640" s="87">
        <v>3</v>
      </c>
      <c r="AI2640" s="87"/>
      <c r="AJ2640" s="87"/>
      <c r="AK2640" s="87"/>
      <c r="AL2640" s="87"/>
      <c r="AM2640" s="87"/>
      <c r="AN2640" s="87">
        <v>1</v>
      </c>
      <c r="AO2640" s="87"/>
      <c r="AP2640" s="87"/>
      <c r="AQ2640" s="87"/>
      <c r="AR2640" s="87">
        <v>1</v>
      </c>
      <c r="AS2640" s="87"/>
      <c r="AT2640" s="87"/>
      <c r="AU2640" s="87"/>
      <c r="AV2640" s="87">
        <v>1</v>
      </c>
      <c r="AW2640" s="88" t="str">
        <f>HYPERLINK("http://www.openstreetmap.org/?mlat=36.2564&amp;mlon=44.8988&amp;zoom=12#map=12/36.2564/44.8988","Maplink1")</f>
        <v>Maplink1</v>
      </c>
      <c r="AX2640" s="88" t="str">
        <f>HYPERLINK("https://www.google.iq/maps/search/+36.2564,44.8988/@36.2564,44.8988,14z?hl=en","Maplink2")</f>
        <v>Maplink2</v>
      </c>
      <c r="AY2640" s="88" t="str">
        <f>HYPERLINK("http://www.bing.com/maps/?lvl=14&amp;sty=h&amp;cp=36.2564~44.8988&amp;sp=point.36.2564_44.8988","Maplink3")</f>
        <v>Maplink3</v>
      </c>
      <c r="AZ2640" s="76"/>
    </row>
    <row r="2641" spans="1:52" x14ac:dyDescent="0.25">
      <c r="A2641" s="86">
        <v>25521</v>
      </c>
      <c r="B2641" s="87" t="s">
        <v>27</v>
      </c>
      <c r="C2641" s="87" t="s">
        <v>4971</v>
      </c>
      <c r="D2641" s="87" t="s">
        <v>5001</v>
      </c>
      <c r="E2641" s="87" t="s">
        <v>5002</v>
      </c>
      <c r="F2641" s="87">
        <v>36.259526200000003</v>
      </c>
      <c r="G2641" s="87">
        <v>44.851625900000002</v>
      </c>
      <c r="H2641" s="86">
        <v>5</v>
      </c>
      <c r="I2641" s="86">
        <v>30</v>
      </c>
      <c r="J2641" s="87">
        <v>2</v>
      </c>
      <c r="K2641" s="87"/>
      <c r="L2641" s="87">
        <v>2</v>
      </c>
      <c r="M2641" s="87"/>
      <c r="N2641" s="87"/>
      <c r="O2641" s="87"/>
      <c r="P2641" s="87"/>
      <c r="Q2641" s="87"/>
      <c r="R2641" s="87"/>
      <c r="S2641" s="87"/>
      <c r="T2641" s="87"/>
      <c r="U2641" s="87"/>
      <c r="V2641" s="87">
        <v>1</v>
      </c>
      <c r="W2641" s="87"/>
      <c r="X2641" s="87"/>
      <c r="Y2641" s="87"/>
      <c r="Z2641" s="87"/>
      <c r="AA2641" s="87"/>
      <c r="AB2641" s="87"/>
      <c r="AC2641" s="87"/>
      <c r="AD2641" s="87"/>
      <c r="AE2641" s="87"/>
      <c r="AF2641" s="87"/>
      <c r="AG2641" s="87"/>
      <c r="AH2641" s="87">
        <v>5</v>
      </c>
      <c r="AI2641" s="87"/>
      <c r="AJ2641" s="87"/>
      <c r="AK2641" s="87"/>
      <c r="AL2641" s="87"/>
      <c r="AM2641" s="87"/>
      <c r="AN2641" s="87"/>
      <c r="AO2641" s="87"/>
      <c r="AP2641" s="87">
        <v>1</v>
      </c>
      <c r="AQ2641" s="87">
        <v>2</v>
      </c>
      <c r="AR2641" s="87">
        <v>2</v>
      </c>
      <c r="AS2641" s="87"/>
      <c r="AT2641" s="87"/>
      <c r="AU2641" s="87"/>
      <c r="AV2641" s="87"/>
      <c r="AW2641" s="88" t="str">
        <f>HYPERLINK("http://www.openstreetmap.org/?mlat=36.2595&amp;mlon=44.8516&amp;zoom=12#map=12/36.2595/44.8516","Maplink1")</f>
        <v>Maplink1</v>
      </c>
      <c r="AX2641" s="88" t="str">
        <f>HYPERLINK("https://www.google.iq/maps/search/+36.2595,44.8516/@36.2595,44.8516,14z?hl=en","Maplink2")</f>
        <v>Maplink2</v>
      </c>
      <c r="AY2641" s="88" t="str">
        <f>HYPERLINK("http://www.bing.com/maps/?lvl=14&amp;sty=h&amp;cp=36.2595~44.8516&amp;sp=point.36.2595_44.8516","Maplink3")</f>
        <v>Maplink3</v>
      </c>
      <c r="AZ2641" s="76"/>
    </row>
    <row r="2642" spans="1:52" x14ac:dyDescent="0.25">
      <c r="A2642" s="86">
        <v>25297</v>
      </c>
      <c r="B2642" s="87" t="s">
        <v>27</v>
      </c>
      <c r="C2642" s="87" t="s">
        <v>4971</v>
      </c>
      <c r="D2642" s="87" t="s">
        <v>5003</v>
      </c>
      <c r="E2642" s="87" t="s">
        <v>5004</v>
      </c>
      <c r="F2642" s="87">
        <v>36.211486600000001</v>
      </c>
      <c r="G2642" s="87">
        <v>44.836857000000002</v>
      </c>
      <c r="H2642" s="86">
        <v>17</v>
      </c>
      <c r="I2642" s="86">
        <v>102</v>
      </c>
      <c r="J2642" s="87">
        <v>2</v>
      </c>
      <c r="K2642" s="87">
        <v>2</v>
      </c>
      <c r="L2642" s="87">
        <v>7</v>
      </c>
      <c r="M2642" s="87"/>
      <c r="N2642" s="87"/>
      <c r="O2642" s="87"/>
      <c r="P2642" s="87"/>
      <c r="Q2642" s="87"/>
      <c r="R2642" s="87">
        <v>1</v>
      </c>
      <c r="S2642" s="87"/>
      <c r="T2642" s="87"/>
      <c r="U2642" s="87"/>
      <c r="V2642" s="87">
        <v>3</v>
      </c>
      <c r="W2642" s="87"/>
      <c r="X2642" s="87">
        <v>2</v>
      </c>
      <c r="Y2642" s="87"/>
      <c r="Z2642" s="87"/>
      <c r="AA2642" s="87"/>
      <c r="AB2642" s="87"/>
      <c r="AC2642" s="87"/>
      <c r="AD2642" s="87"/>
      <c r="AE2642" s="87"/>
      <c r="AF2642" s="87"/>
      <c r="AG2642" s="87"/>
      <c r="AH2642" s="87">
        <v>16</v>
      </c>
      <c r="AI2642" s="87"/>
      <c r="AJ2642" s="87"/>
      <c r="AK2642" s="87"/>
      <c r="AL2642" s="87">
        <v>1</v>
      </c>
      <c r="AM2642" s="87"/>
      <c r="AN2642" s="87"/>
      <c r="AO2642" s="87">
        <v>1</v>
      </c>
      <c r="AP2642" s="87">
        <v>7</v>
      </c>
      <c r="AQ2642" s="87">
        <v>4</v>
      </c>
      <c r="AR2642" s="87">
        <v>2</v>
      </c>
      <c r="AS2642" s="87"/>
      <c r="AT2642" s="87"/>
      <c r="AU2642" s="87">
        <v>2</v>
      </c>
      <c r="AV2642" s="87">
        <v>1</v>
      </c>
      <c r="AW2642" s="88" t="str">
        <f>HYPERLINK("http://www.openstreetmap.org/?mlat=36.2115&amp;mlon=44.8369&amp;zoom=12#map=12/36.2115/44.8369","Maplink1")</f>
        <v>Maplink1</v>
      </c>
      <c r="AX2642" s="88" t="str">
        <f>HYPERLINK("https://www.google.iq/maps/search/+36.2115,44.8369/@36.2115,44.8369,14z?hl=en","Maplink2")</f>
        <v>Maplink2</v>
      </c>
      <c r="AY2642" s="88" t="str">
        <f>HYPERLINK("http://www.bing.com/maps/?lvl=14&amp;sty=h&amp;cp=36.2115~44.8369&amp;sp=point.36.2115_44.8369","Maplink3")</f>
        <v>Maplink3</v>
      </c>
      <c r="AZ2642" s="76"/>
    </row>
    <row r="2643" spans="1:52" x14ac:dyDescent="0.25">
      <c r="A2643" s="86">
        <v>29686</v>
      </c>
      <c r="B2643" s="87" t="s">
        <v>27</v>
      </c>
      <c r="C2643" s="87" t="s">
        <v>4971</v>
      </c>
      <c r="D2643" s="87" t="s">
        <v>5005</v>
      </c>
      <c r="E2643" s="87" t="s">
        <v>5006</v>
      </c>
      <c r="F2643" s="87">
        <v>36.211234599999997</v>
      </c>
      <c r="G2643" s="87">
        <v>44.827760400000003</v>
      </c>
      <c r="H2643" s="86">
        <v>32</v>
      </c>
      <c r="I2643" s="86">
        <v>192</v>
      </c>
      <c r="J2643" s="87">
        <v>13</v>
      </c>
      <c r="K2643" s="87"/>
      <c r="L2643" s="87">
        <v>4</v>
      </c>
      <c r="M2643" s="87"/>
      <c r="N2643" s="87"/>
      <c r="O2643" s="87">
        <v>6</v>
      </c>
      <c r="P2643" s="87"/>
      <c r="Q2643" s="87"/>
      <c r="R2643" s="87">
        <v>3</v>
      </c>
      <c r="S2643" s="87"/>
      <c r="T2643" s="87"/>
      <c r="U2643" s="87"/>
      <c r="V2643" s="87">
        <v>3</v>
      </c>
      <c r="W2643" s="87"/>
      <c r="X2643" s="87">
        <v>3</v>
      </c>
      <c r="Y2643" s="87"/>
      <c r="Z2643" s="87"/>
      <c r="AA2643" s="87"/>
      <c r="AB2643" s="87"/>
      <c r="AC2643" s="87"/>
      <c r="AD2643" s="87"/>
      <c r="AE2643" s="87"/>
      <c r="AF2643" s="87"/>
      <c r="AG2643" s="87"/>
      <c r="AH2643" s="87">
        <v>32</v>
      </c>
      <c r="AI2643" s="87"/>
      <c r="AJ2643" s="87"/>
      <c r="AK2643" s="87"/>
      <c r="AL2643" s="87"/>
      <c r="AM2643" s="87"/>
      <c r="AN2643" s="87">
        <v>4</v>
      </c>
      <c r="AO2643" s="87">
        <v>10</v>
      </c>
      <c r="AP2643" s="87">
        <v>4</v>
      </c>
      <c r="AQ2643" s="87">
        <v>3</v>
      </c>
      <c r="AR2643" s="87">
        <v>4</v>
      </c>
      <c r="AS2643" s="87">
        <v>3</v>
      </c>
      <c r="AT2643" s="87">
        <v>1</v>
      </c>
      <c r="AU2643" s="87">
        <v>3</v>
      </c>
      <c r="AV2643" s="87"/>
      <c r="AW2643" s="88" t="str">
        <f>HYPERLINK("http://www.openstreetmap.org/?mlat=36.2112&amp;mlon=44.8278&amp;zoom=12#map=12/36.2112/44.8278","Maplink1")</f>
        <v>Maplink1</v>
      </c>
      <c r="AX2643" s="88" t="str">
        <f>HYPERLINK("https://www.google.iq/maps/search/+36.2112,44.8278/@36.2112,44.8278,14z?hl=en","Maplink2")</f>
        <v>Maplink2</v>
      </c>
      <c r="AY2643" s="88" t="str">
        <f>HYPERLINK("http://www.bing.com/maps/?lvl=14&amp;sty=h&amp;cp=36.2112~44.8278&amp;sp=point.36.2112_44.8278","Maplink3")</f>
        <v>Maplink3</v>
      </c>
      <c r="AZ2643" s="76"/>
    </row>
    <row r="2644" spans="1:52" x14ac:dyDescent="0.25">
      <c r="A2644" s="86">
        <v>5583</v>
      </c>
      <c r="B2644" s="87" t="s">
        <v>27</v>
      </c>
      <c r="C2644" s="87" t="s">
        <v>4971</v>
      </c>
      <c r="D2644" s="87" t="s">
        <v>5007</v>
      </c>
      <c r="E2644" s="87" t="s">
        <v>5008</v>
      </c>
      <c r="F2644" s="87">
        <v>36.286687899999997</v>
      </c>
      <c r="G2644" s="87">
        <v>44.824052199999997</v>
      </c>
      <c r="H2644" s="86">
        <v>2</v>
      </c>
      <c r="I2644" s="86">
        <v>12</v>
      </c>
      <c r="J2644" s="87"/>
      <c r="K2644" s="87"/>
      <c r="L2644" s="87"/>
      <c r="M2644" s="87"/>
      <c r="N2644" s="87"/>
      <c r="O2644" s="87">
        <v>1</v>
      </c>
      <c r="P2644" s="87"/>
      <c r="Q2644" s="87"/>
      <c r="R2644" s="87">
        <v>1</v>
      </c>
      <c r="S2644" s="87"/>
      <c r="T2644" s="87"/>
      <c r="U2644" s="87"/>
      <c r="V2644" s="87"/>
      <c r="W2644" s="87"/>
      <c r="X2644" s="87"/>
      <c r="Y2644" s="87"/>
      <c r="Z2644" s="87"/>
      <c r="AA2644" s="87"/>
      <c r="AB2644" s="87"/>
      <c r="AC2644" s="87"/>
      <c r="AD2644" s="87"/>
      <c r="AE2644" s="87"/>
      <c r="AF2644" s="87"/>
      <c r="AG2644" s="87"/>
      <c r="AH2644" s="87">
        <v>2</v>
      </c>
      <c r="AI2644" s="87"/>
      <c r="AJ2644" s="87"/>
      <c r="AK2644" s="87"/>
      <c r="AL2644" s="87"/>
      <c r="AM2644" s="87"/>
      <c r="AN2644" s="87"/>
      <c r="AO2644" s="87">
        <v>1</v>
      </c>
      <c r="AP2644" s="87"/>
      <c r="AQ2644" s="87"/>
      <c r="AR2644" s="87"/>
      <c r="AS2644" s="87"/>
      <c r="AT2644" s="87"/>
      <c r="AU2644" s="87">
        <v>1</v>
      </c>
      <c r="AV2644" s="87"/>
      <c r="AW2644" s="88" t="str">
        <f>HYPERLINK("http://www.openstreetmap.org/?mlat=36.2867&amp;mlon=44.8241&amp;zoom=12#map=12/36.2867/44.8241","Maplink1")</f>
        <v>Maplink1</v>
      </c>
      <c r="AX2644" s="88" t="str">
        <f>HYPERLINK("https://www.google.iq/maps/search/+36.2867,44.8241/@36.2867,44.8241,14z?hl=en","Maplink2")</f>
        <v>Maplink2</v>
      </c>
      <c r="AY2644" s="88" t="str">
        <f>HYPERLINK("http://www.bing.com/maps/?lvl=14&amp;sty=h&amp;cp=36.2867~44.8241&amp;sp=point.36.2867_44.8241","Maplink3")</f>
        <v>Maplink3</v>
      </c>
      <c r="AZ2644" s="76"/>
    </row>
    <row r="2645" spans="1:52" x14ac:dyDescent="0.25">
      <c r="A2645" s="86">
        <v>24895</v>
      </c>
      <c r="B2645" s="87" t="s">
        <v>27</v>
      </c>
      <c r="C2645" s="87" t="s">
        <v>4971</v>
      </c>
      <c r="D2645" s="87" t="s">
        <v>5009</v>
      </c>
      <c r="E2645" s="87" t="s">
        <v>5010</v>
      </c>
      <c r="F2645" s="87">
        <v>36.244978699999997</v>
      </c>
      <c r="G2645" s="87">
        <v>44.771612900000001</v>
      </c>
      <c r="H2645" s="86">
        <v>25</v>
      </c>
      <c r="I2645" s="86">
        <v>150</v>
      </c>
      <c r="J2645" s="87">
        <v>9</v>
      </c>
      <c r="K2645" s="87"/>
      <c r="L2645" s="87">
        <v>3</v>
      </c>
      <c r="M2645" s="87"/>
      <c r="N2645" s="87"/>
      <c r="O2645" s="87"/>
      <c r="P2645" s="87"/>
      <c r="Q2645" s="87"/>
      <c r="R2645" s="87">
        <v>1</v>
      </c>
      <c r="S2645" s="87"/>
      <c r="T2645" s="87"/>
      <c r="U2645" s="87"/>
      <c r="V2645" s="87">
        <v>12</v>
      </c>
      <c r="W2645" s="87"/>
      <c r="X2645" s="87"/>
      <c r="Y2645" s="87"/>
      <c r="Z2645" s="87"/>
      <c r="AA2645" s="87"/>
      <c r="AB2645" s="87"/>
      <c r="AC2645" s="87"/>
      <c r="AD2645" s="87"/>
      <c r="AE2645" s="87"/>
      <c r="AF2645" s="87"/>
      <c r="AG2645" s="87"/>
      <c r="AH2645" s="87">
        <v>25</v>
      </c>
      <c r="AI2645" s="87"/>
      <c r="AJ2645" s="87"/>
      <c r="AK2645" s="87"/>
      <c r="AL2645" s="87"/>
      <c r="AM2645" s="87"/>
      <c r="AN2645" s="87">
        <v>2</v>
      </c>
      <c r="AO2645" s="87">
        <v>9</v>
      </c>
      <c r="AP2645" s="87">
        <v>2</v>
      </c>
      <c r="AQ2645" s="87">
        <v>5</v>
      </c>
      <c r="AR2645" s="87">
        <v>2</v>
      </c>
      <c r="AS2645" s="87">
        <v>2</v>
      </c>
      <c r="AT2645" s="87">
        <v>2</v>
      </c>
      <c r="AU2645" s="87">
        <v>1</v>
      </c>
      <c r="AV2645" s="87"/>
      <c r="AW2645" s="88" t="str">
        <f>HYPERLINK("http://www.openstreetmap.org/?mlat=36.245&amp;mlon=44.7716&amp;zoom=12#map=12/36.245/44.7716","Maplink1")</f>
        <v>Maplink1</v>
      </c>
      <c r="AX2645" s="88" t="str">
        <f>HYPERLINK("https://www.google.iq/maps/search/+36.245,44.7716/@36.245,44.7716,14z?hl=en","Maplink2")</f>
        <v>Maplink2</v>
      </c>
      <c r="AY2645" s="88" t="str">
        <f>HYPERLINK("http://www.bing.com/maps/?lvl=14&amp;sty=h&amp;cp=36.245~44.7716&amp;sp=point.36.245_44.7716","Maplink3")</f>
        <v>Maplink3</v>
      </c>
      <c r="AZ2645" s="76"/>
    </row>
    <row r="2646" spans="1:52" x14ac:dyDescent="0.25">
      <c r="A2646" s="86">
        <v>4206</v>
      </c>
      <c r="B2646" s="87" t="s">
        <v>27</v>
      </c>
      <c r="C2646" s="87" t="s">
        <v>4971</v>
      </c>
      <c r="D2646" s="87" t="s">
        <v>5011</v>
      </c>
      <c r="E2646" s="87" t="s">
        <v>5012</v>
      </c>
      <c r="F2646" s="87">
        <v>36.253375900000002</v>
      </c>
      <c r="G2646" s="87">
        <v>44.879208499999997</v>
      </c>
      <c r="H2646" s="86">
        <v>11</v>
      </c>
      <c r="I2646" s="86">
        <v>66</v>
      </c>
      <c r="J2646" s="87">
        <v>3</v>
      </c>
      <c r="K2646" s="87">
        <v>1</v>
      </c>
      <c r="L2646" s="87">
        <v>3</v>
      </c>
      <c r="M2646" s="87"/>
      <c r="N2646" s="87"/>
      <c r="O2646" s="87">
        <v>4</v>
      </c>
      <c r="P2646" s="87"/>
      <c r="Q2646" s="87"/>
      <c r="R2646" s="87"/>
      <c r="S2646" s="87"/>
      <c r="T2646" s="87"/>
      <c r="U2646" s="87"/>
      <c r="V2646" s="87"/>
      <c r="W2646" s="87"/>
      <c r="X2646" s="87"/>
      <c r="Y2646" s="87"/>
      <c r="Z2646" s="87"/>
      <c r="AA2646" s="87"/>
      <c r="AB2646" s="87"/>
      <c r="AC2646" s="87"/>
      <c r="AD2646" s="87"/>
      <c r="AE2646" s="87"/>
      <c r="AF2646" s="87"/>
      <c r="AG2646" s="87"/>
      <c r="AH2646" s="87">
        <v>11</v>
      </c>
      <c r="AI2646" s="87"/>
      <c r="AJ2646" s="87"/>
      <c r="AK2646" s="87"/>
      <c r="AL2646" s="87"/>
      <c r="AM2646" s="87"/>
      <c r="AN2646" s="87">
        <v>6</v>
      </c>
      <c r="AO2646" s="87">
        <v>1</v>
      </c>
      <c r="AP2646" s="87"/>
      <c r="AQ2646" s="87">
        <v>1</v>
      </c>
      <c r="AR2646" s="87">
        <v>2</v>
      </c>
      <c r="AS2646" s="87"/>
      <c r="AT2646" s="87">
        <v>1</v>
      </c>
      <c r="AU2646" s="87"/>
      <c r="AV2646" s="87"/>
      <c r="AW2646" s="88" t="str">
        <f>HYPERLINK("http://www.openstreetmap.org/?mlat=36.2534&amp;mlon=44.8792&amp;zoom=12#map=12/36.2534/44.8792","Maplink1")</f>
        <v>Maplink1</v>
      </c>
      <c r="AX2646" s="88" t="str">
        <f>HYPERLINK("https://www.google.iq/maps/search/+36.2534,44.8792/@36.2534,44.8792,14z?hl=en","Maplink2")</f>
        <v>Maplink2</v>
      </c>
      <c r="AY2646" s="88" t="str">
        <f>HYPERLINK("http://www.bing.com/maps/?lvl=14&amp;sty=h&amp;cp=36.2534~44.8792&amp;sp=point.36.2534_44.8792","Maplink3")</f>
        <v>Maplink3</v>
      </c>
      <c r="AZ2646" s="76"/>
    </row>
    <row r="2647" spans="1:52" x14ac:dyDescent="0.25">
      <c r="A2647" s="86">
        <v>31844</v>
      </c>
      <c r="B2647" s="87" t="s">
        <v>27</v>
      </c>
      <c r="C2647" s="87" t="s">
        <v>4971</v>
      </c>
      <c r="D2647" s="87" t="s">
        <v>5013</v>
      </c>
      <c r="E2647" s="87" t="s">
        <v>5014</v>
      </c>
      <c r="F2647" s="87">
        <v>36.260200599999997</v>
      </c>
      <c r="G2647" s="87">
        <v>44.7713532</v>
      </c>
      <c r="H2647" s="86">
        <v>2</v>
      </c>
      <c r="I2647" s="86">
        <v>12</v>
      </c>
      <c r="J2647" s="87"/>
      <c r="K2647" s="87"/>
      <c r="L2647" s="87"/>
      <c r="M2647" s="87"/>
      <c r="N2647" s="87"/>
      <c r="O2647" s="87"/>
      <c r="P2647" s="87"/>
      <c r="Q2647" s="87"/>
      <c r="R2647" s="87"/>
      <c r="S2647" s="87"/>
      <c r="T2647" s="87"/>
      <c r="U2647" s="87"/>
      <c r="V2647" s="87">
        <v>2</v>
      </c>
      <c r="W2647" s="87"/>
      <c r="X2647" s="87"/>
      <c r="Y2647" s="87"/>
      <c r="Z2647" s="87"/>
      <c r="AA2647" s="87"/>
      <c r="AB2647" s="87"/>
      <c r="AC2647" s="87"/>
      <c r="AD2647" s="87"/>
      <c r="AE2647" s="87"/>
      <c r="AF2647" s="87"/>
      <c r="AG2647" s="87"/>
      <c r="AH2647" s="87">
        <v>2</v>
      </c>
      <c r="AI2647" s="87"/>
      <c r="AJ2647" s="87"/>
      <c r="AK2647" s="87"/>
      <c r="AL2647" s="87"/>
      <c r="AM2647" s="87"/>
      <c r="AN2647" s="87"/>
      <c r="AO2647" s="87">
        <v>2</v>
      </c>
      <c r="AP2647" s="87"/>
      <c r="AQ2647" s="87"/>
      <c r="AR2647" s="87"/>
      <c r="AS2647" s="87"/>
      <c r="AT2647" s="87"/>
      <c r="AU2647" s="87"/>
      <c r="AV2647" s="87"/>
      <c r="AW2647" s="88" t="str">
        <f>HYPERLINK("http://www.openstreetmap.org/?mlat=36.2602&amp;mlon=44.7714&amp;zoom=12#map=12/36.2602/44.7714","Maplink1")</f>
        <v>Maplink1</v>
      </c>
      <c r="AX2647" s="88" t="str">
        <f>HYPERLINK("https://www.google.iq/maps/search/+36.2602,44.7714/@36.2602,44.7714,14z?hl=en","Maplink2")</f>
        <v>Maplink2</v>
      </c>
      <c r="AY2647" s="88" t="str">
        <f>HYPERLINK("http://www.bing.com/maps/?lvl=14&amp;sty=h&amp;cp=36.2602~44.7714&amp;sp=point.36.2602_44.7714","Maplink3")</f>
        <v>Maplink3</v>
      </c>
      <c r="AZ2647" s="76"/>
    </row>
    <row r="2648" spans="1:52" x14ac:dyDescent="0.25">
      <c r="A2648" s="86">
        <v>24896</v>
      </c>
      <c r="B2648" s="87" t="s">
        <v>27</v>
      </c>
      <c r="C2648" s="87" t="s">
        <v>4971</v>
      </c>
      <c r="D2648" s="87" t="s">
        <v>5015</v>
      </c>
      <c r="E2648" s="87" t="s">
        <v>5016</v>
      </c>
      <c r="F2648" s="87">
        <v>36.228222500000001</v>
      </c>
      <c r="G2648" s="87">
        <v>44.800332699999998</v>
      </c>
      <c r="H2648" s="86">
        <v>11</v>
      </c>
      <c r="I2648" s="86">
        <v>66</v>
      </c>
      <c r="J2648" s="87"/>
      <c r="K2648" s="87"/>
      <c r="L2648" s="87">
        <v>2</v>
      </c>
      <c r="M2648" s="87"/>
      <c r="N2648" s="87"/>
      <c r="O2648" s="87"/>
      <c r="P2648" s="87"/>
      <c r="Q2648" s="87"/>
      <c r="R2648" s="87"/>
      <c r="S2648" s="87"/>
      <c r="T2648" s="87"/>
      <c r="U2648" s="87"/>
      <c r="V2648" s="87">
        <v>8</v>
      </c>
      <c r="W2648" s="87"/>
      <c r="X2648" s="87">
        <v>1</v>
      </c>
      <c r="Y2648" s="87"/>
      <c r="Z2648" s="87"/>
      <c r="AA2648" s="87"/>
      <c r="AB2648" s="87"/>
      <c r="AC2648" s="87"/>
      <c r="AD2648" s="87"/>
      <c r="AE2648" s="87"/>
      <c r="AF2648" s="87"/>
      <c r="AG2648" s="87"/>
      <c r="AH2648" s="87">
        <v>11</v>
      </c>
      <c r="AI2648" s="87"/>
      <c r="AJ2648" s="87"/>
      <c r="AK2648" s="87"/>
      <c r="AL2648" s="87"/>
      <c r="AM2648" s="87"/>
      <c r="AN2648" s="87"/>
      <c r="AO2648" s="87">
        <v>10</v>
      </c>
      <c r="AP2648" s="87"/>
      <c r="AQ2648" s="87">
        <v>1</v>
      </c>
      <c r="AR2648" s="87"/>
      <c r="AS2648" s="87"/>
      <c r="AT2648" s="87"/>
      <c r="AU2648" s="87"/>
      <c r="AV2648" s="87"/>
      <c r="AW2648" s="88" t="str">
        <f>HYPERLINK("http://www.openstreetmap.org/?mlat=36.2282&amp;mlon=44.8003&amp;zoom=12#map=12/36.2282/44.8003","Maplink1")</f>
        <v>Maplink1</v>
      </c>
      <c r="AX2648" s="88" t="str">
        <f>HYPERLINK("https://www.google.iq/maps/search/+36.2282,44.8003/@36.2282,44.8003,14z?hl=en","Maplink2")</f>
        <v>Maplink2</v>
      </c>
      <c r="AY2648" s="88" t="str">
        <f>HYPERLINK("http://www.bing.com/maps/?lvl=14&amp;sty=h&amp;cp=36.2282~44.8003&amp;sp=point.36.2282_44.8003","Maplink3")</f>
        <v>Maplink3</v>
      </c>
      <c r="AZ2648" s="76"/>
    </row>
    <row r="2649" spans="1:52" x14ac:dyDescent="0.25">
      <c r="A2649" s="86">
        <v>4152</v>
      </c>
      <c r="B2649" s="87" t="s">
        <v>27</v>
      </c>
      <c r="C2649" s="87" t="s">
        <v>4971</v>
      </c>
      <c r="D2649" s="87" t="s">
        <v>5017</v>
      </c>
      <c r="E2649" s="87" t="s">
        <v>5018</v>
      </c>
      <c r="F2649" s="87">
        <v>36.272229099999997</v>
      </c>
      <c r="G2649" s="87">
        <v>44.8675937</v>
      </c>
      <c r="H2649" s="86">
        <v>8</v>
      </c>
      <c r="I2649" s="86">
        <v>48</v>
      </c>
      <c r="J2649" s="87">
        <v>2</v>
      </c>
      <c r="K2649" s="87">
        <v>4</v>
      </c>
      <c r="L2649" s="87">
        <v>2</v>
      </c>
      <c r="M2649" s="87"/>
      <c r="N2649" s="87"/>
      <c r="O2649" s="87"/>
      <c r="P2649" s="87"/>
      <c r="Q2649" s="87"/>
      <c r="R2649" s="87"/>
      <c r="S2649" s="87"/>
      <c r="T2649" s="87"/>
      <c r="U2649" s="87"/>
      <c r="V2649" s="87"/>
      <c r="W2649" s="87"/>
      <c r="X2649" s="87"/>
      <c r="Y2649" s="87"/>
      <c r="Z2649" s="87"/>
      <c r="AA2649" s="87"/>
      <c r="AB2649" s="87"/>
      <c r="AC2649" s="87"/>
      <c r="AD2649" s="87"/>
      <c r="AE2649" s="87"/>
      <c r="AF2649" s="87"/>
      <c r="AG2649" s="87"/>
      <c r="AH2649" s="87">
        <v>8</v>
      </c>
      <c r="AI2649" s="87"/>
      <c r="AJ2649" s="87"/>
      <c r="AK2649" s="87"/>
      <c r="AL2649" s="87"/>
      <c r="AM2649" s="87"/>
      <c r="AN2649" s="87">
        <v>1</v>
      </c>
      <c r="AO2649" s="87"/>
      <c r="AP2649" s="87">
        <v>4</v>
      </c>
      <c r="AQ2649" s="87">
        <v>2</v>
      </c>
      <c r="AR2649" s="87">
        <v>1</v>
      </c>
      <c r="AS2649" s="87"/>
      <c r="AT2649" s="87"/>
      <c r="AU2649" s="87"/>
      <c r="AV2649" s="87"/>
      <c r="AW2649" s="88" t="str">
        <f>HYPERLINK("http://www.openstreetmap.org/?mlat=36.2722&amp;mlon=44.8676&amp;zoom=12#map=12/36.2722/44.8676","Maplink1")</f>
        <v>Maplink1</v>
      </c>
      <c r="AX2649" s="88" t="str">
        <f>HYPERLINK("https://www.google.iq/maps/search/+36.2722,44.8676/@36.2722,44.8676,14z?hl=en","Maplink2")</f>
        <v>Maplink2</v>
      </c>
      <c r="AY2649" s="88" t="str">
        <f>HYPERLINK("http://www.bing.com/maps/?lvl=14&amp;sty=h&amp;cp=36.2722~44.8676&amp;sp=point.36.2722_44.8676","Maplink3")</f>
        <v>Maplink3</v>
      </c>
      <c r="AZ2649" s="76"/>
    </row>
    <row r="2650" spans="1:52" x14ac:dyDescent="0.25">
      <c r="A2650" s="86">
        <v>25295</v>
      </c>
      <c r="B2650" s="87" t="s">
        <v>27</v>
      </c>
      <c r="C2650" s="87" t="s">
        <v>4971</v>
      </c>
      <c r="D2650" s="87" t="s">
        <v>5019</v>
      </c>
      <c r="E2650" s="87" t="s">
        <v>5020</v>
      </c>
      <c r="F2650" s="87">
        <v>36.204621600000003</v>
      </c>
      <c r="G2650" s="87">
        <v>44.826903399999999</v>
      </c>
      <c r="H2650" s="86">
        <v>9</v>
      </c>
      <c r="I2650" s="86">
        <v>54</v>
      </c>
      <c r="J2650" s="87">
        <v>8</v>
      </c>
      <c r="K2650" s="87"/>
      <c r="L2650" s="87">
        <v>1</v>
      </c>
      <c r="M2650" s="87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  <c r="X2650" s="87"/>
      <c r="Y2650" s="87"/>
      <c r="Z2650" s="87"/>
      <c r="AA2650" s="87"/>
      <c r="AB2650" s="87"/>
      <c r="AC2650" s="87"/>
      <c r="AD2650" s="87"/>
      <c r="AE2650" s="87"/>
      <c r="AF2650" s="87"/>
      <c r="AG2650" s="87"/>
      <c r="AH2650" s="87">
        <v>9</v>
      </c>
      <c r="AI2650" s="87"/>
      <c r="AJ2650" s="87"/>
      <c r="AK2650" s="87"/>
      <c r="AL2650" s="87"/>
      <c r="AM2650" s="87"/>
      <c r="AN2650" s="87">
        <v>1</v>
      </c>
      <c r="AO2650" s="87"/>
      <c r="AP2650" s="87"/>
      <c r="AQ2650" s="87">
        <v>1</v>
      </c>
      <c r="AR2650" s="87">
        <v>1</v>
      </c>
      <c r="AS2650" s="87">
        <v>4</v>
      </c>
      <c r="AT2650" s="87">
        <v>2</v>
      </c>
      <c r="AU2650" s="87"/>
      <c r="AV2650" s="87"/>
      <c r="AW2650" s="88" t="str">
        <f>HYPERLINK("http://www.openstreetmap.org/?mlat=36.2046&amp;mlon=44.8269&amp;zoom=12#map=12/36.2046/44.8269","Maplink1")</f>
        <v>Maplink1</v>
      </c>
      <c r="AX2650" s="88" t="str">
        <f>HYPERLINK("https://www.google.iq/maps/search/+36.2046,44.8269/@36.2046,44.8269,14z?hl=en","Maplink2")</f>
        <v>Maplink2</v>
      </c>
      <c r="AY2650" s="88" t="str">
        <f>HYPERLINK("http://www.bing.com/maps/?lvl=14&amp;sty=h&amp;cp=36.2046~44.8269&amp;sp=point.36.2046_44.8269","Maplink3")</f>
        <v>Maplink3</v>
      </c>
      <c r="AZ2650" s="76"/>
    </row>
    <row r="2651" spans="1:52" x14ac:dyDescent="0.25">
      <c r="A2651" s="86">
        <v>4320</v>
      </c>
      <c r="B2651" s="87" t="s">
        <v>27</v>
      </c>
      <c r="C2651" s="87" t="s">
        <v>5021</v>
      </c>
      <c r="D2651" s="87" t="s">
        <v>5022</v>
      </c>
      <c r="E2651" s="87" t="s">
        <v>5023</v>
      </c>
      <c r="F2651" s="87">
        <v>35.715917699999999</v>
      </c>
      <c r="G2651" s="87">
        <v>45.574336199999998</v>
      </c>
      <c r="H2651" s="86">
        <v>7</v>
      </c>
      <c r="I2651" s="86">
        <v>42</v>
      </c>
      <c r="J2651" s="87"/>
      <c r="K2651" s="87"/>
      <c r="L2651" s="87"/>
      <c r="M2651" s="87"/>
      <c r="N2651" s="87"/>
      <c r="O2651" s="87">
        <v>1</v>
      </c>
      <c r="P2651" s="87"/>
      <c r="Q2651" s="87"/>
      <c r="R2651" s="87"/>
      <c r="S2651" s="87"/>
      <c r="T2651" s="87"/>
      <c r="U2651" s="87"/>
      <c r="V2651" s="87">
        <v>6</v>
      </c>
      <c r="W2651" s="87"/>
      <c r="X2651" s="87"/>
      <c r="Y2651" s="87"/>
      <c r="Z2651" s="87"/>
      <c r="AA2651" s="87"/>
      <c r="AB2651" s="87"/>
      <c r="AC2651" s="87"/>
      <c r="AD2651" s="87"/>
      <c r="AE2651" s="87"/>
      <c r="AF2651" s="87"/>
      <c r="AG2651" s="87"/>
      <c r="AH2651" s="87">
        <v>7</v>
      </c>
      <c r="AI2651" s="87"/>
      <c r="AJ2651" s="87"/>
      <c r="AK2651" s="87"/>
      <c r="AL2651" s="87"/>
      <c r="AM2651" s="87"/>
      <c r="AN2651" s="87"/>
      <c r="AO2651" s="87"/>
      <c r="AP2651" s="87">
        <v>5</v>
      </c>
      <c r="AQ2651" s="87">
        <v>1</v>
      </c>
      <c r="AR2651" s="87"/>
      <c r="AS2651" s="87"/>
      <c r="AT2651" s="87"/>
      <c r="AU2651" s="87"/>
      <c r="AV2651" s="87">
        <v>1</v>
      </c>
      <c r="AW2651" s="88" t="str">
        <f>HYPERLINK("http://www.openstreetmap.org/?mlat=35.7159&amp;mlon=45.5743&amp;zoom=12#map=12/35.7159/45.5743","Maplink1")</f>
        <v>Maplink1</v>
      </c>
      <c r="AX2651" s="88" t="str">
        <f>HYPERLINK("https://www.google.iq/maps/search/+35.7159,45.5743/@35.7159,45.5743,14z?hl=en","Maplink2")</f>
        <v>Maplink2</v>
      </c>
      <c r="AY2651" s="88" t="str">
        <f>HYPERLINK("http://www.bing.com/maps/?lvl=14&amp;sty=h&amp;cp=35.7159~45.5743&amp;sp=point.35.7159_45.5743","Maplink3")</f>
        <v>Maplink3</v>
      </c>
      <c r="AZ2651" s="76"/>
    </row>
    <row r="2652" spans="1:52" x14ac:dyDescent="0.25">
      <c r="A2652" s="86">
        <v>4307</v>
      </c>
      <c r="B2652" s="87" t="s">
        <v>27</v>
      </c>
      <c r="C2652" s="87" t="s">
        <v>5021</v>
      </c>
      <c r="D2652" s="87" t="s">
        <v>5024</v>
      </c>
      <c r="E2652" s="87" t="s">
        <v>5025</v>
      </c>
      <c r="F2652" s="87">
        <v>35.796743999999997</v>
      </c>
      <c r="G2652" s="87">
        <v>45.351584000000003</v>
      </c>
      <c r="H2652" s="86">
        <v>9</v>
      </c>
      <c r="I2652" s="86">
        <v>54</v>
      </c>
      <c r="J2652" s="87">
        <v>1</v>
      </c>
      <c r="K2652" s="87"/>
      <c r="L2652" s="87">
        <v>1</v>
      </c>
      <c r="M2652" s="87"/>
      <c r="N2652" s="87"/>
      <c r="O2652" s="87">
        <v>1</v>
      </c>
      <c r="P2652" s="87"/>
      <c r="Q2652" s="87"/>
      <c r="R2652" s="87"/>
      <c r="S2652" s="87"/>
      <c r="T2652" s="87"/>
      <c r="U2652" s="87"/>
      <c r="V2652" s="87">
        <v>2</v>
      </c>
      <c r="W2652" s="87"/>
      <c r="X2652" s="87">
        <v>4</v>
      </c>
      <c r="Y2652" s="87"/>
      <c r="Z2652" s="87"/>
      <c r="AA2652" s="87"/>
      <c r="AB2652" s="87"/>
      <c r="AC2652" s="87"/>
      <c r="AD2652" s="87"/>
      <c r="AE2652" s="87"/>
      <c r="AF2652" s="87"/>
      <c r="AG2652" s="87"/>
      <c r="AH2652" s="87">
        <v>9</v>
      </c>
      <c r="AI2652" s="87"/>
      <c r="AJ2652" s="87"/>
      <c r="AK2652" s="87"/>
      <c r="AL2652" s="87"/>
      <c r="AM2652" s="87"/>
      <c r="AN2652" s="87">
        <v>1</v>
      </c>
      <c r="AO2652" s="87">
        <v>2</v>
      </c>
      <c r="AP2652" s="87">
        <v>2</v>
      </c>
      <c r="AQ2652" s="87"/>
      <c r="AR2652" s="87"/>
      <c r="AS2652" s="87">
        <v>1</v>
      </c>
      <c r="AT2652" s="87">
        <v>2</v>
      </c>
      <c r="AU2652" s="87">
        <v>1</v>
      </c>
      <c r="AV2652" s="87"/>
      <c r="AW2652" s="88" t="str">
        <f>HYPERLINK("http://www.openstreetmap.org/?mlat=35.7967&amp;mlon=45.3516&amp;zoom=12#map=12/35.7967/45.3516","Maplink1")</f>
        <v>Maplink1</v>
      </c>
      <c r="AX2652" s="88" t="str">
        <f>HYPERLINK("https://www.google.iq/maps/search/+35.7967,45.3516/@35.7967,45.3516,14z?hl=en","Maplink2")</f>
        <v>Maplink2</v>
      </c>
      <c r="AY2652" s="88" t="str">
        <f>HYPERLINK("http://www.bing.com/maps/?lvl=14&amp;sty=h&amp;cp=35.7967~45.3516&amp;sp=point.35.7967_45.3516","Maplink3")</f>
        <v>Maplink3</v>
      </c>
      <c r="AZ2652" s="76"/>
    </row>
    <row r="2653" spans="1:52" x14ac:dyDescent="0.25">
      <c r="A2653" s="86">
        <v>4239</v>
      </c>
      <c r="B2653" s="87" t="s">
        <v>27</v>
      </c>
      <c r="C2653" s="87" t="s">
        <v>5021</v>
      </c>
      <c r="D2653" s="87" t="s">
        <v>5026</v>
      </c>
      <c r="E2653" s="87" t="s">
        <v>5027</v>
      </c>
      <c r="F2653" s="87">
        <v>35.637278799999997</v>
      </c>
      <c r="G2653" s="87">
        <v>45.5042501</v>
      </c>
      <c r="H2653" s="86">
        <v>62</v>
      </c>
      <c r="I2653" s="86">
        <v>372</v>
      </c>
      <c r="J2653" s="87"/>
      <c r="K2653" s="87"/>
      <c r="L2653" s="87"/>
      <c r="M2653" s="87"/>
      <c r="N2653" s="87"/>
      <c r="O2653" s="87">
        <v>2</v>
      </c>
      <c r="P2653" s="87"/>
      <c r="Q2653" s="87"/>
      <c r="R2653" s="87">
        <v>1</v>
      </c>
      <c r="S2653" s="87"/>
      <c r="T2653" s="87"/>
      <c r="U2653" s="87"/>
      <c r="V2653" s="87">
        <v>59</v>
      </c>
      <c r="W2653" s="87"/>
      <c r="X2653" s="87"/>
      <c r="Y2653" s="87"/>
      <c r="Z2653" s="87"/>
      <c r="AA2653" s="87"/>
      <c r="AB2653" s="87"/>
      <c r="AC2653" s="87"/>
      <c r="AD2653" s="87"/>
      <c r="AE2653" s="87"/>
      <c r="AF2653" s="87"/>
      <c r="AG2653" s="87"/>
      <c r="AH2653" s="87">
        <v>62</v>
      </c>
      <c r="AI2653" s="87"/>
      <c r="AJ2653" s="87"/>
      <c r="AK2653" s="87"/>
      <c r="AL2653" s="87"/>
      <c r="AM2653" s="87"/>
      <c r="AN2653" s="87"/>
      <c r="AO2653" s="87">
        <v>1</v>
      </c>
      <c r="AP2653" s="87">
        <v>59</v>
      </c>
      <c r="AQ2653" s="87">
        <v>2</v>
      </c>
      <c r="AR2653" s="87"/>
      <c r="AS2653" s="87"/>
      <c r="AT2653" s="87"/>
      <c r="AU2653" s="87"/>
      <c r="AV2653" s="87"/>
      <c r="AW2653" s="88" t="str">
        <f>HYPERLINK("http://www.openstreetmap.org/?mlat=35.6373&amp;mlon=45.5043&amp;zoom=12#map=12/35.6373/45.5043","Maplink1")</f>
        <v>Maplink1</v>
      </c>
      <c r="AX2653" s="88" t="str">
        <f>HYPERLINK("https://www.google.iq/maps/search/+35.6373,45.5043/@35.6373,45.5043,14z?hl=en","Maplink2")</f>
        <v>Maplink2</v>
      </c>
      <c r="AY2653" s="88" t="str">
        <f>HYPERLINK("http://www.bing.com/maps/?lvl=14&amp;sty=h&amp;cp=35.6373~45.5043&amp;sp=point.35.6373_45.5043","Maplink3")</f>
        <v>Maplink3</v>
      </c>
      <c r="AZ2653" s="76"/>
    </row>
    <row r="2654" spans="1:52" x14ac:dyDescent="0.25">
      <c r="A2654" s="86">
        <v>4233</v>
      </c>
      <c r="B2654" s="87" t="s">
        <v>27</v>
      </c>
      <c r="C2654" s="87" t="s">
        <v>5021</v>
      </c>
      <c r="D2654" s="87" t="s">
        <v>5028</v>
      </c>
      <c r="E2654" s="87" t="s">
        <v>5029</v>
      </c>
      <c r="F2654" s="87">
        <v>35.6662216</v>
      </c>
      <c r="G2654" s="87">
        <v>45.536496499999998</v>
      </c>
      <c r="H2654" s="86">
        <v>21</v>
      </c>
      <c r="I2654" s="86">
        <v>126</v>
      </c>
      <c r="J2654" s="87"/>
      <c r="K2654" s="87"/>
      <c r="L2654" s="87"/>
      <c r="M2654" s="87"/>
      <c r="N2654" s="87"/>
      <c r="O2654" s="87"/>
      <c r="P2654" s="87"/>
      <c r="Q2654" s="87"/>
      <c r="R2654" s="87"/>
      <c r="S2654" s="87"/>
      <c r="T2654" s="87"/>
      <c r="U2654" s="87"/>
      <c r="V2654" s="87">
        <v>21</v>
      </c>
      <c r="W2654" s="87"/>
      <c r="X2654" s="87"/>
      <c r="Y2654" s="87"/>
      <c r="Z2654" s="87"/>
      <c r="AA2654" s="87"/>
      <c r="AB2654" s="87"/>
      <c r="AC2654" s="87"/>
      <c r="AD2654" s="87"/>
      <c r="AE2654" s="87"/>
      <c r="AF2654" s="87"/>
      <c r="AG2654" s="87"/>
      <c r="AH2654" s="87">
        <v>21</v>
      </c>
      <c r="AI2654" s="87"/>
      <c r="AJ2654" s="87"/>
      <c r="AK2654" s="87"/>
      <c r="AL2654" s="87"/>
      <c r="AM2654" s="87"/>
      <c r="AN2654" s="87"/>
      <c r="AO2654" s="87"/>
      <c r="AP2654" s="87">
        <v>21</v>
      </c>
      <c r="AQ2654" s="87"/>
      <c r="AR2654" s="87"/>
      <c r="AS2654" s="87"/>
      <c r="AT2654" s="87"/>
      <c r="AU2654" s="87"/>
      <c r="AV2654" s="87"/>
      <c r="AW2654" s="88" t="str">
        <f>HYPERLINK("http://www.openstreetmap.org/?mlat=35.6662&amp;mlon=45.5365&amp;zoom=12#map=12/35.6662/45.5365","Maplink1")</f>
        <v>Maplink1</v>
      </c>
      <c r="AX2654" s="88" t="str">
        <f>HYPERLINK("https://www.google.iq/maps/search/+35.6662,45.5365/@35.6662,45.5365,14z?hl=en","Maplink2")</f>
        <v>Maplink2</v>
      </c>
      <c r="AY2654" s="88" t="str">
        <f>HYPERLINK("http://www.bing.com/maps/?lvl=14&amp;sty=h&amp;cp=35.6662~45.5365&amp;sp=point.35.6662_45.5365","Maplink3")</f>
        <v>Maplink3</v>
      </c>
      <c r="AZ2654" s="76"/>
    </row>
    <row r="2655" spans="1:52" x14ac:dyDescent="0.25">
      <c r="A2655" s="86">
        <v>23716</v>
      </c>
      <c r="B2655" s="87" t="s">
        <v>27</v>
      </c>
      <c r="C2655" s="87" t="s">
        <v>5030</v>
      </c>
      <c r="D2655" s="87" t="s">
        <v>5031</v>
      </c>
      <c r="E2655" s="87" t="s">
        <v>5032</v>
      </c>
      <c r="F2655" s="87">
        <v>35.556533399999999</v>
      </c>
      <c r="G2655" s="87">
        <v>45.408049599999998</v>
      </c>
      <c r="H2655" s="86">
        <v>28</v>
      </c>
      <c r="I2655" s="86">
        <v>168</v>
      </c>
      <c r="J2655" s="87">
        <v>11</v>
      </c>
      <c r="K2655" s="87"/>
      <c r="L2655" s="87">
        <v>7</v>
      </c>
      <c r="M2655" s="87"/>
      <c r="N2655" s="87"/>
      <c r="O2655" s="87">
        <v>1</v>
      </c>
      <c r="P2655" s="87"/>
      <c r="Q2655" s="87"/>
      <c r="R2655" s="87">
        <v>3</v>
      </c>
      <c r="S2655" s="87"/>
      <c r="T2655" s="87"/>
      <c r="U2655" s="87"/>
      <c r="V2655" s="87">
        <v>5</v>
      </c>
      <c r="W2655" s="87"/>
      <c r="X2655" s="87">
        <v>1</v>
      </c>
      <c r="Y2655" s="87"/>
      <c r="Z2655" s="87"/>
      <c r="AA2655" s="87"/>
      <c r="AB2655" s="87"/>
      <c r="AC2655" s="87"/>
      <c r="AD2655" s="87"/>
      <c r="AE2655" s="87"/>
      <c r="AF2655" s="87"/>
      <c r="AG2655" s="87"/>
      <c r="AH2655" s="87">
        <v>28</v>
      </c>
      <c r="AI2655" s="87"/>
      <c r="AJ2655" s="87"/>
      <c r="AK2655" s="87"/>
      <c r="AL2655" s="87"/>
      <c r="AM2655" s="87"/>
      <c r="AN2655" s="87">
        <v>1</v>
      </c>
      <c r="AO2655" s="87">
        <v>4</v>
      </c>
      <c r="AP2655" s="87">
        <v>2</v>
      </c>
      <c r="AQ2655" s="87">
        <v>2</v>
      </c>
      <c r="AR2655" s="87">
        <v>7</v>
      </c>
      <c r="AS2655" s="87">
        <v>3</v>
      </c>
      <c r="AT2655" s="87">
        <v>6</v>
      </c>
      <c r="AU2655" s="87">
        <v>3</v>
      </c>
      <c r="AV2655" s="87"/>
      <c r="AW2655" s="88" t="str">
        <f>HYPERLINK("http://www.openstreetmap.org/?mlat=35.5565&amp;mlon=45.408&amp;zoom=12#map=12/35.5565/45.408","Maplink1")</f>
        <v>Maplink1</v>
      </c>
      <c r="AX2655" s="88" t="str">
        <f>HYPERLINK("https://www.google.iq/maps/search/+35.5565,45.408/@35.5565,45.408,14z?hl=en","Maplink2")</f>
        <v>Maplink2</v>
      </c>
      <c r="AY2655" s="88" t="str">
        <f>HYPERLINK("http://www.bing.com/maps/?lvl=14&amp;sty=h&amp;cp=35.5565~45.408&amp;sp=point.35.5565_45.408","Maplink3")</f>
        <v>Maplink3</v>
      </c>
      <c r="AZ2655" s="76"/>
    </row>
    <row r="2656" spans="1:52" x14ac:dyDescent="0.25">
      <c r="A2656" s="86">
        <v>31867</v>
      </c>
      <c r="B2656" s="87" t="s">
        <v>27</v>
      </c>
      <c r="C2656" s="87" t="s">
        <v>5030</v>
      </c>
      <c r="D2656" s="87" t="s">
        <v>5033</v>
      </c>
      <c r="E2656" s="87" t="s">
        <v>5034</v>
      </c>
      <c r="F2656" s="87">
        <v>35.3986357</v>
      </c>
      <c r="G2656" s="87">
        <v>45.471580799999998</v>
      </c>
      <c r="H2656" s="86">
        <v>4</v>
      </c>
      <c r="I2656" s="86">
        <v>24</v>
      </c>
      <c r="J2656" s="87"/>
      <c r="K2656" s="87"/>
      <c r="L2656" s="87">
        <v>1</v>
      </c>
      <c r="M2656" s="87"/>
      <c r="N2656" s="87"/>
      <c r="O2656" s="87">
        <v>2</v>
      </c>
      <c r="P2656" s="87"/>
      <c r="Q2656" s="87"/>
      <c r="R2656" s="87">
        <v>1</v>
      </c>
      <c r="S2656" s="87"/>
      <c r="T2656" s="87"/>
      <c r="U2656" s="87"/>
      <c r="V2656" s="87"/>
      <c r="W2656" s="87"/>
      <c r="X2656" s="87"/>
      <c r="Y2656" s="87"/>
      <c r="Z2656" s="87"/>
      <c r="AA2656" s="87"/>
      <c r="AB2656" s="87"/>
      <c r="AC2656" s="87"/>
      <c r="AD2656" s="87"/>
      <c r="AE2656" s="87"/>
      <c r="AF2656" s="87"/>
      <c r="AG2656" s="87"/>
      <c r="AH2656" s="87">
        <v>4</v>
      </c>
      <c r="AI2656" s="87"/>
      <c r="AJ2656" s="87"/>
      <c r="AK2656" s="87"/>
      <c r="AL2656" s="87"/>
      <c r="AM2656" s="87"/>
      <c r="AN2656" s="87"/>
      <c r="AO2656" s="87">
        <v>1</v>
      </c>
      <c r="AP2656" s="87"/>
      <c r="AQ2656" s="87">
        <v>1</v>
      </c>
      <c r="AR2656" s="87">
        <v>2</v>
      </c>
      <c r="AS2656" s="87"/>
      <c r="AT2656" s="87"/>
      <c r="AU2656" s="87"/>
      <c r="AV2656" s="87"/>
      <c r="AW2656" s="88" t="str">
        <f>HYPERLINK("http://www.openstreetmap.org/?mlat=35.3986&amp;mlon=45.4716&amp;zoom=12#map=12/35.3986/45.4716","Maplink1")</f>
        <v>Maplink1</v>
      </c>
      <c r="AX2656" s="88" t="str">
        <f>HYPERLINK("https://www.google.iq/maps/search/+35.3986,45.4716/@35.3986,45.4716,14z?hl=en","Maplink2")</f>
        <v>Maplink2</v>
      </c>
      <c r="AY2656" s="88" t="str">
        <f>HYPERLINK("http://www.bing.com/maps/?lvl=14&amp;sty=h&amp;cp=35.3986~45.4716&amp;sp=point.35.3986_45.4716","Maplink3")</f>
        <v>Maplink3</v>
      </c>
      <c r="AZ2656" s="76"/>
    </row>
    <row r="2657" spans="1:52" x14ac:dyDescent="0.25">
      <c r="A2657" s="86">
        <v>31845</v>
      </c>
      <c r="B2657" s="87" t="s">
        <v>27</v>
      </c>
      <c r="C2657" s="87" t="s">
        <v>5030</v>
      </c>
      <c r="D2657" s="87" t="s">
        <v>5035</v>
      </c>
      <c r="E2657" s="87" t="s">
        <v>5036</v>
      </c>
      <c r="F2657" s="87">
        <v>35.567453430299999</v>
      </c>
      <c r="G2657" s="87">
        <v>45.458124300000001</v>
      </c>
      <c r="H2657" s="86">
        <v>39</v>
      </c>
      <c r="I2657" s="86">
        <v>234</v>
      </c>
      <c r="J2657" s="87">
        <v>16</v>
      </c>
      <c r="K2657" s="87"/>
      <c r="L2657" s="87">
        <v>9</v>
      </c>
      <c r="M2657" s="87"/>
      <c r="N2657" s="87"/>
      <c r="O2657" s="87">
        <v>5</v>
      </c>
      <c r="P2657" s="87"/>
      <c r="Q2657" s="87"/>
      <c r="R2657" s="87"/>
      <c r="S2657" s="87"/>
      <c r="T2657" s="87"/>
      <c r="U2657" s="87"/>
      <c r="V2657" s="87">
        <v>5</v>
      </c>
      <c r="W2657" s="87"/>
      <c r="X2657" s="87">
        <v>4</v>
      </c>
      <c r="Y2657" s="87"/>
      <c r="Z2657" s="87"/>
      <c r="AA2657" s="87"/>
      <c r="AB2657" s="87"/>
      <c r="AC2657" s="87"/>
      <c r="AD2657" s="87"/>
      <c r="AE2657" s="87"/>
      <c r="AF2657" s="87"/>
      <c r="AG2657" s="87"/>
      <c r="AH2657" s="87">
        <v>39</v>
      </c>
      <c r="AI2657" s="87"/>
      <c r="AJ2657" s="87"/>
      <c r="AK2657" s="87"/>
      <c r="AL2657" s="87"/>
      <c r="AM2657" s="87"/>
      <c r="AN2657" s="87">
        <v>4</v>
      </c>
      <c r="AO2657" s="87">
        <v>15</v>
      </c>
      <c r="AP2657" s="87">
        <v>6</v>
      </c>
      <c r="AQ2657" s="87">
        <v>9</v>
      </c>
      <c r="AR2657" s="87">
        <v>5</v>
      </c>
      <c r="AS2657" s="87"/>
      <c r="AT2657" s="87"/>
      <c r="AU2657" s="87"/>
      <c r="AV2657" s="87"/>
      <c r="AW2657" s="88" t="str">
        <f>HYPERLINK("http://www.openstreetmap.org/?mlat=35.5675&amp;mlon=45.4581&amp;zoom=12#map=12/35.5675/45.4581","Maplink1")</f>
        <v>Maplink1</v>
      </c>
      <c r="AX2657" s="88" t="str">
        <f>HYPERLINK("https://www.google.iq/maps/search/+35.5675,45.4581/@35.5675,45.4581,14z?hl=en","Maplink2")</f>
        <v>Maplink2</v>
      </c>
      <c r="AY2657" s="88" t="str">
        <f>HYPERLINK("http://www.bing.com/maps/?lvl=14&amp;sty=h&amp;cp=35.5675~45.4581&amp;sp=point.35.5675_45.4581","Maplink3")</f>
        <v>Maplink3</v>
      </c>
      <c r="AZ2657" s="76"/>
    </row>
    <row r="2658" spans="1:52" x14ac:dyDescent="0.25">
      <c r="A2658" s="86">
        <v>33355</v>
      </c>
      <c r="B2658" s="87" t="s">
        <v>27</v>
      </c>
      <c r="C2658" s="87" t="s">
        <v>5030</v>
      </c>
      <c r="D2658" s="87" t="s">
        <v>5037</v>
      </c>
      <c r="E2658" s="87" t="s">
        <v>5038</v>
      </c>
      <c r="F2658" s="87">
        <v>35.563314699999999</v>
      </c>
      <c r="G2658" s="87">
        <v>45.422037799999998</v>
      </c>
      <c r="H2658" s="86">
        <v>9</v>
      </c>
      <c r="I2658" s="86">
        <v>54</v>
      </c>
      <c r="J2658" s="87">
        <v>3</v>
      </c>
      <c r="K2658" s="87"/>
      <c r="L2658" s="87">
        <v>4</v>
      </c>
      <c r="M2658" s="87"/>
      <c r="N2658" s="87"/>
      <c r="O2658" s="87">
        <v>1</v>
      </c>
      <c r="P2658" s="87"/>
      <c r="Q2658" s="87"/>
      <c r="R2658" s="87"/>
      <c r="S2658" s="87"/>
      <c r="T2658" s="87"/>
      <c r="U2658" s="87"/>
      <c r="V2658" s="87">
        <v>1</v>
      </c>
      <c r="W2658" s="87"/>
      <c r="X2658" s="87"/>
      <c r="Y2658" s="87"/>
      <c r="Z2658" s="87"/>
      <c r="AA2658" s="87"/>
      <c r="AB2658" s="87"/>
      <c r="AC2658" s="87"/>
      <c r="AD2658" s="87"/>
      <c r="AE2658" s="87"/>
      <c r="AF2658" s="87"/>
      <c r="AG2658" s="87"/>
      <c r="AH2658" s="87">
        <v>9</v>
      </c>
      <c r="AI2658" s="87"/>
      <c r="AJ2658" s="87"/>
      <c r="AK2658" s="87"/>
      <c r="AL2658" s="87"/>
      <c r="AM2658" s="87"/>
      <c r="AN2658" s="87">
        <v>1</v>
      </c>
      <c r="AO2658" s="87">
        <v>1</v>
      </c>
      <c r="AP2658" s="87">
        <v>1</v>
      </c>
      <c r="AQ2658" s="87">
        <v>1</v>
      </c>
      <c r="AR2658" s="87">
        <v>1</v>
      </c>
      <c r="AS2658" s="87"/>
      <c r="AT2658" s="87">
        <v>4</v>
      </c>
      <c r="AU2658" s="87"/>
      <c r="AV2658" s="87"/>
      <c r="AW2658" s="88" t="str">
        <f>HYPERLINK("http://www.openstreetmap.org/?mlat=35.5633&amp;mlon=45.422&amp;zoom=12#map=12/35.5633/45.422","Maplink1")</f>
        <v>Maplink1</v>
      </c>
      <c r="AX2658" s="88" t="str">
        <f>HYPERLINK("https://www.google.iq/maps/search/+35.5633,45.422/@35.5633,45.422,14z?hl=en","Maplink2")</f>
        <v>Maplink2</v>
      </c>
      <c r="AY2658" s="88" t="str">
        <f>HYPERLINK("http://www.bing.com/maps/?lvl=14&amp;sty=h&amp;cp=35.5633~45.422&amp;sp=point.35.5633_45.422","Maplink3")</f>
        <v>Maplink3</v>
      </c>
      <c r="AZ2658" s="76"/>
    </row>
    <row r="2659" spans="1:52" x14ac:dyDescent="0.25">
      <c r="A2659" s="86">
        <v>33352</v>
      </c>
      <c r="B2659" s="87" t="s">
        <v>27</v>
      </c>
      <c r="C2659" s="87" t="s">
        <v>5030</v>
      </c>
      <c r="D2659" s="87" t="s">
        <v>5039</v>
      </c>
      <c r="E2659" s="87" t="s">
        <v>5040</v>
      </c>
      <c r="F2659" s="87">
        <v>35.564679300000002</v>
      </c>
      <c r="G2659" s="87">
        <v>45.408196799999999</v>
      </c>
      <c r="H2659" s="86">
        <v>11</v>
      </c>
      <c r="I2659" s="86">
        <v>66</v>
      </c>
      <c r="J2659" s="87">
        <v>4</v>
      </c>
      <c r="K2659" s="87"/>
      <c r="L2659" s="87">
        <v>2</v>
      </c>
      <c r="M2659" s="87"/>
      <c r="N2659" s="87"/>
      <c r="O2659" s="87">
        <v>2</v>
      </c>
      <c r="P2659" s="87"/>
      <c r="Q2659" s="87"/>
      <c r="R2659" s="87"/>
      <c r="S2659" s="87"/>
      <c r="T2659" s="87"/>
      <c r="U2659" s="87"/>
      <c r="V2659" s="87">
        <v>2</v>
      </c>
      <c r="W2659" s="87"/>
      <c r="X2659" s="87">
        <v>1</v>
      </c>
      <c r="Y2659" s="87"/>
      <c r="Z2659" s="87"/>
      <c r="AA2659" s="87"/>
      <c r="AB2659" s="87"/>
      <c r="AC2659" s="87"/>
      <c r="AD2659" s="87"/>
      <c r="AE2659" s="87"/>
      <c r="AF2659" s="87"/>
      <c r="AG2659" s="87"/>
      <c r="AH2659" s="87">
        <v>11</v>
      </c>
      <c r="AI2659" s="87"/>
      <c r="AJ2659" s="87"/>
      <c r="AK2659" s="87"/>
      <c r="AL2659" s="87"/>
      <c r="AM2659" s="87"/>
      <c r="AN2659" s="87">
        <v>2</v>
      </c>
      <c r="AO2659" s="87">
        <v>3</v>
      </c>
      <c r="AP2659" s="87">
        <v>1</v>
      </c>
      <c r="AQ2659" s="87"/>
      <c r="AR2659" s="87">
        <v>1</v>
      </c>
      <c r="AS2659" s="87">
        <v>1</v>
      </c>
      <c r="AT2659" s="87"/>
      <c r="AU2659" s="87">
        <v>2</v>
      </c>
      <c r="AV2659" s="87">
        <v>1</v>
      </c>
      <c r="AW2659" s="88" t="str">
        <f>HYPERLINK("http://www.openstreetmap.org/?mlat=35.5647&amp;mlon=45.4082&amp;zoom=12#map=12/35.5647/45.4082","Maplink1")</f>
        <v>Maplink1</v>
      </c>
      <c r="AX2659" s="88" t="str">
        <f>HYPERLINK("https://www.google.iq/maps/search/+35.5647,45.4082/@35.5647,45.4082,14z?hl=en","Maplink2")</f>
        <v>Maplink2</v>
      </c>
      <c r="AY2659" s="88" t="str">
        <f>HYPERLINK("http://www.bing.com/maps/?lvl=14&amp;sty=h&amp;cp=35.5647~45.4082&amp;sp=point.35.5647_45.4082","Maplink3")</f>
        <v>Maplink3</v>
      </c>
      <c r="AZ2659" s="76"/>
    </row>
    <row r="2660" spans="1:52" x14ac:dyDescent="0.25">
      <c r="A2660" s="86">
        <v>23692</v>
      </c>
      <c r="B2660" s="87" t="s">
        <v>27</v>
      </c>
      <c r="C2660" s="87" t="s">
        <v>5030</v>
      </c>
      <c r="D2660" s="87" t="s">
        <v>5041</v>
      </c>
      <c r="E2660" s="87" t="s">
        <v>5042</v>
      </c>
      <c r="F2660" s="87">
        <v>35.432487799999997</v>
      </c>
      <c r="G2660" s="87">
        <v>45.590494700000001</v>
      </c>
      <c r="H2660" s="86">
        <v>349</v>
      </c>
      <c r="I2660" s="86">
        <v>2094</v>
      </c>
      <c r="J2660" s="87"/>
      <c r="K2660" s="87">
        <v>2</v>
      </c>
      <c r="L2660" s="87"/>
      <c r="M2660" s="87"/>
      <c r="N2660" s="87"/>
      <c r="O2660" s="87"/>
      <c r="P2660" s="87"/>
      <c r="Q2660" s="87"/>
      <c r="R2660" s="87"/>
      <c r="S2660" s="87"/>
      <c r="T2660" s="87"/>
      <c r="U2660" s="87"/>
      <c r="V2660" s="87">
        <v>1</v>
      </c>
      <c r="W2660" s="87"/>
      <c r="X2660" s="87">
        <v>346</v>
      </c>
      <c r="Y2660" s="87"/>
      <c r="Z2660" s="87"/>
      <c r="AA2660" s="87"/>
      <c r="AB2660" s="87">
        <v>349</v>
      </c>
      <c r="AC2660" s="87"/>
      <c r="AD2660" s="87"/>
      <c r="AE2660" s="87"/>
      <c r="AF2660" s="87"/>
      <c r="AG2660" s="87"/>
      <c r="AH2660" s="87"/>
      <c r="AI2660" s="87"/>
      <c r="AJ2660" s="87"/>
      <c r="AK2660" s="87"/>
      <c r="AL2660" s="87"/>
      <c r="AM2660" s="87"/>
      <c r="AN2660" s="87"/>
      <c r="AO2660" s="87">
        <v>1</v>
      </c>
      <c r="AP2660" s="87">
        <v>2</v>
      </c>
      <c r="AQ2660" s="87">
        <v>346</v>
      </c>
      <c r="AR2660" s="87"/>
      <c r="AS2660" s="87"/>
      <c r="AT2660" s="87"/>
      <c r="AU2660" s="87"/>
      <c r="AV2660" s="87"/>
      <c r="AW2660" s="88" t="str">
        <f>HYPERLINK("http://www.openstreetmap.org/?mlat=35.4325&amp;mlon=45.5905&amp;zoom=12#map=12/35.4325/45.5905","Maplink1")</f>
        <v>Maplink1</v>
      </c>
      <c r="AX2660" s="88" t="str">
        <f>HYPERLINK("https://www.google.iq/maps/search/+35.4325,45.5905/@35.4325,45.5905,14z?hl=en","Maplink2")</f>
        <v>Maplink2</v>
      </c>
      <c r="AY2660" s="88" t="str">
        <f>HYPERLINK("http://www.bing.com/maps/?lvl=14&amp;sty=h&amp;cp=35.4325~45.5905&amp;sp=point.35.4325_45.5905","Maplink3")</f>
        <v>Maplink3</v>
      </c>
      <c r="AZ2660" s="76"/>
    </row>
    <row r="2661" spans="1:52" x14ac:dyDescent="0.25">
      <c r="A2661" s="86">
        <v>25289</v>
      </c>
      <c r="B2661" s="87" t="s">
        <v>27</v>
      </c>
      <c r="C2661" s="87" t="s">
        <v>5030</v>
      </c>
      <c r="D2661" s="87" t="s">
        <v>5043</v>
      </c>
      <c r="E2661" s="87" t="s">
        <v>5044</v>
      </c>
      <c r="F2661" s="87">
        <v>35.4212931</v>
      </c>
      <c r="G2661" s="87">
        <v>45.579856499999998</v>
      </c>
      <c r="H2661" s="86">
        <v>13</v>
      </c>
      <c r="I2661" s="86">
        <v>78</v>
      </c>
      <c r="J2661" s="87">
        <v>1</v>
      </c>
      <c r="K2661" s="87">
        <v>3</v>
      </c>
      <c r="L2661" s="87">
        <v>2</v>
      </c>
      <c r="M2661" s="87"/>
      <c r="N2661" s="87"/>
      <c r="O2661" s="87">
        <v>1</v>
      </c>
      <c r="P2661" s="87"/>
      <c r="Q2661" s="87"/>
      <c r="R2661" s="87"/>
      <c r="S2661" s="87"/>
      <c r="T2661" s="87"/>
      <c r="U2661" s="87"/>
      <c r="V2661" s="87"/>
      <c r="W2661" s="87"/>
      <c r="X2661" s="87">
        <v>6</v>
      </c>
      <c r="Y2661" s="87"/>
      <c r="Z2661" s="87"/>
      <c r="AA2661" s="87"/>
      <c r="AB2661" s="87"/>
      <c r="AC2661" s="87"/>
      <c r="AD2661" s="87"/>
      <c r="AE2661" s="87"/>
      <c r="AF2661" s="87"/>
      <c r="AG2661" s="87"/>
      <c r="AH2661" s="87">
        <v>13</v>
      </c>
      <c r="AI2661" s="87"/>
      <c r="AJ2661" s="87"/>
      <c r="AK2661" s="87"/>
      <c r="AL2661" s="87"/>
      <c r="AM2661" s="87"/>
      <c r="AN2661" s="87">
        <v>1</v>
      </c>
      <c r="AO2661" s="87">
        <v>7</v>
      </c>
      <c r="AP2661" s="87">
        <v>1</v>
      </c>
      <c r="AQ2661" s="87">
        <v>4</v>
      </c>
      <c r="AR2661" s="87"/>
      <c r="AS2661" s="87"/>
      <c r="AT2661" s="87"/>
      <c r="AU2661" s="87"/>
      <c r="AV2661" s="87"/>
      <c r="AW2661" s="88" t="str">
        <f>HYPERLINK("http://www.openstreetmap.org/?mlat=35.4213&amp;mlon=45.5799&amp;zoom=12#map=12/35.4213/45.5799","Maplink1")</f>
        <v>Maplink1</v>
      </c>
      <c r="AX2661" s="88" t="str">
        <f>HYPERLINK("https://www.google.iq/maps/search/+35.4213,45.5799/@35.4213,45.5799,14z?hl=en","Maplink2")</f>
        <v>Maplink2</v>
      </c>
      <c r="AY2661" s="88" t="str">
        <f>HYPERLINK("http://www.bing.com/maps/?lvl=14&amp;sty=h&amp;cp=35.4213~45.5799&amp;sp=point.35.4213_45.5799","Maplink3")</f>
        <v>Maplink3</v>
      </c>
      <c r="AZ2661" s="76"/>
    </row>
    <row r="2662" spans="1:52" x14ac:dyDescent="0.25">
      <c r="A2662" s="86">
        <v>25291</v>
      </c>
      <c r="B2662" s="87" t="s">
        <v>27</v>
      </c>
      <c r="C2662" s="87" t="s">
        <v>5030</v>
      </c>
      <c r="D2662" s="87" t="s">
        <v>5045</v>
      </c>
      <c r="E2662" s="87" t="s">
        <v>2624</v>
      </c>
      <c r="F2662" s="87">
        <v>35.425283299999997</v>
      </c>
      <c r="G2662" s="87">
        <v>45.5856086</v>
      </c>
      <c r="H2662" s="86">
        <v>96</v>
      </c>
      <c r="I2662" s="86">
        <v>576</v>
      </c>
      <c r="J2662" s="87">
        <v>5</v>
      </c>
      <c r="K2662" s="87">
        <v>38</v>
      </c>
      <c r="L2662" s="87">
        <v>7</v>
      </c>
      <c r="M2662" s="87"/>
      <c r="N2662" s="87"/>
      <c r="O2662" s="87">
        <v>10</v>
      </c>
      <c r="P2662" s="87"/>
      <c r="Q2662" s="87"/>
      <c r="R2662" s="87"/>
      <c r="S2662" s="87"/>
      <c r="T2662" s="87"/>
      <c r="U2662" s="87"/>
      <c r="V2662" s="87">
        <v>2</v>
      </c>
      <c r="W2662" s="87"/>
      <c r="X2662" s="87">
        <v>34</v>
      </c>
      <c r="Y2662" s="87"/>
      <c r="Z2662" s="87"/>
      <c r="AA2662" s="87"/>
      <c r="AB2662" s="87"/>
      <c r="AC2662" s="87"/>
      <c r="AD2662" s="87"/>
      <c r="AE2662" s="87"/>
      <c r="AF2662" s="87"/>
      <c r="AG2662" s="87"/>
      <c r="AH2662" s="87">
        <v>96</v>
      </c>
      <c r="AI2662" s="87"/>
      <c r="AJ2662" s="87"/>
      <c r="AK2662" s="87"/>
      <c r="AL2662" s="87"/>
      <c r="AM2662" s="87"/>
      <c r="AN2662" s="87"/>
      <c r="AO2662" s="87">
        <v>52</v>
      </c>
      <c r="AP2662" s="87">
        <v>9</v>
      </c>
      <c r="AQ2662" s="87">
        <v>32</v>
      </c>
      <c r="AR2662" s="87">
        <v>3</v>
      </c>
      <c r="AS2662" s="87"/>
      <c r="AT2662" s="87"/>
      <c r="AU2662" s="87"/>
      <c r="AV2662" s="87"/>
      <c r="AW2662" s="88" t="str">
        <f>HYPERLINK("http://www.openstreetmap.org/?mlat=35.4253&amp;mlon=45.5856&amp;zoom=12#map=12/35.4253/45.5856","Maplink1")</f>
        <v>Maplink1</v>
      </c>
      <c r="AX2662" s="88" t="str">
        <f>HYPERLINK("https://www.google.iq/maps/search/+35.4253,45.5856/@35.4253,45.5856,14z?hl=en","Maplink2")</f>
        <v>Maplink2</v>
      </c>
      <c r="AY2662" s="88" t="str">
        <f>HYPERLINK("http://www.bing.com/maps/?lvl=14&amp;sty=h&amp;cp=35.4253~45.5856&amp;sp=point.35.4253_45.5856","Maplink3")</f>
        <v>Maplink3</v>
      </c>
      <c r="AZ2662" s="76"/>
    </row>
    <row r="2663" spans="1:52" x14ac:dyDescent="0.25">
      <c r="A2663" s="86">
        <v>5122</v>
      </c>
      <c r="B2663" s="87" t="s">
        <v>27</v>
      </c>
      <c r="C2663" s="87" t="s">
        <v>5030</v>
      </c>
      <c r="D2663" s="87" t="s">
        <v>5046</v>
      </c>
      <c r="E2663" s="87" t="s">
        <v>5047</v>
      </c>
      <c r="F2663" s="87">
        <v>35.465097200000002</v>
      </c>
      <c r="G2663" s="87">
        <v>45.567976999999999</v>
      </c>
      <c r="H2663" s="86">
        <v>7</v>
      </c>
      <c r="I2663" s="86">
        <v>42</v>
      </c>
      <c r="J2663" s="87"/>
      <c r="K2663" s="87">
        <v>1</v>
      </c>
      <c r="L2663" s="87">
        <v>2</v>
      </c>
      <c r="M2663" s="87"/>
      <c r="N2663" s="87"/>
      <c r="O2663" s="87">
        <v>3</v>
      </c>
      <c r="P2663" s="87"/>
      <c r="Q2663" s="87"/>
      <c r="R2663" s="87"/>
      <c r="S2663" s="87"/>
      <c r="T2663" s="87"/>
      <c r="U2663" s="87"/>
      <c r="V2663" s="87"/>
      <c r="W2663" s="87"/>
      <c r="X2663" s="87">
        <v>1</v>
      </c>
      <c r="Y2663" s="87"/>
      <c r="Z2663" s="87"/>
      <c r="AA2663" s="87"/>
      <c r="AB2663" s="87"/>
      <c r="AC2663" s="87"/>
      <c r="AD2663" s="87"/>
      <c r="AE2663" s="87"/>
      <c r="AF2663" s="87"/>
      <c r="AG2663" s="87"/>
      <c r="AH2663" s="87">
        <v>7</v>
      </c>
      <c r="AI2663" s="87"/>
      <c r="AJ2663" s="87"/>
      <c r="AK2663" s="87"/>
      <c r="AL2663" s="87"/>
      <c r="AM2663" s="87"/>
      <c r="AN2663" s="87">
        <v>1</v>
      </c>
      <c r="AO2663" s="87"/>
      <c r="AP2663" s="87">
        <v>1</v>
      </c>
      <c r="AQ2663" s="87"/>
      <c r="AR2663" s="87">
        <v>1</v>
      </c>
      <c r="AS2663" s="87">
        <v>3</v>
      </c>
      <c r="AT2663" s="87">
        <v>1</v>
      </c>
      <c r="AU2663" s="87"/>
      <c r="AV2663" s="87"/>
      <c r="AW2663" s="88" t="str">
        <f>HYPERLINK("http://www.openstreetmap.org/?mlat=35.4651&amp;mlon=45.568&amp;zoom=12#map=12/35.4651/45.568","Maplink1")</f>
        <v>Maplink1</v>
      </c>
      <c r="AX2663" s="88" t="str">
        <f>HYPERLINK("https://www.google.iq/maps/search/+35.4651,45.568/@35.4651,45.568,14z?hl=en","Maplink2")</f>
        <v>Maplink2</v>
      </c>
      <c r="AY2663" s="88" t="str">
        <f>HYPERLINK("http://www.bing.com/maps/?lvl=14&amp;sty=h&amp;cp=35.4651~45.568&amp;sp=point.35.4651_45.568","Maplink3")</f>
        <v>Maplink3</v>
      </c>
      <c r="AZ2663" s="76"/>
    </row>
    <row r="2664" spans="1:52" x14ac:dyDescent="0.25">
      <c r="A2664" s="86">
        <v>4558</v>
      </c>
      <c r="B2664" s="87" t="s">
        <v>27</v>
      </c>
      <c r="C2664" s="87" t="s">
        <v>5030</v>
      </c>
      <c r="D2664" s="87" t="s">
        <v>5048</v>
      </c>
      <c r="E2664" s="87" t="s">
        <v>5049</v>
      </c>
      <c r="F2664" s="87">
        <v>35.466850700000002</v>
      </c>
      <c r="G2664" s="87">
        <v>45.540771800000002</v>
      </c>
      <c r="H2664" s="86">
        <v>4</v>
      </c>
      <c r="I2664" s="86">
        <v>24</v>
      </c>
      <c r="J2664" s="87"/>
      <c r="K2664" s="87">
        <v>1</v>
      </c>
      <c r="L2664" s="87">
        <v>1</v>
      </c>
      <c r="M2664" s="87"/>
      <c r="N2664" s="87"/>
      <c r="O2664" s="87">
        <v>1</v>
      </c>
      <c r="P2664" s="87"/>
      <c r="Q2664" s="87"/>
      <c r="R2664" s="87"/>
      <c r="S2664" s="87"/>
      <c r="T2664" s="87"/>
      <c r="U2664" s="87"/>
      <c r="V2664" s="87">
        <v>1</v>
      </c>
      <c r="W2664" s="87"/>
      <c r="X2664" s="87"/>
      <c r="Y2664" s="87"/>
      <c r="Z2664" s="87"/>
      <c r="AA2664" s="87"/>
      <c r="AB2664" s="87"/>
      <c r="AC2664" s="87"/>
      <c r="AD2664" s="87"/>
      <c r="AE2664" s="87"/>
      <c r="AF2664" s="87"/>
      <c r="AG2664" s="87"/>
      <c r="AH2664" s="87">
        <v>4</v>
      </c>
      <c r="AI2664" s="87"/>
      <c r="AJ2664" s="87"/>
      <c r="AK2664" s="87"/>
      <c r="AL2664" s="87"/>
      <c r="AM2664" s="87"/>
      <c r="AN2664" s="87"/>
      <c r="AO2664" s="87">
        <v>1</v>
      </c>
      <c r="AP2664" s="87"/>
      <c r="AQ2664" s="87"/>
      <c r="AR2664" s="87"/>
      <c r="AS2664" s="87">
        <v>3</v>
      </c>
      <c r="AT2664" s="87"/>
      <c r="AU2664" s="87"/>
      <c r="AV2664" s="87"/>
      <c r="AW2664" s="88" t="str">
        <f>HYPERLINK("http://www.openstreetmap.org/?mlat=35.4669&amp;mlon=45.5408&amp;zoom=12#map=12/35.4669/45.5408","Maplink1")</f>
        <v>Maplink1</v>
      </c>
      <c r="AX2664" s="88" t="str">
        <f>HYPERLINK("https://www.google.iq/maps/search/+35.4669,45.5408/@35.4669,45.5408,14z?hl=en","Maplink2")</f>
        <v>Maplink2</v>
      </c>
      <c r="AY2664" s="88" t="str">
        <f>HYPERLINK("http://www.bing.com/maps/?lvl=14&amp;sty=h&amp;cp=35.4669~45.5408&amp;sp=point.35.4669_45.5408","Maplink3")</f>
        <v>Maplink3</v>
      </c>
      <c r="AZ2664" s="76"/>
    </row>
    <row r="2665" spans="1:52" x14ac:dyDescent="0.25">
      <c r="A2665" s="86">
        <v>25290</v>
      </c>
      <c r="B2665" s="87" t="s">
        <v>27</v>
      </c>
      <c r="C2665" s="87" t="s">
        <v>5030</v>
      </c>
      <c r="D2665" s="87" t="s">
        <v>5050</v>
      </c>
      <c r="E2665" s="87" t="s">
        <v>2833</v>
      </c>
      <c r="F2665" s="87">
        <v>35.426180799999997</v>
      </c>
      <c r="G2665" s="87">
        <v>45.5789428</v>
      </c>
      <c r="H2665" s="86">
        <v>13</v>
      </c>
      <c r="I2665" s="86">
        <v>78</v>
      </c>
      <c r="J2665" s="87">
        <v>2</v>
      </c>
      <c r="K2665" s="87">
        <v>5</v>
      </c>
      <c r="L2665" s="87"/>
      <c r="M2665" s="87"/>
      <c r="N2665" s="87"/>
      <c r="O2665" s="87"/>
      <c r="P2665" s="87"/>
      <c r="Q2665" s="87"/>
      <c r="R2665" s="87"/>
      <c r="S2665" s="87"/>
      <c r="T2665" s="87"/>
      <c r="U2665" s="87"/>
      <c r="V2665" s="87"/>
      <c r="W2665" s="87"/>
      <c r="X2665" s="87">
        <v>6</v>
      </c>
      <c r="Y2665" s="87"/>
      <c r="Z2665" s="87"/>
      <c r="AA2665" s="87"/>
      <c r="AB2665" s="87"/>
      <c r="AC2665" s="87"/>
      <c r="AD2665" s="87"/>
      <c r="AE2665" s="87"/>
      <c r="AF2665" s="87"/>
      <c r="AG2665" s="87"/>
      <c r="AH2665" s="87">
        <v>13</v>
      </c>
      <c r="AI2665" s="87"/>
      <c r="AJ2665" s="87"/>
      <c r="AK2665" s="87"/>
      <c r="AL2665" s="87"/>
      <c r="AM2665" s="87"/>
      <c r="AN2665" s="87"/>
      <c r="AO2665" s="87">
        <v>2</v>
      </c>
      <c r="AP2665" s="87">
        <v>3</v>
      </c>
      <c r="AQ2665" s="87">
        <v>7</v>
      </c>
      <c r="AR2665" s="87">
        <v>1</v>
      </c>
      <c r="AS2665" s="87"/>
      <c r="AT2665" s="87"/>
      <c r="AU2665" s="87"/>
      <c r="AV2665" s="87"/>
      <c r="AW2665" s="88" t="str">
        <f>HYPERLINK("http://www.openstreetmap.org/?mlat=35.4262&amp;mlon=45.5789&amp;zoom=12#map=12/35.4262/45.5789","Maplink1")</f>
        <v>Maplink1</v>
      </c>
      <c r="AX2665" s="88" t="str">
        <f>HYPERLINK("https://www.google.iq/maps/search/+35.4262,45.5789/@35.4262,45.5789,14z?hl=en","Maplink2")</f>
        <v>Maplink2</v>
      </c>
      <c r="AY2665" s="88" t="str">
        <f>HYPERLINK("http://www.bing.com/maps/?lvl=14&amp;sty=h&amp;cp=35.4262~45.5789&amp;sp=point.35.4262_45.5789","Maplink3")</f>
        <v>Maplink3</v>
      </c>
      <c r="AZ2665" s="76"/>
    </row>
    <row r="2666" spans="1:52" x14ac:dyDescent="0.25">
      <c r="A2666" s="86">
        <v>4594</v>
      </c>
      <c r="B2666" s="87" t="s">
        <v>27</v>
      </c>
      <c r="C2666" s="87" t="s">
        <v>5030</v>
      </c>
      <c r="D2666" s="87" t="s">
        <v>5051</v>
      </c>
      <c r="E2666" s="87" t="s">
        <v>5052</v>
      </c>
      <c r="F2666" s="87">
        <v>35.410070400000002</v>
      </c>
      <c r="G2666" s="87">
        <v>45.589200699999999</v>
      </c>
      <c r="H2666" s="86">
        <v>16</v>
      </c>
      <c r="I2666" s="86">
        <v>96</v>
      </c>
      <c r="J2666" s="87"/>
      <c r="K2666" s="87">
        <v>15</v>
      </c>
      <c r="L2666" s="87">
        <v>1</v>
      </c>
      <c r="M2666" s="87"/>
      <c r="N2666" s="87"/>
      <c r="O2666" s="87"/>
      <c r="P2666" s="87"/>
      <c r="Q2666" s="87"/>
      <c r="R2666" s="87"/>
      <c r="S2666" s="87"/>
      <c r="T2666" s="87"/>
      <c r="U2666" s="87"/>
      <c r="V2666" s="87"/>
      <c r="W2666" s="87"/>
      <c r="X2666" s="87"/>
      <c r="Y2666" s="87"/>
      <c r="Z2666" s="87"/>
      <c r="AA2666" s="87"/>
      <c r="AB2666" s="87"/>
      <c r="AC2666" s="87"/>
      <c r="AD2666" s="87"/>
      <c r="AE2666" s="87"/>
      <c r="AF2666" s="87"/>
      <c r="AG2666" s="87"/>
      <c r="AH2666" s="87">
        <v>16</v>
      </c>
      <c r="AI2666" s="87"/>
      <c r="AJ2666" s="87"/>
      <c r="AK2666" s="87"/>
      <c r="AL2666" s="87"/>
      <c r="AM2666" s="87"/>
      <c r="AN2666" s="87"/>
      <c r="AO2666" s="87">
        <v>7</v>
      </c>
      <c r="AP2666" s="87"/>
      <c r="AQ2666" s="87">
        <v>8</v>
      </c>
      <c r="AR2666" s="87"/>
      <c r="AS2666" s="87"/>
      <c r="AT2666" s="87"/>
      <c r="AU2666" s="87">
        <v>1</v>
      </c>
      <c r="AV2666" s="87"/>
      <c r="AW2666" s="88" t="str">
        <f>HYPERLINK("http://www.openstreetmap.org/?mlat=35.4101&amp;mlon=45.5892&amp;zoom=12#map=12/35.4101/45.5892","Maplink1")</f>
        <v>Maplink1</v>
      </c>
      <c r="AX2666" s="88" t="str">
        <f>HYPERLINK("https://www.google.iq/maps/search/+35.4101,45.5892/@35.4101,45.5892,14z?hl=en","Maplink2")</f>
        <v>Maplink2</v>
      </c>
      <c r="AY2666" s="88" t="str">
        <f>HYPERLINK("http://www.bing.com/maps/?lvl=14&amp;sty=h&amp;cp=35.4101~45.5892&amp;sp=point.35.4101_45.5892","Maplink3")</f>
        <v>Maplink3</v>
      </c>
      <c r="AZ2666" s="76"/>
    </row>
    <row r="2667" spans="1:52" x14ac:dyDescent="0.25">
      <c r="A2667" s="86">
        <v>5880</v>
      </c>
      <c r="B2667" s="87" t="s">
        <v>27</v>
      </c>
      <c r="C2667" s="87" t="s">
        <v>5030</v>
      </c>
      <c r="D2667" s="87" t="s">
        <v>5053</v>
      </c>
      <c r="E2667" s="87" t="s">
        <v>5054</v>
      </c>
      <c r="F2667" s="87">
        <v>35.483947999999998</v>
      </c>
      <c r="G2667" s="87">
        <v>45.485361400000002</v>
      </c>
      <c r="H2667" s="86">
        <v>4</v>
      </c>
      <c r="I2667" s="86">
        <v>24</v>
      </c>
      <c r="J2667" s="87"/>
      <c r="K2667" s="87"/>
      <c r="L2667" s="87">
        <v>1</v>
      </c>
      <c r="M2667" s="87"/>
      <c r="N2667" s="87"/>
      <c r="O2667" s="87">
        <v>1</v>
      </c>
      <c r="P2667" s="87"/>
      <c r="Q2667" s="87"/>
      <c r="R2667" s="87"/>
      <c r="S2667" s="87"/>
      <c r="T2667" s="87"/>
      <c r="U2667" s="87"/>
      <c r="V2667" s="87">
        <v>2</v>
      </c>
      <c r="W2667" s="87"/>
      <c r="X2667" s="87"/>
      <c r="Y2667" s="87"/>
      <c r="Z2667" s="87"/>
      <c r="AA2667" s="87"/>
      <c r="AB2667" s="87"/>
      <c r="AC2667" s="87"/>
      <c r="AD2667" s="87"/>
      <c r="AE2667" s="87"/>
      <c r="AF2667" s="87"/>
      <c r="AG2667" s="87"/>
      <c r="AH2667" s="87">
        <v>4</v>
      </c>
      <c r="AI2667" s="87"/>
      <c r="AJ2667" s="87"/>
      <c r="AK2667" s="87"/>
      <c r="AL2667" s="87"/>
      <c r="AM2667" s="87"/>
      <c r="AN2667" s="87"/>
      <c r="AO2667" s="87"/>
      <c r="AP2667" s="87"/>
      <c r="AQ2667" s="87">
        <v>1</v>
      </c>
      <c r="AR2667" s="87">
        <v>1</v>
      </c>
      <c r="AS2667" s="87">
        <v>2</v>
      </c>
      <c r="AT2667" s="87"/>
      <c r="AU2667" s="87"/>
      <c r="AV2667" s="87"/>
      <c r="AW2667" s="88" t="str">
        <f>HYPERLINK("http://www.openstreetmap.org/?mlat=35.4839&amp;mlon=45.4854&amp;zoom=12#map=12/35.4839/45.4854","Maplink1")</f>
        <v>Maplink1</v>
      </c>
      <c r="AX2667" s="88" t="str">
        <f>HYPERLINK("https://www.google.iq/maps/search/+35.4839,45.4854/@35.4839,45.4854,14z?hl=en","Maplink2")</f>
        <v>Maplink2</v>
      </c>
      <c r="AY2667" s="88" t="str">
        <f>HYPERLINK("http://www.bing.com/maps/?lvl=14&amp;sty=h&amp;cp=35.4839~45.4854&amp;sp=point.35.4839_45.4854","Maplink3")</f>
        <v>Maplink3</v>
      </c>
      <c r="AZ2667" s="76"/>
    </row>
    <row r="2668" spans="1:52" x14ac:dyDescent="0.25">
      <c r="A2668" s="86">
        <v>31963</v>
      </c>
      <c r="B2668" s="87" t="s">
        <v>27</v>
      </c>
      <c r="C2668" s="87" t="s">
        <v>5030</v>
      </c>
      <c r="D2668" s="87" t="s">
        <v>5055</v>
      </c>
      <c r="E2668" s="87" t="s">
        <v>5056</v>
      </c>
      <c r="F2668" s="87">
        <v>35.437570000000001</v>
      </c>
      <c r="G2668" s="87">
        <v>45.586197499999997</v>
      </c>
      <c r="H2668" s="86">
        <v>10</v>
      </c>
      <c r="I2668" s="86">
        <v>60</v>
      </c>
      <c r="J2668" s="87"/>
      <c r="K2668" s="87">
        <v>1</v>
      </c>
      <c r="L2668" s="87"/>
      <c r="M2668" s="87"/>
      <c r="N2668" s="87"/>
      <c r="O2668" s="87">
        <v>5</v>
      </c>
      <c r="P2668" s="87"/>
      <c r="Q2668" s="87"/>
      <c r="R2668" s="87"/>
      <c r="S2668" s="87"/>
      <c r="T2668" s="87"/>
      <c r="U2668" s="87"/>
      <c r="V2668" s="87"/>
      <c r="W2668" s="87"/>
      <c r="X2668" s="87">
        <v>4</v>
      </c>
      <c r="Y2668" s="87"/>
      <c r="Z2668" s="87"/>
      <c r="AA2668" s="87"/>
      <c r="AB2668" s="87"/>
      <c r="AC2668" s="87"/>
      <c r="AD2668" s="87"/>
      <c r="AE2668" s="87"/>
      <c r="AF2668" s="87"/>
      <c r="AG2668" s="87"/>
      <c r="AH2668" s="87">
        <v>10</v>
      </c>
      <c r="AI2668" s="87"/>
      <c r="AJ2668" s="87"/>
      <c r="AK2668" s="87"/>
      <c r="AL2668" s="87"/>
      <c r="AM2668" s="87"/>
      <c r="AN2668" s="87"/>
      <c r="AO2668" s="87">
        <v>10</v>
      </c>
      <c r="AP2668" s="87"/>
      <c r="AQ2668" s="87"/>
      <c r="AR2668" s="87"/>
      <c r="AS2668" s="87"/>
      <c r="AT2668" s="87"/>
      <c r="AU2668" s="87"/>
      <c r="AV2668" s="87"/>
      <c r="AW2668" s="88" t="str">
        <f>HYPERLINK("http://www.openstreetmap.org/?mlat=35.4376&amp;mlon=45.5862&amp;zoom=12#map=12/35.4376/45.5862","Maplink1")</f>
        <v>Maplink1</v>
      </c>
      <c r="AX2668" s="88" t="str">
        <f>HYPERLINK("https://www.google.iq/maps/search/+35.4376,45.5862/@35.4376,45.5862,14z?hl=en","Maplink2")</f>
        <v>Maplink2</v>
      </c>
      <c r="AY2668" s="88" t="str">
        <f>HYPERLINK("http://www.bing.com/maps/?lvl=14&amp;sty=h&amp;cp=35.4376~45.5862&amp;sp=point.35.4376_45.5862","Maplink3")</f>
        <v>Maplink3</v>
      </c>
      <c r="AZ2668" s="76"/>
    </row>
    <row r="2669" spans="1:52" x14ac:dyDescent="0.25">
      <c r="A2669" s="86">
        <v>25292</v>
      </c>
      <c r="B2669" s="87" t="s">
        <v>27</v>
      </c>
      <c r="C2669" s="87" t="s">
        <v>5030</v>
      </c>
      <c r="D2669" s="87" t="s">
        <v>5057</v>
      </c>
      <c r="E2669" s="87" t="s">
        <v>2055</v>
      </c>
      <c r="F2669" s="87">
        <v>35.415422200000002</v>
      </c>
      <c r="G2669" s="87">
        <v>45.583155599999998</v>
      </c>
      <c r="H2669" s="86">
        <v>121</v>
      </c>
      <c r="I2669" s="86">
        <v>726</v>
      </c>
      <c r="J2669" s="87">
        <v>4</v>
      </c>
      <c r="K2669" s="87">
        <v>104</v>
      </c>
      <c r="L2669" s="87">
        <v>3</v>
      </c>
      <c r="M2669" s="87"/>
      <c r="N2669" s="87"/>
      <c r="O2669" s="87">
        <v>4</v>
      </c>
      <c r="P2669" s="87"/>
      <c r="Q2669" s="87"/>
      <c r="R2669" s="87"/>
      <c r="S2669" s="87"/>
      <c r="T2669" s="87"/>
      <c r="U2669" s="87"/>
      <c r="V2669" s="87"/>
      <c r="W2669" s="87"/>
      <c r="X2669" s="87">
        <v>6</v>
      </c>
      <c r="Y2669" s="87"/>
      <c r="Z2669" s="87"/>
      <c r="AA2669" s="87"/>
      <c r="AB2669" s="87"/>
      <c r="AC2669" s="87"/>
      <c r="AD2669" s="87"/>
      <c r="AE2669" s="87"/>
      <c r="AF2669" s="87"/>
      <c r="AG2669" s="87"/>
      <c r="AH2669" s="87">
        <v>121</v>
      </c>
      <c r="AI2669" s="87"/>
      <c r="AJ2669" s="87"/>
      <c r="AK2669" s="87"/>
      <c r="AL2669" s="87"/>
      <c r="AM2669" s="87"/>
      <c r="AN2669" s="87">
        <v>18</v>
      </c>
      <c r="AO2669" s="87">
        <v>62</v>
      </c>
      <c r="AP2669" s="87">
        <v>16</v>
      </c>
      <c r="AQ2669" s="87">
        <v>23</v>
      </c>
      <c r="AR2669" s="87">
        <v>2</v>
      </c>
      <c r="AS2669" s="87"/>
      <c r="AT2669" s="87"/>
      <c r="AU2669" s="87"/>
      <c r="AV2669" s="87"/>
      <c r="AW2669" s="88" t="str">
        <f>HYPERLINK("http://www.openstreetmap.org/?mlat=35.4154&amp;mlon=45.5832&amp;zoom=12#map=12/35.4154/45.5832","Maplink1")</f>
        <v>Maplink1</v>
      </c>
      <c r="AX2669" s="88" t="str">
        <f>HYPERLINK("https://www.google.iq/maps/search/+35.4154,45.5832/@35.4154,45.5832,14z?hl=en","Maplink2")</f>
        <v>Maplink2</v>
      </c>
      <c r="AY2669" s="88" t="str">
        <f>HYPERLINK("http://www.bing.com/maps/?lvl=14&amp;sty=h&amp;cp=35.4154~45.5832&amp;sp=point.35.4154_45.5832","Maplink3")</f>
        <v>Maplink3</v>
      </c>
      <c r="AZ2669" s="76"/>
    </row>
    <row r="2670" spans="1:52" x14ac:dyDescent="0.25">
      <c r="A2670" s="86">
        <v>21206</v>
      </c>
      <c r="B2670" s="87" t="s">
        <v>27</v>
      </c>
      <c r="C2670" s="87" t="s">
        <v>5030</v>
      </c>
      <c r="D2670" s="87" t="s">
        <v>5058</v>
      </c>
      <c r="E2670" s="87" t="s">
        <v>5059</v>
      </c>
      <c r="F2670" s="87">
        <v>35.4189571</v>
      </c>
      <c r="G2670" s="87">
        <v>45.584918899999998</v>
      </c>
      <c r="H2670" s="86">
        <v>16</v>
      </c>
      <c r="I2670" s="86">
        <v>96</v>
      </c>
      <c r="J2670" s="87">
        <v>1</v>
      </c>
      <c r="K2670" s="87">
        <v>7</v>
      </c>
      <c r="L2670" s="87">
        <v>4</v>
      </c>
      <c r="M2670" s="87"/>
      <c r="N2670" s="87"/>
      <c r="O2670" s="87">
        <v>1</v>
      </c>
      <c r="P2670" s="87"/>
      <c r="Q2670" s="87"/>
      <c r="R2670" s="87"/>
      <c r="S2670" s="87"/>
      <c r="T2670" s="87"/>
      <c r="U2670" s="87"/>
      <c r="V2670" s="87">
        <v>3</v>
      </c>
      <c r="W2670" s="87"/>
      <c r="X2670" s="87"/>
      <c r="Y2670" s="87"/>
      <c r="Z2670" s="87"/>
      <c r="AA2670" s="87"/>
      <c r="AB2670" s="87"/>
      <c r="AC2670" s="87"/>
      <c r="AD2670" s="87"/>
      <c r="AE2670" s="87"/>
      <c r="AF2670" s="87"/>
      <c r="AG2670" s="87"/>
      <c r="AH2670" s="87">
        <v>16</v>
      </c>
      <c r="AI2670" s="87"/>
      <c r="AJ2670" s="87"/>
      <c r="AK2670" s="87"/>
      <c r="AL2670" s="87"/>
      <c r="AM2670" s="87"/>
      <c r="AN2670" s="87">
        <v>2</v>
      </c>
      <c r="AO2670" s="87">
        <v>7</v>
      </c>
      <c r="AP2670" s="87">
        <v>4</v>
      </c>
      <c r="AQ2670" s="87">
        <v>3</v>
      </c>
      <c r="AR2670" s="87"/>
      <c r="AS2670" s="87"/>
      <c r="AT2670" s="87"/>
      <c r="AU2670" s="87"/>
      <c r="AV2670" s="87"/>
      <c r="AW2670" s="88" t="str">
        <f>HYPERLINK("http://www.openstreetmap.org/?mlat=35.419&amp;mlon=45.5849&amp;zoom=12#map=12/35.419/45.5849","Maplink1")</f>
        <v>Maplink1</v>
      </c>
      <c r="AX2670" s="88" t="str">
        <f>HYPERLINK("https://www.google.iq/maps/search/+35.419,45.5849/@35.419,45.5849,14z?hl=en","Maplink2")</f>
        <v>Maplink2</v>
      </c>
      <c r="AY2670" s="88" t="str">
        <f>HYPERLINK("http://www.bing.com/maps/?lvl=14&amp;sty=h&amp;cp=35.419~45.5849&amp;sp=point.35.419_45.5849","Maplink3")</f>
        <v>Maplink3</v>
      </c>
      <c r="AZ2670" s="76"/>
    </row>
    <row r="2671" spans="1:52" x14ac:dyDescent="0.25">
      <c r="A2671" s="86">
        <v>31961</v>
      </c>
      <c r="B2671" s="87" t="s">
        <v>27</v>
      </c>
      <c r="C2671" s="87" t="s">
        <v>5030</v>
      </c>
      <c r="D2671" s="87" t="s">
        <v>5060</v>
      </c>
      <c r="E2671" s="87" t="s">
        <v>5061</v>
      </c>
      <c r="F2671" s="87">
        <v>35.486425099999998</v>
      </c>
      <c r="G2671" s="87">
        <v>45.459060399999998</v>
      </c>
      <c r="H2671" s="86">
        <v>4</v>
      </c>
      <c r="I2671" s="86">
        <v>24</v>
      </c>
      <c r="J2671" s="87"/>
      <c r="K2671" s="87"/>
      <c r="L2671" s="87"/>
      <c r="M2671" s="87"/>
      <c r="N2671" s="87"/>
      <c r="O2671" s="87">
        <v>3</v>
      </c>
      <c r="P2671" s="87"/>
      <c r="Q2671" s="87"/>
      <c r="R2671" s="87"/>
      <c r="S2671" s="87"/>
      <c r="T2671" s="87"/>
      <c r="U2671" s="87"/>
      <c r="V2671" s="87"/>
      <c r="W2671" s="87"/>
      <c r="X2671" s="87">
        <v>1</v>
      </c>
      <c r="Y2671" s="87"/>
      <c r="Z2671" s="87"/>
      <c r="AA2671" s="87"/>
      <c r="AB2671" s="87"/>
      <c r="AC2671" s="87"/>
      <c r="AD2671" s="87"/>
      <c r="AE2671" s="87"/>
      <c r="AF2671" s="87"/>
      <c r="AG2671" s="87"/>
      <c r="AH2671" s="87">
        <v>4</v>
      </c>
      <c r="AI2671" s="87"/>
      <c r="AJ2671" s="87"/>
      <c r="AK2671" s="87"/>
      <c r="AL2671" s="87"/>
      <c r="AM2671" s="87"/>
      <c r="AN2671" s="87">
        <v>3</v>
      </c>
      <c r="AO2671" s="87">
        <v>1</v>
      </c>
      <c r="AP2671" s="87"/>
      <c r="AQ2671" s="87"/>
      <c r="AR2671" s="87"/>
      <c r="AS2671" s="87"/>
      <c r="AT2671" s="87"/>
      <c r="AU2671" s="87"/>
      <c r="AV2671" s="87"/>
      <c r="AW2671" s="88" t="str">
        <f>HYPERLINK("http://www.openstreetmap.org/?mlat=35.4864&amp;mlon=45.4591&amp;zoom=12#map=12/35.4864/45.4591","Maplink1")</f>
        <v>Maplink1</v>
      </c>
      <c r="AX2671" s="88" t="str">
        <f>HYPERLINK("https://www.google.iq/maps/search/+35.4864,45.4591/@35.4864,45.4591,14z?hl=en","Maplink2")</f>
        <v>Maplink2</v>
      </c>
      <c r="AY2671" s="88" t="str">
        <f>HYPERLINK("http://www.bing.com/maps/?lvl=14&amp;sty=h&amp;cp=35.4864~45.4591&amp;sp=point.35.4864_45.4591","Maplink3")</f>
        <v>Maplink3</v>
      </c>
      <c r="AZ2671" s="76"/>
    </row>
    <row r="2672" spans="1:52" x14ac:dyDescent="0.25">
      <c r="A2672" s="86">
        <v>31962</v>
      </c>
      <c r="B2672" s="87" t="s">
        <v>27</v>
      </c>
      <c r="C2672" s="87" t="s">
        <v>5030</v>
      </c>
      <c r="D2672" s="87" t="s">
        <v>5062</v>
      </c>
      <c r="E2672" s="87" t="s">
        <v>5063</v>
      </c>
      <c r="F2672" s="87">
        <v>35.496696200000002</v>
      </c>
      <c r="G2672" s="87">
        <v>45.460646199999999</v>
      </c>
      <c r="H2672" s="86">
        <v>6</v>
      </c>
      <c r="I2672" s="86">
        <v>36</v>
      </c>
      <c r="J2672" s="87"/>
      <c r="K2672" s="87"/>
      <c r="L2672" s="87">
        <v>1</v>
      </c>
      <c r="M2672" s="87"/>
      <c r="N2672" s="87"/>
      <c r="O2672" s="87">
        <v>4</v>
      </c>
      <c r="P2672" s="87"/>
      <c r="Q2672" s="87"/>
      <c r="R2672" s="87"/>
      <c r="S2672" s="87"/>
      <c r="T2672" s="87"/>
      <c r="U2672" s="87"/>
      <c r="V2672" s="87"/>
      <c r="W2672" s="87"/>
      <c r="X2672" s="87">
        <v>1</v>
      </c>
      <c r="Y2672" s="87"/>
      <c r="Z2672" s="87"/>
      <c r="AA2672" s="87"/>
      <c r="AB2672" s="87"/>
      <c r="AC2672" s="87"/>
      <c r="AD2672" s="87"/>
      <c r="AE2672" s="87"/>
      <c r="AF2672" s="87"/>
      <c r="AG2672" s="87"/>
      <c r="AH2672" s="87">
        <v>6</v>
      </c>
      <c r="AI2672" s="87"/>
      <c r="AJ2672" s="87"/>
      <c r="AK2672" s="87"/>
      <c r="AL2672" s="87"/>
      <c r="AM2672" s="87"/>
      <c r="AN2672" s="87"/>
      <c r="AO2672" s="87"/>
      <c r="AP2672" s="87"/>
      <c r="AQ2672" s="87"/>
      <c r="AR2672" s="87">
        <v>6</v>
      </c>
      <c r="AS2672" s="87"/>
      <c r="AT2672" s="87"/>
      <c r="AU2672" s="87"/>
      <c r="AV2672" s="87"/>
      <c r="AW2672" s="88" t="str">
        <f>HYPERLINK("http://www.openstreetmap.org/?mlat=35.4967&amp;mlon=45.4606&amp;zoom=12#map=12/35.4967/45.4606","Maplink1")</f>
        <v>Maplink1</v>
      </c>
      <c r="AX2672" s="88" t="str">
        <f>HYPERLINK("https://www.google.iq/maps/search/+35.4967,45.4606/@35.4967,45.4606,14z?hl=en","Maplink2")</f>
        <v>Maplink2</v>
      </c>
      <c r="AY2672" s="88" t="str">
        <f>HYPERLINK("http://www.bing.com/maps/?lvl=14&amp;sty=h&amp;cp=35.4967~45.4606&amp;sp=point.35.4967_45.4606","Maplink3")</f>
        <v>Maplink3</v>
      </c>
      <c r="AZ2672" s="76"/>
    </row>
    <row r="2673" spans="1:52" x14ac:dyDescent="0.25">
      <c r="A2673" s="86">
        <v>31953</v>
      </c>
      <c r="B2673" s="87" t="s">
        <v>27</v>
      </c>
      <c r="C2673" s="87" t="s">
        <v>5030</v>
      </c>
      <c r="D2673" s="87" t="s">
        <v>5064</v>
      </c>
      <c r="E2673" s="87" t="s">
        <v>5065</v>
      </c>
      <c r="F2673" s="87">
        <v>35.552672100000002</v>
      </c>
      <c r="G2673" s="87">
        <v>45.490912000000002</v>
      </c>
      <c r="H2673" s="86">
        <v>45</v>
      </c>
      <c r="I2673" s="86">
        <v>270</v>
      </c>
      <c r="J2673" s="87">
        <v>9</v>
      </c>
      <c r="K2673" s="87">
        <v>2</v>
      </c>
      <c r="L2673" s="87">
        <v>23</v>
      </c>
      <c r="M2673" s="87"/>
      <c r="N2673" s="87"/>
      <c r="O2673" s="87">
        <v>4</v>
      </c>
      <c r="P2673" s="87"/>
      <c r="Q2673" s="87"/>
      <c r="R2673" s="87"/>
      <c r="S2673" s="87"/>
      <c r="T2673" s="87"/>
      <c r="U2673" s="87"/>
      <c r="V2673" s="87">
        <v>2</v>
      </c>
      <c r="W2673" s="87"/>
      <c r="X2673" s="87">
        <v>5</v>
      </c>
      <c r="Y2673" s="87"/>
      <c r="Z2673" s="87"/>
      <c r="AA2673" s="87"/>
      <c r="AB2673" s="87"/>
      <c r="AC2673" s="87"/>
      <c r="AD2673" s="87"/>
      <c r="AE2673" s="87"/>
      <c r="AF2673" s="87"/>
      <c r="AG2673" s="87"/>
      <c r="AH2673" s="87">
        <v>45</v>
      </c>
      <c r="AI2673" s="87"/>
      <c r="AJ2673" s="87"/>
      <c r="AK2673" s="87"/>
      <c r="AL2673" s="87"/>
      <c r="AM2673" s="87"/>
      <c r="AN2673" s="87">
        <v>1</v>
      </c>
      <c r="AO2673" s="87"/>
      <c r="AP2673" s="87"/>
      <c r="AQ2673" s="87">
        <v>8</v>
      </c>
      <c r="AR2673" s="87">
        <v>9</v>
      </c>
      <c r="AS2673" s="87">
        <v>14</v>
      </c>
      <c r="AT2673" s="87">
        <v>11</v>
      </c>
      <c r="AU2673" s="87">
        <v>2</v>
      </c>
      <c r="AV2673" s="87"/>
      <c r="AW2673" s="88" t="str">
        <f>HYPERLINK("http://www.openstreetmap.org/?mlat=35.5527&amp;mlon=45.4909&amp;zoom=12#map=12/35.5527/45.4909","Maplink1")</f>
        <v>Maplink1</v>
      </c>
      <c r="AX2673" s="88" t="str">
        <f>HYPERLINK("https://www.google.iq/maps/search/+35.5527,45.4909/@35.5527,45.4909,14z?hl=en","Maplink2")</f>
        <v>Maplink2</v>
      </c>
      <c r="AY2673" s="88" t="str">
        <f>HYPERLINK("http://www.bing.com/maps/?lvl=14&amp;sty=h&amp;cp=35.5527~45.4909&amp;sp=point.35.5527_45.4909","Maplink3")</f>
        <v>Maplink3</v>
      </c>
      <c r="AZ2673" s="76"/>
    </row>
    <row r="2674" spans="1:52" x14ac:dyDescent="0.25">
      <c r="A2674" s="86">
        <v>26023</v>
      </c>
      <c r="B2674" s="87" t="s">
        <v>27</v>
      </c>
      <c r="C2674" s="87" t="s">
        <v>5030</v>
      </c>
      <c r="D2674" s="87" t="s">
        <v>5066</v>
      </c>
      <c r="E2674" s="87" t="s">
        <v>5067</v>
      </c>
      <c r="F2674" s="87">
        <v>35.416480200000002</v>
      </c>
      <c r="G2674" s="87">
        <v>45.605767499999999</v>
      </c>
      <c r="H2674" s="86">
        <v>2162</v>
      </c>
      <c r="I2674" s="86">
        <v>12972</v>
      </c>
      <c r="J2674" s="87">
        <v>1</v>
      </c>
      <c r="K2674" s="87"/>
      <c r="L2674" s="87">
        <v>2</v>
      </c>
      <c r="M2674" s="87"/>
      <c r="N2674" s="87"/>
      <c r="O2674" s="87">
        <v>2</v>
      </c>
      <c r="P2674" s="87"/>
      <c r="Q2674" s="87"/>
      <c r="R2674" s="87"/>
      <c r="S2674" s="87"/>
      <c r="T2674" s="87"/>
      <c r="U2674" s="87"/>
      <c r="V2674" s="87">
        <v>198</v>
      </c>
      <c r="W2674" s="87"/>
      <c r="X2674" s="87">
        <v>1959</v>
      </c>
      <c r="Y2674" s="87"/>
      <c r="Z2674" s="87"/>
      <c r="AA2674" s="87"/>
      <c r="AB2674" s="87">
        <v>2162</v>
      </c>
      <c r="AC2674" s="87"/>
      <c r="AD2674" s="87"/>
      <c r="AE2674" s="87"/>
      <c r="AF2674" s="87"/>
      <c r="AG2674" s="87"/>
      <c r="AH2674" s="87"/>
      <c r="AI2674" s="87"/>
      <c r="AJ2674" s="87"/>
      <c r="AK2674" s="87"/>
      <c r="AL2674" s="87"/>
      <c r="AM2674" s="87"/>
      <c r="AN2674" s="87"/>
      <c r="AO2674" s="87"/>
      <c r="AP2674" s="87">
        <v>198</v>
      </c>
      <c r="AQ2674" s="87">
        <v>1964</v>
      </c>
      <c r="AR2674" s="87"/>
      <c r="AS2674" s="87"/>
      <c r="AT2674" s="87"/>
      <c r="AU2674" s="87"/>
      <c r="AV2674" s="87"/>
      <c r="AW2674" s="88" t="str">
        <f>HYPERLINK("http://www.openstreetmap.org/?mlat=35.4165&amp;mlon=45.6058&amp;zoom=12#map=12/35.4165/45.6058","Maplink1")</f>
        <v>Maplink1</v>
      </c>
      <c r="AX2674" s="88" t="str">
        <f>HYPERLINK("https://www.google.iq/maps/search/+35.4165,45.6058/@35.4165,45.6058,14z?hl=en","Maplink2")</f>
        <v>Maplink2</v>
      </c>
      <c r="AY2674" s="88" t="str">
        <f>HYPERLINK("http://www.bing.com/maps/?lvl=14&amp;sty=h&amp;cp=35.4165~45.6058&amp;sp=point.35.4165_45.6058","Maplink3")</f>
        <v>Maplink3</v>
      </c>
      <c r="AZ2674" s="76"/>
    </row>
    <row r="2675" spans="1:52" x14ac:dyDescent="0.25">
      <c r="A2675" s="86">
        <v>21279</v>
      </c>
      <c r="B2675" s="87" t="s">
        <v>27</v>
      </c>
      <c r="C2675" s="87" t="s">
        <v>5030</v>
      </c>
      <c r="D2675" s="87" t="s">
        <v>5068</v>
      </c>
      <c r="E2675" s="87" t="s">
        <v>5069</v>
      </c>
      <c r="F2675" s="87">
        <v>35.570737600000001</v>
      </c>
      <c r="G2675" s="87">
        <v>45.426149100000004</v>
      </c>
      <c r="H2675" s="86">
        <v>75</v>
      </c>
      <c r="I2675" s="86">
        <v>450</v>
      </c>
      <c r="J2675" s="87">
        <v>23</v>
      </c>
      <c r="K2675" s="87">
        <v>1</v>
      </c>
      <c r="L2675" s="87">
        <v>26</v>
      </c>
      <c r="M2675" s="87"/>
      <c r="N2675" s="87"/>
      <c r="O2675" s="87">
        <v>2</v>
      </c>
      <c r="P2675" s="87"/>
      <c r="Q2675" s="87"/>
      <c r="R2675" s="87">
        <v>7</v>
      </c>
      <c r="S2675" s="87"/>
      <c r="T2675" s="87"/>
      <c r="U2675" s="87"/>
      <c r="V2675" s="87">
        <v>8</v>
      </c>
      <c r="W2675" s="87"/>
      <c r="X2675" s="87">
        <v>8</v>
      </c>
      <c r="Y2675" s="87"/>
      <c r="Z2675" s="87"/>
      <c r="AA2675" s="87"/>
      <c r="AB2675" s="87"/>
      <c r="AC2675" s="87"/>
      <c r="AD2675" s="87"/>
      <c r="AE2675" s="87"/>
      <c r="AF2675" s="87"/>
      <c r="AG2675" s="87"/>
      <c r="AH2675" s="87">
        <v>74</v>
      </c>
      <c r="AI2675" s="87"/>
      <c r="AJ2675" s="87"/>
      <c r="AK2675" s="87"/>
      <c r="AL2675" s="87">
        <v>1</v>
      </c>
      <c r="AM2675" s="87"/>
      <c r="AN2675" s="87">
        <v>7</v>
      </c>
      <c r="AO2675" s="87">
        <v>16</v>
      </c>
      <c r="AP2675" s="87">
        <v>5</v>
      </c>
      <c r="AQ2675" s="87">
        <v>12</v>
      </c>
      <c r="AR2675" s="87">
        <v>6</v>
      </c>
      <c r="AS2675" s="87">
        <v>5</v>
      </c>
      <c r="AT2675" s="87">
        <v>11</v>
      </c>
      <c r="AU2675" s="87">
        <v>9</v>
      </c>
      <c r="AV2675" s="87">
        <v>4</v>
      </c>
      <c r="AW2675" s="88" t="str">
        <f>HYPERLINK("http://www.openstreetmap.org/?mlat=35.5707&amp;mlon=45.4261&amp;zoom=12#map=12/35.5707/45.4261","Maplink1")</f>
        <v>Maplink1</v>
      </c>
      <c r="AX2675" s="88" t="str">
        <f>HYPERLINK("https://www.google.iq/maps/search/+35.5707,45.4261/@35.5707,45.4261,14z?hl=en","Maplink2")</f>
        <v>Maplink2</v>
      </c>
      <c r="AY2675" s="88" t="str">
        <f>HYPERLINK("http://www.bing.com/maps/?lvl=14&amp;sty=h&amp;cp=35.5707~45.4261&amp;sp=point.35.5707_45.4261","Maplink3")</f>
        <v>Maplink3</v>
      </c>
      <c r="AZ2675" s="76"/>
    </row>
    <row r="2676" spans="1:52" x14ac:dyDescent="0.25">
      <c r="A2676" s="86">
        <v>25874</v>
      </c>
      <c r="B2676" s="87" t="s">
        <v>27</v>
      </c>
      <c r="C2676" s="87" t="s">
        <v>5030</v>
      </c>
      <c r="D2676" s="87" t="s">
        <v>5070</v>
      </c>
      <c r="E2676" s="87" t="s">
        <v>5071</v>
      </c>
      <c r="F2676" s="87">
        <v>35.585412900000001</v>
      </c>
      <c r="G2676" s="87">
        <v>45.156269000000002</v>
      </c>
      <c r="H2676" s="86">
        <v>41</v>
      </c>
      <c r="I2676" s="86">
        <v>246</v>
      </c>
      <c r="J2676" s="87">
        <v>6</v>
      </c>
      <c r="K2676" s="87"/>
      <c r="L2676" s="87">
        <v>4</v>
      </c>
      <c r="M2676" s="87"/>
      <c r="N2676" s="87"/>
      <c r="O2676" s="87">
        <v>7</v>
      </c>
      <c r="P2676" s="87"/>
      <c r="Q2676" s="87"/>
      <c r="R2676" s="87">
        <v>7</v>
      </c>
      <c r="S2676" s="87"/>
      <c r="T2676" s="87"/>
      <c r="U2676" s="87"/>
      <c r="V2676" s="87">
        <v>9</v>
      </c>
      <c r="W2676" s="87"/>
      <c r="X2676" s="87">
        <v>8</v>
      </c>
      <c r="Y2676" s="87"/>
      <c r="Z2676" s="87"/>
      <c r="AA2676" s="87"/>
      <c r="AB2676" s="87"/>
      <c r="AC2676" s="87"/>
      <c r="AD2676" s="87"/>
      <c r="AE2676" s="87"/>
      <c r="AF2676" s="87"/>
      <c r="AG2676" s="87"/>
      <c r="AH2676" s="87">
        <v>41</v>
      </c>
      <c r="AI2676" s="87"/>
      <c r="AJ2676" s="87"/>
      <c r="AK2676" s="87"/>
      <c r="AL2676" s="87"/>
      <c r="AM2676" s="87"/>
      <c r="AN2676" s="87"/>
      <c r="AO2676" s="87">
        <v>5</v>
      </c>
      <c r="AP2676" s="87">
        <v>6</v>
      </c>
      <c r="AQ2676" s="87">
        <v>9</v>
      </c>
      <c r="AR2676" s="87"/>
      <c r="AS2676" s="87">
        <v>2</v>
      </c>
      <c r="AT2676" s="87">
        <v>6</v>
      </c>
      <c r="AU2676" s="87">
        <v>11</v>
      </c>
      <c r="AV2676" s="87">
        <v>2</v>
      </c>
      <c r="AW2676" s="88" t="str">
        <f>HYPERLINK("http://www.openstreetmap.org/?mlat=35.5854&amp;mlon=45.1563&amp;zoom=12#map=12/35.5854/45.1563","Maplink1")</f>
        <v>Maplink1</v>
      </c>
      <c r="AX2676" s="88" t="str">
        <f>HYPERLINK("https://www.google.iq/maps/search/+35.5854,45.1563/@35.5854,45.1563,14z?hl=en","Maplink2")</f>
        <v>Maplink2</v>
      </c>
      <c r="AY2676" s="88" t="str">
        <f>HYPERLINK("http://www.bing.com/maps/?lvl=14&amp;sty=h&amp;cp=35.5854~45.1563&amp;sp=point.35.5854_45.1563","Maplink3")</f>
        <v>Maplink3</v>
      </c>
      <c r="AZ2676" s="76"/>
    </row>
    <row r="2677" spans="1:52" x14ac:dyDescent="0.25">
      <c r="A2677" s="86">
        <v>5737</v>
      </c>
      <c r="B2677" s="87" t="s">
        <v>27</v>
      </c>
      <c r="C2677" s="87" t="s">
        <v>5030</v>
      </c>
      <c r="D2677" s="87" t="s">
        <v>4885</v>
      </c>
      <c r="E2677" s="87" t="s">
        <v>4886</v>
      </c>
      <c r="F2677" s="87">
        <v>35.551561300000003</v>
      </c>
      <c r="G2677" s="87">
        <v>45.380172700000003</v>
      </c>
      <c r="H2677" s="86">
        <v>196</v>
      </c>
      <c r="I2677" s="86">
        <v>1176</v>
      </c>
      <c r="J2677" s="87">
        <v>59</v>
      </c>
      <c r="K2677" s="87">
        <v>2</v>
      </c>
      <c r="L2677" s="87">
        <v>33</v>
      </c>
      <c r="M2677" s="87"/>
      <c r="N2677" s="87"/>
      <c r="O2677" s="87">
        <v>19</v>
      </c>
      <c r="P2677" s="87"/>
      <c r="Q2677" s="87"/>
      <c r="R2677" s="87">
        <v>11</v>
      </c>
      <c r="S2677" s="87"/>
      <c r="T2677" s="87"/>
      <c r="U2677" s="87"/>
      <c r="V2677" s="87">
        <v>15</v>
      </c>
      <c r="W2677" s="87"/>
      <c r="X2677" s="87">
        <v>57</v>
      </c>
      <c r="Y2677" s="87"/>
      <c r="Z2677" s="87"/>
      <c r="AA2677" s="87"/>
      <c r="AB2677" s="87"/>
      <c r="AC2677" s="87"/>
      <c r="AD2677" s="87"/>
      <c r="AE2677" s="87"/>
      <c r="AF2677" s="87"/>
      <c r="AG2677" s="87"/>
      <c r="AH2677" s="87">
        <v>166</v>
      </c>
      <c r="AI2677" s="87"/>
      <c r="AJ2677" s="87"/>
      <c r="AK2677" s="87"/>
      <c r="AL2677" s="87">
        <v>30</v>
      </c>
      <c r="AM2677" s="87"/>
      <c r="AN2677" s="87"/>
      <c r="AO2677" s="87">
        <v>8</v>
      </c>
      <c r="AP2677" s="87">
        <v>5</v>
      </c>
      <c r="AQ2677" s="87">
        <v>33</v>
      </c>
      <c r="AR2677" s="87">
        <v>33</v>
      </c>
      <c r="AS2677" s="87">
        <v>35</v>
      </c>
      <c r="AT2677" s="87">
        <v>45</v>
      </c>
      <c r="AU2677" s="87">
        <v>36</v>
      </c>
      <c r="AV2677" s="87">
        <v>1</v>
      </c>
      <c r="AW2677" s="88" t="str">
        <f>HYPERLINK("http://www.openstreetmap.org/?mlat=35.5516&amp;mlon=45.3802&amp;zoom=12#map=12/35.5516/45.3802","Maplink1")</f>
        <v>Maplink1</v>
      </c>
      <c r="AX2677" s="88" t="str">
        <f>HYPERLINK("https://www.google.iq/maps/search/+35.5516,45.3802/@35.5516,45.3802,14z?hl=en","Maplink2")</f>
        <v>Maplink2</v>
      </c>
      <c r="AY2677" s="88" t="str">
        <f>HYPERLINK("http://www.bing.com/maps/?lvl=14&amp;sty=h&amp;cp=35.5516~45.3802&amp;sp=point.35.5516_45.3802","Maplink3")</f>
        <v>Maplink3</v>
      </c>
      <c r="AZ2677" s="76"/>
    </row>
    <row r="2678" spans="1:52" x14ac:dyDescent="0.25">
      <c r="A2678" s="86">
        <v>33358</v>
      </c>
      <c r="B2678" s="87" t="s">
        <v>27</v>
      </c>
      <c r="C2678" s="87" t="s">
        <v>5030</v>
      </c>
      <c r="D2678" s="87" t="s">
        <v>5072</v>
      </c>
      <c r="E2678" s="87" t="s">
        <v>5073</v>
      </c>
      <c r="F2678" s="87">
        <v>35.548393500000003</v>
      </c>
      <c r="G2678" s="87">
        <v>45.4196679</v>
      </c>
      <c r="H2678" s="86">
        <v>39</v>
      </c>
      <c r="I2678" s="86">
        <v>234</v>
      </c>
      <c r="J2678" s="87">
        <v>8</v>
      </c>
      <c r="K2678" s="87">
        <v>1</v>
      </c>
      <c r="L2678" s="87">
        <v>10</v>
      </c>
      <c r="M2678" s="87"/>
      <c r="N2678" s="87"/>
      <c r="O2678" s="87">
        <v>9</v>
      </c>
      <c r="P2678" s="87"/>
      <c r="Q2678" s="87"/>
      <c r="R2678" s="87">
        <v>1</v>
      </c>
      <c r="S2678" s="87"/>
      <c r="T2678" s="87"/>
      <c r="U2678" s="87"/>
      <c r="V2678" s="87">
        <v>2</v>
      </c>
      <c r="W2678" s="87"/>
      <c r="X2678" s="87">
        <v>8</v>
      </c>
      <c r="Y2678" s="87"/>
      <c r="Z2678" s="87"/>
      <c r="AA2678" s="87"/>
      <c r="AB2678" s="87"/>
      <c r="AC2678" s="87"/>
      <c r="AD2678" s="87"/>
      <c r="AE2678" s="87"/>
      <c r="AF2678" s="87"/>
      <c r="AG2678" s="87"/>
      <c r="AH2678" s="87">
        <v>39</v>
      </c>
      <c r="AI2678" s="87"/>
      <c r="AJ2678" s="87"/>
      <c r="AK2678" s="87"/>
      <c r="AL2678" s="87"/>
      <c r="AM2678" s="87"/>
      <c r="AN2678" s="87">
        <v>2</v>
      </c>
      <c r="AO2678" s="87">
        <v>4</v>
      </c>
      <c r="AP2678" s="87">
        <v>2</v>
      </c>
      <c r="AQ2678" s="87">
        <v>5</v>
      </c>
      <c r="AR2678" s="87">
        <v>6</v>
      </c>
      <c r="AS2678" s="87">
        <v>2</v>
      </c>
      <c r="AT2678" s="87">
        <v>10</v>
      </c>
      <c r="AU2678" s="87">
        <v>8</v>
      </c>
      <c r="AV2678" s="87"/>
      <c r="AW2678" s="88" t="str">
        <f>HYPERLINK("http://www.openstreetmap.org/?mlat=35.5484&amp;mlon=45.4197&amp;zoom=12#map=12/35.5484/45.4197","Maplink1")</f>
        <v>Maplink1</v>
      </c>
      <c r="AX2678" s="88" t="str">
        <f>HYPERLINK("https://www.google.iq/maps/search/+35.5484,45.4197/@35.5484,45.4197,14z?hl=en","Maplink2")</f>
        <v>Maplink2</v>
      </c>
      <c r="AY2678" s="88" t="str">
        <f>HYPERLINK("http://www.bing.com/maps/?lvl=14&amp;sty=h&amp;cp=35.5484~45.4197&amp;sp=point.35.5484_45.4197","Maplink3")</f>
        <v>Maplink3</v>
      </c>
      <c r="AZ2678" s="76"/>
    </row>
    <row r="2679" spans="1:52" x14ac:dyDescent="0.25">
      <c r="A2679" s="86">
        <v>33414</v>
      </c>
      <c r="B2679" s="87" t="s">
        <v>27</v>
      </c>
      <c r="C2679" s="87" t="s">
        <v>5030</v>
      </c>
      <c r="D2679" s="87" t="s">
        <v>5074</v>
      </c>
      <c r="E2679" s="87" t="s">
        <v>5075</v>
      </c>
      <c r="F2679" s="87">
        <v>35.523594799999998</v>
      </c>
      <c r="G2679" s="87">
        <v>45.425139799999997</v>
      </c>
      <c r="H2679" s="86">
        <v>19</v>
      </c>
      <c r="I2679" s="86">
        <v>114</v>
      </c>
      <c r="J2679" s="87"/>
      <c r="K2679" s="87">
        <v>7</v>
      </c>
      <c r="L2679" s="87">
        <v>4</v>
      </c>
      <c r="M2679" s="87"/>
      <c r="N2679" s="87"/>
      <c r="O2679" s="87">
        <v>7</v>
      </c>
      <c r="P2679" s="87"/>
      <c r="Q2679" s="87"/>
      <c r="R2679" s="87"/>
      <c r="S2679" s="87"/>
      <c r="T2679" s="87"/>
      <c r="U2679" s="87"/>
      <c r="V2679" s="87">
        <v>1</v>
      </c>
      <c r="W2679" s="87"/>
      <c r="X2679" s="87"/>
      <c r="Y2679" s="87"/>
      <c r="Z2679" s="87"/>
      <c r="AA2679" s="87"/>
      <c r="AB2679" s="87"/>
      <c r="AC2679" s="87"/>
      <c r="AD2679" s="87"/>
      <c r="AE2679" s="87"/>
      <c r="AF2679" s="87"/>
      <c r="AG2679" s="87"/>
      <c r="AH2679" s="87">
        <v>19</v>
      </c>
      <c r="AI2679" s="87"/>
      <c r="AJ2679" s="87"/>
      <c r="AK2679" s="87"/>
      <c r="AL2679" s="87"/>
      <c r="AM2679" s="87"/>
      <c r="AN2679" s="87">
        <v>2</v>
      </c>
      <c r="AO2679" s="87">
        <v>15</v>
      </c>
      <c r="AP2679" s="87"/>
      <c r="AQ2679" s="87">
        <v>1</v>
      </c>
      <c r="AR2679" s="87"/>
      <c r="AS2679" s="87"/>
      <c r="AT2679" s="87"/>
      <c r="AU2679" s="87">
        <v>1</v>
      </c>
      <c r="AV2679" s="87"/>
      <c r="AW2679" s="88" t="str">
        <f>HYPERLINK("http://www.openstreetmap.org/?mlat=35.5236&amp;mlon=45.4251&amp;zoom=12#map=12/35.5236/45.4251","Maplink1")</f>
        <v>Maplink1</v>
      </c>
      <c r="AX2679" s="88" t="str">
        <f>HYPERLINK("https://www.google.iq/maps/search/+35.5236,45.4251/@35.5236,45.4251,14z?hl=en","Maplink2")</f>
        <v>Maplink2</v>
      </c>
      <c r="AY2679" s="88" t="str">
        <f>HYPERLINK("http://www.bing.com/maps/?lvl=14&amp;sty=h&amp;cp=35.5236~45.4251&amp;sp=point.35.5236_45.4251","Maplink3")</f>
        <v>Maplink3</v>
      </c>
      <c r="AZ2679" s="76"/>
    </row>
    <row r="2680" spans="1:52" x14ac:dyDescent="0.25">
      <c r="A2680" s="86">
        <v>21202</v>
      </c>
      <c r="B2680" s="87" t="s">
        <v>27</v>
      </c>
      <c r="C2680" s="87" t="s">
        <v>5030</v>
      </c>
      <c r="D2680" s="87" t="s">
        <v>1902</v>
      </c>
      <c r="E2680" s="87" t="s">
        <v>4644</v>
      </c>
      <c r="F2680" s="87">
        <v>35.561518134499998</v>
      </c>
      <c r="G2680" s="87">
        <v>45.465956499999997</v>
      </c>
      <c r="H2680" s="86">
        <v>140</v>
      </c>
      <c r="I2680" s="86">
        <v>840</v>
      </c>
      <c r="J2680" s="87">
        <v>8</v>
      </c>
      <c r="K2680" s="87">
        <v>52</v>
      </c>
      <c r="L2680" s="87">
        <v>21</v>
      </c>
      <c r="M2680" s="87"/>
      <c r="N2680" s="87"/>
      <c r="O2680" s="87">
        <v>15</v>
      </c>
      <c r="P2680" s="87"/>
      <c r="Q2680" s="87"/>
      <c r="R2680" s="87"/>
      <c r="S2680" s="87"/>
      <c r="T2680" s="87"/>
      <c r="U2680" s="87"/>
      <c r="V2680" s="87">
        <v>17</v>
      </c>
      <c r="W2680" s="87"/>
      <c r="X2680" s="87">
        <v>27</v>
      </c>
      <c r="Y2680" s="87"/>
      <c r="Z2680" s="87"/>
      <c r="AA2680" s="87"/>
      <c r="AB2680" s="87"/>
      <c r="AC2680" s="87"/>
      <c r="AD2680" s="87"/>
      <c r="AE2680" s="87"/>
      <c r="AF2680" s="87"/>
      <c r="AG2680" s="87"/>
      <c r="AH2680" s="87">
        <v>135</v>
      </c>
      <c r="AI2680" s="87"/>
      <c r="AJ2680" s="87"/>
      <c r="AK2680" s="87"/>
      <c r="AL2680" s="87">
        <v>5</v>
      </c>
      <c r="AM2680" s="87"/>
      <c r="AN2680" s="87">
        <v>22</v>
      </c>
      <c r="AO2680" s="87">
        <v>39</v>
      </c>
      <c r="AP2680" s="87">
        <v>12</v>
      </c>
      <c r="AQ2680" s="87">
        <v>27</v>
      </c>
      <c r="AR2680" s="87">
        <v>14</v>
      </c>
      <c r="AS2680" s="87">
        <v>9</v>
      </c>
      <c r="AT2680" s="87">
        <v>9</v>
      </c>
      <c r="AU2680" s="87">
        <v>8</v>
      </c>
      <c r="AV2680" s="87"/>
      <c r="AW2680" s="88" t="str">
        <f>HYPERLINK("http://www.openstreetmap.org/?mlat=35.5615&amp;mlon=45.466&amp;zoom=12#map=12/35.5615/45.466","Maplink1")</f>
        <v>Maplink1</v>
      </c>
      <c r="AX2680" s="88" t="str">
        <f>HYPERLINK("https://www.google.iq/maps/search/+35.5615,45.466/@35.5615,45.466,14z?hl=en","Maplink2")</f>
        <v>Maplink2</v>
      </c>
      <c r="AY2680" s="88" t="str">
        <f>HYPERLINK("http://www.bing.com/maps/?lvl=14&amp;sty=h&amp;cp=35.5615~45.466&amp;sp=point.35.5615_45.466","Maplink3")</f>
        <v>Maplink3</v>
      </c>
      <c r="AZ2680" s="76"/>
    </row>
    <row r="2681" spans="1:52" x14ac:dyDescent="0.25">
      <c r="A2681" s="86">
        <v>25873</v>
      </c>
      <c r="B2681" s="87" t="s">
        <v>27</v>
      </c>
      <c r="C2681" s="87" t="s">
        <v>5030</v>
      </c>
      <c r="D2681" s="87" t="s">
        <v>5076</v>
      </c>
      <c r="E2681" s="87" t="s">
        <v>5077</v>
      </c>
      <c r="F2681" s="87">
        <v>35.603456299999998</v>
      </c>
      <c r="G2681" s="87">
        <v>45.129117700000002</v>
      </c>
      <c r="H2681" s="86">
        <v>64</v>
      </c>
      <c r="I2681" s="86">
        <v>384</v>
      </c>
      <c r="J2681" s="87">
        <v>7</v>
      </c>
      <c r="K2681" s="87">
        <v>3</v>
      </c>
      <c r="L2681" s="87">
        <v>9</v>
      </c>
      <c r="M2681" s="87"/>
      <c r="N2681" s="87"/>
      <c r="O2681" s="87">
        <v>1</v>
      </c>
      <c r="P2681" s="87"/>
      <c r="Q2681" s="87"/>
      <c r="R2681" s="87">
        <v>17</v>
      </c>
      <c r="S2681" s="87"/>
      <c r="T2681" s="87"/>
      <c r="U2681" s="87"/>
      <c r="V2681" s="87">
        <v>8</v>
      </c>
      <c r="W2681" s="87"/>
      <c r="X2681" s="87">
        <v>19</v>
      </c>
      <c r="Y2681" s="87"/>
      <c r="Z2681" s="87"/>
      <c r="AA2681" s="87"/>
      <c r="AB2681" s="87"/>
      <c r="AC2681" s="87"/>
      <c r="AD2681" s="87"/>
      <c r="AE2681" s="87"/>
      <c r="AF2681" s="87"/>
      <c r="AG2681" s="87"/>
      <c r="AH2681" s="87">
        <v>64</v>
      </c>
      <c r="AI2681" s="87"/>
      <c r="AJ2681" s="87"/>
      <c r="AK2681" s="87"/>
      <c r="AL2681" s="87"/>
      <c r="AM2681" s="87"/>
      <c r="AN2681" s="87">
        <v>1</v>
      </c>
      <c r="AO2681" s="87">
        <v>10</v>
      </c>
      <c r="AP2681" s="87">
        <v>1</v>
      </c>
      <c r="AQ2681" s="87">
        <v>10</v>
      </c>
      <c r="AR2681" s="87">
        <v>1</v>
      </c>
      <c r="AS2681" s="87">
        <v>6</v>
      </c>
      <c r="AT2681" s="87"/>
      <c r="AU2681" s="87">
        <v>33</v>
      </c>
      <c r="AV2681" s="87">
        <v>2</v>
      </c>
      <c r="AW2681" s="88" t="str">
        <f>HYPERLINK("http://www.openstreetmap.org/?mlat=35.6035&amp;mlon=45.1291&amp;zoom=12#map=12/35.6035/45.1291","Maplink1")</f>
        <v>Maplink1</v>
      </c>
      <c r="AX2681" s="88" t="str">
        <f>HYPERLINK("https://www.google.iq/maps/search/+35.6035,45.1291/@35.6035,45.1291,14z?hl=en","Maplink2")</f>
        <v>Maplink2</v>
      </c>
      <c r="AY2681" s="88" t="str">
        <f>HYPERLINK("http://www.bing.com/maps/?lvl=14&amp;sty=h&amp;cp=35.6035~45.1291&amp;sp=point.35.6035_45.1291","Maplink3")</f>
        <v>Maplink3</v>
      </c>
      <c r="AZ2681" s="76"/>
    </row>
    <row r="2682" spans="1:52" x14ac:dyDescent="0.25">
      <c r="A2682" s="86">
        <v>25571</v>
      </c>
      <c r="B2682" s="87" t="s">
        <v>27</v>
      </c>
      <c r="C2682" s="87" t="s">
        <v>5030</v>
      </c>
      <c r="D2682" s="87" t="s">
        <v>5078</v>
      </c>
      <c r="E2682" s="87" t="s">
        <v>5079</v>
      </c>
      <c r="F2682" s="87">
        <v>35.584652499999997</v>
      </c>
      <c r="G2682" s="87">
        <v>45.307501700000003</v>
      </c>
      <c r="H2682" s="86">
        <v>84</v>
      </c>
      <c r="I2682" s="86">
        <v>504</v>
      </c>
      <c r="J2682" s="87">
        <v>15</v>
      </c>
      <c r="K2682" s="87">
        <v>4</v>
      </c>
      <c r="L2682" s="87">
        <v>8</v>
      </c>
      <c r="M2682" s="87"/>
      <c r="N2682" s="87"/>
      <c r="O2682" s="87">
        <v>9</v>
      </c>
      <c r="P2682" s="87"/>
      <c r="Q2682" s="87"/>
      <c r="R2682" s="87">
        <v>22</v>
      </c>
      <c r="S2682" s="87"/>
      <c r="T2682" s="87"/>
      <c r="U2682" s="87"/>
      <c r="V2682" s="87">
        <v>13</v>
      </c>
      <c r="W2682" s="87"/>
      <c r="X2682" s="87">
        <v>13</v>
      </c>
      <c r="Y2682" s="87"/>
      <c r="Z2682" s="87"/>
      <c r="AA2682" s="87"/>
      <c r="AB2682" s="87"/>
      <c r="AC2682" s="87"/>
      <c r="AD2682" s="87"/>
      <c r="AE2682" s="87"/>
      <c r="AF2682" s="87"/>
      <c r="AG2682" s="87"/>
      <c r="AH2682" s="87">
        <v>77</v>
      </c>
      <c r="AI2682" s="87"/>
      <c r="AJ2682" s="87"/>
      <c r="AK2682" s="87"/>
      <c r="AL2682" s="87">
        <v>7</v>
      </c>
      <c r="AM2682" s="87"/>
      <c r="AN2682" s="87">
        <v>12</v>
      </c>
      <c r="AO2682" s="87">
        <v>21</v>
      </c>
      <c r="AP2682" s="87">
        <v>13</v>
      </c>
      <c r="AQ2682" s="87">
        <v>13</v>
      </c>
      <c r="AR2682" s="87"/>
      <c r="AS2682" s="87"/>
      <c r="AT2682" s="87"/>
      <c r="AU2682" s="87">
        <v>25</v>
      </c>
      <c r="AV2682" s="87"/>
      <c r="AW2682" s="88" t="str">
        <f>HYPERLINK("http://www.openstreetmap.org/?mlat=35.5847&amp;mlon=45.3075&amp;zoom=12#map=12/35.5847/45.3075","Maplink1")</f>
        <v>Maplink1</v>
      </c>
      <c r="AX2682" s="88" t="str">
        <f>HYPERLINK("https://www.google.iq/maps/search/+35.5847,45.3075/@35.5847,45.3075,14z?hl=en","Maplink2")</f>
        <v>Maplink2</v>
      </c>
      <c r="AY2682" s="88" t="str">
        <f>HYPERLINK("http://www.bing.com/maps/?lvl=14&amp;sty=h&amp;cp=35.5847~45.3075&amp;sp=point.35.5847_45.3075","Maplink3")</f>
        <v>Maplink3</v>
      </c>
      <c r="AZ2682" s="76"/>
    </row>
    <row r="2683" spans="1:52" x14ac:dyDescent="0.25">
      <c r="A2683" s="86">
        <v>33381</v>
      </c>
      <c r="B2683" s="87" t="s">
        <v>27</v>
      </c>
      <c r="C2683" s="87" t="s">
        <v>5030</v>
      </c>
      <c r="D2683" s="87" t="s">
        <v>5080</v>
      </c>
      <c r="E2683" s="87" t="s">
        <v>5081</v>
      </c>
      <c r="F2683" s="87">
        <v>35.515037800000002</v>
      </c>
      <c r="G2683" s="87">
        <v>45.353465</v>
      </c>
      <c r="H2683" s="86">
        <v>26</v>
      </c>
      <c r="I2683" s="86">
        <v>156</v>
      </c>
      <c r="J2683" s="87">
        <v>1</v>
      </c>
      <c r="K2683" s="87">
        <v>1</v>
      </c>
      <c r="L2683" s="87">
        <v>6</v>
      </c>
      <c r="M2683" s="87"/>
      <c r="N2683" s="87"/>
      <c r="O2683" s="87">
        <v>1</v>
      </c>
      <c r="P2683" s="87"/>
      <c r="Q2683" s="87"/>
      <c r="R2683" s="87">
        <v>1</v>
      </c>
      <c r="S2683" s="87"/>
      <c r="T2683" s="87"/>
      <c r="U2683" s="87"/>
      <c r="V2683" s="87">
        <v>12</v>
      </c>
      <c r="W2683" s="87"/>
      <c r="X2683" s="87">
        <v>4</v>
      </c>
      <c r="Y2683" s="87"/>
      <c r="Z2683" s="87"/>
      <c r="AA2683" s="87"/>
      <c r="AB2683" s="87"/>
      <c r="AC2683" s="87"/>
      <c r="AD2683" s="87"/>
      <c r="AE2683" s="87"/>
      <c r="AF2683" s="87"/>
      <c r="AG2683" s="87"/>
      <c r="AH2683" s="87">
        <v>26</v>
      </c>
      <c r="AI2683" s="87"/>
      <c r="AJ2683" s="87"/>
      <c r="AK2683" s="87"/>
      <c r="AL2683" s="87"/>
      <c r="AM2683" s="87"/>
      <c r="AN2683" s="87">
        <v>1</v>
      </c>
      <c r="AO2683" s="87">
        <v>6</v>
      </c>
      <c r="AP2683" s="87">
        <v>13</v>
      </c>
      <c r="AQ2683" s="87">
        <v>1</v>
      </c>
      <c r="AR2683" s="87">
        <v>3</v>
      </c>
      <c r="AS2683" s="87"/>
      <c r="AT2683" s="87">
        <v>2</v>
      </c>
      <c r="AU2683" s="87"/>
      <c r="AV2683" s="87"/>
      <c r="AW2683" s="88" t="str">
        <f>HYPERLINK("http://www.openstreetmap.org/?mlat=35.515&amp;mlon=45.3535&amp;zoom=12#map=12/35.515/45.3535","Maplink1")</f>
        <v>Maplink1</v>
      </c>
      <c r="AX2683" s="88" t="str">
        <f>HYPERLINK("https://www.google.iq/maps/search/+35.515,45.3535/@35.515,45.3535,14z?hl=en","Maplink2")</f>
        <v>Maplink2</v>
      </c>
      <c r="AY2683" s="88" t="str">
        <f>HYPERLINK("http://www.bing.com/maps/?lvl=14&amp;sty=h&amp;cp=35.515~45.3535&amp;sp=point.35.515_45.3535","Maplink3")</f>
        <v>Maplink3</v>
      </c>
      <c r="AZ2683" s="76"/>
    </row>
    <row r="2684" spans="1:52" x14ac:dyDescent="0.25">
      <c r="A2684" s="86">
        <v>31959</v>
      </c>
      <c r="B2684" s="87" t="s">
        <v>27</v>
      </c>
      <c r="C2684" s="87" t="s">
        <v>5030</v>
      </c>
      <c r="D2684" s="87" t="s">
        <v>5082</v>
      </c>
      <c r="E2684" s="87" t="s">
        <v>5083</v>
      </c>
      <c r="F2684" s="87">
        <v>35.573993100000003</v>
      </c>
      <c r="G2684" s="87">
        <v>45.4546396</v>
      </c>
      <c r="H2684" s="86">
        <v>26</v>
      </c>
      <c r="I2684" s="86">
        <v>156</v>
      </c>
      <c r="J2684" s="87">
        <v>12</v>
      </c>
      <c r="K2684" s="87"/>
      <c r="L2684" s="87">
        <v>4</v>
      </c>
      <c r="M2684" s="87"/>
      <c r="N2684" s="87"/>
      <c r="O2684" s="87">
        <v>1</v>
      </c>
      <c r="P2684" s="87"/>
      <c r="Q2684" s="87"/>
      <c r="R2684" s="87"/>
      <c r="S2684" s="87"/>
      <c r="T2684" s="87"/>
      <c r="U2684" s="87"/>
      <c r="V2684" s="87">
        <v>3</v>
      </c>
      <c r="W2684" s="87"/>
      <c r="X2684" s="87">
        <v>6</v>
      </c>
      <c r="Y2684" s="87"/>
      <c r="Z2684" s="87"/>
      <c r="AA2684" s="87"/>
      <c r="AB2684" s="87"/>
      <c r="AC2684" s="87"/>
      <c r="AD2684" s="87"/>
      <c r="AE2684" s="87"/>
      <c r="AF2684" s="87"/>
      <c r="AG2684" s="87"/>
      <c r="AH2684" s="87">
        <v>26</v>
      </c>
      <c r="AI2684" s="87"/>
      <c r="AJ2684" s="87"/>
      <c r="AK2684" s="87"/>
      <c r="AL2684" s="87"/>
      <c r="AM2684" s="87"/>
      <c r="AN2684" s="87">
        <v>1</v>
      </c>
      <c r="AO2684" s="87">
        <v>3</v>
      </c>
      <c r="AP2684" s="87">
        <v>4</v>
      </c>
      <c r="AQ2684" s="87">
        <v>5</v>
      </c>
      <c r="AR2684" s="87">
        <v>5</v>
      </c>
      <c r="AS2684" s="87">
        <v>1</v>
      </c>
      <c r="AT2684" s="87">
        <v>6</v>
      </c>
      <c r="AU2684" s="87">
        <v>1</v>
      </c>
      <c r="AV2684" s="87"/>
      <c r="AW2684" s="88" t="str">
        <f>HYPERLINK("http://www.openstreetmap.org/?mlat=35.574&amp;mlon=45.4546&amp;zoom=12#map=12/35.574/45.4546","Maplink1")</f>
        <v>Maplink1</v>
      </c>
      <c r="AX2684" s="88" t="str">
        <f>HYPERLINK("https://www.google.iq/maps/search/+35.574,45.4546/@35.574,45.4546,14z?hl=en","Maplink2")</f>
        <v>Maplink2</v>
      </c>
      <c r="AY2684" s="88" t="str">
        <f>HYPERLINK("http://www.bing.com/maps/?lvl=14&amp;sty=h&amp;cp=35.574~45.4546&amp;sp=point.35.574_45.4546","Maplink3")</f>
        <v>Maplink3</v>
      </c>
      <c r="AZ2684" s="76"/>
    </row>
    <row r="2685" spans="1:52" x14ac:dyDescent="0.25">
      <c r="A2685" s="86">
        <v>31986</v>
      </c>
      <c r="B2685" s="87" t="s">
        <v>27</v>
      </c>
      <c r="C2685" s="87" t="s">
        <v>5030</v>
      </c>
      <c r="D2685" s="87" t="s">
        <v>5084</v>
      </c>
      <c r="E2685" s="87" t="s">
        <v>5085</v>
      </c>
      <c r="F2685" s="87">
        <v>35.579872100000003</v>
      </c>
      <c r="G2685" s="87">
        <v>45.418139400000001</v>
      </c>
      <c r="H2685" s="86">
        <v>35</v>
      </c>
      <c r="I2685" s="86">
        <v>210</v>
      </c>
      <c r="J2685" s="87">
        <v>13</v>
      </c>
      <c r="K2685" s="87">
        <v>2</v>
      </c>
      <c r="L2685" s="87">
        <v>11</v>
      </c>
      <c r="M2685" s="87"/>
      <c r="N2685" s="87"/>
      <c r="O2685" s="87">
        <v>3</v>
      </c>
      <c r="P2685" s="87"/>
      <c r="Q2685" s="87"/>
      <c r="R2685" s="87"/>
      <c r="S2685" s="87"/>
      <c r="T2685" s="87"/>
      <c r="U2685" s="87"/>
      <c r="V2685" s="87">
        <v>2</v>
      </c>
      <c r="W2685" s="87"/>
      <c r="X2685" s="87">
        <v>4</v>
      </c>
      <c r="Y2685" s="87"/>
      <c r="Z2685" s="87"/>
      <c r="AA2685" s="87"/>
      <c r="AB2685" s="87"/>
      <c r="AC2685" s="87"/>
      <c r="AD2685" s="87"/>
      <c r="AE2685" s="87"/>
      <c r="AF2685" s="87"/>
      <c r="AG2685" s="87"/>
      <c r="AH2685" s="87">
        <v>35</v>
      </c>
      <c r="AI2685" s="87"/>
      <c r="AJ2685" s="87"/>
      <c r="AK2685" s="87"/>
      <c r="AL2685" s="87"/>
      <c r="AM2685" s="87"/>
      <c r="AN2685" s="87">
        <v>4</v>
      </c>
      <c r="AO2685" s="87">
        <v>6</v>
      </c>
      <c r="AP2685" s="87"/>
      <c r="AQ2685" s="87">
        <v>9</v>
      </c>
      <c r="AR2685" s="87">
        <v>2</v>
      </c>
      <c r="AS2685" s="87">
        <v>11</v>
      </c>
      <c r="AT2685" s="87"/>
      <c r="AU2685" s="87">
        <v>1</v>
      </c>
      <c r="AV2685" s="87">
        <v>2</v>
      </c>
      <c r="AW2685" s="88" t="str">
        <f>HYPERLINK("http://www.openstreetmap.org/?mlat=35.5799&amp;mlon=45.4181&amp;zoom=12#map=12/35.5799/45.4181","Maplink1")</f>
        <v>Maplink1</v>
      </c>
      <c r="AX2685" s="88" t="str">
        <f>HYPERLINK("https://www.google.iq/maps/search/+35.5799,45.4181/@35.5799,45.4181,14z?hl=en","Maplink2")</f>
        <v>Maplink2</v>
      </c>
      <c r="AY2685" s="88" t="str">
        <f>HYPERLINK("http://www.bing.com/maps/?lvl=14&amp;sty=h&amp;cp=35.5799~45.4181&amp;sp=point.35.5799_45.4181","Maplink3")</f>
        <v>Maplink3</v>
      </c>
      <c r="AZ2685" s="76"/>
    </row>
    <row r="2686" spans="1:52" x14ac:dyDescent="0.25">
      <c r="A2686" s="86">
        <v>33353</v>
      </c>
      <c r="B2686" s="87" t="s">
        <v>27</v>
      </c>
      <c r="C2686" s="87" t="s">
        <v>5030</v>
      </c>
      <c r="D2686" s="87" t="s">
        <v>5086</v>
      </c>
      <c r="E2686" s="87" t="s">
        <v>5087</v>
      </c>
      <c r="F2686" s="87">
        <v>35.574903999999997</v>
      </c>
      <c r="G2686" s="87">
        <v>45.419240700000003</v>
      </c>
      <c r="H2686" s="86">
        <v>18</v>
      </c>
      <c r="I2686" s="86">
        <v>108</v>
      </c>
      <c r="J2686" s="87">
        <v>8</v>
      </c>
      <c r="K2686" s="87"/>
      <c r="L2686" s="87">
        <v>6</v>
      </c>
      <c r="M2686" s="87"/>
      <c r="N2686" s="87"/>
      <c r="O2686" s="87">
        <v>3</v>
      </c>
      <c r="P2686" s="87"/>
      <c r="Q2686" s="87"/>
      <c r="R2686" s="87"/>
      <c r="S2686" s="87"/>
      <c r="T2686" s="87"/>
      <c r="U2686" s="87"/>
      <c r="V2686" s="87"/>
      <c r="W2686" s="87"/>
      <c r="X2686" s="87">
        <v>1</v>
      </c>
      <c r="Y2686" s="87"/>
      <c r="Z2686" s="87"/>
      <c r="AA2686" s="87"/>
      <c r="AB2686" s="87"/>
      <c r="AC2686" s="87"/>
      <c r="AD2686" s="87"/>
      <c r="AE2686" s="87"/>
      <c r="AF2686" s="87"/>
      <c r="AG2686" s="87"/>
      <c r="AH2686" s="87">
        <v>18</v>
      </c>
      <c r="AI2686" s="87"/>
      <c r="AJ2686" s="87"/>
      <c r="AK2686" s="87"/>
      <c r="AL2686" s="87"/>
      <c r="AM2686" s="87"/>
      <c r="AN2686" s="87"/>
      <c r="AO2686" s="87"/>
      <c r="AP2686" s="87"/>
      <c r="AQ2686" s="87">
        <v>4</v>
      </c>
      <c r="AR2686" s="87">
        <v>3</v>
      </c>
      <c r="AS2686" s="87">
        <v>4</v>
      </c>
      <c r="AT2686" s="87">
        <v>7</v>
      </c>
      <c r="AU2686" s="87"/>
      <c r="AV2686" s="87"/>
      <c r="AW2686" s="88" t="str">
        <f>HYPERLINK("http://www.openstreetmap.org/?mlat=35.5749&amp;mlon=45.4192&amp;zoom=12#map=12/35.5749/45.4192","Maplink1")</f>
        <v>Maplink1</v>
      </c>
      <c r="AX2686" s="88" t="str">
        <f>HYPERLINK("https://www.google.iq/maps/search/+35.5749,45.4192/@35.5749,45.4192,14z?hl=en","Maplink2")</f>
        <v>Maplink2</v>
      </c>
      <c r="AY2686" s="88" t="str">
        <f>HYPERLINK("http://www.bing.com/maps/?lvl=14&amp;sty=h&amp;cp=35.5749~45.4192&amp;sp=point.35.5749_45.4192","Maplink3")</f>
        <v>Maplink3</v>
      </c>
      <c r="AZ2686" s="76"/>
    </row>
    <row r="2687" spans="1:52" x14ac:dyDescent="0.25">
      <c r="A2687" s="86">
        <v>32003</v>
      </c>
      <c r="B2687" s="87" t="s">
        <v>27</v>
      </c>
      <c r="C2687" s="87" t="s">
        <v>5030</v>
      </c>
      <c r="D2687" s="87" t="s">
        <v>5088</v>
      </c>
      <c r="E2687" s="87" t="s">
        <v>5089</v>
      </c>
      <c r="F2687" s="87">
        <v>35.597186100000002</v>
      </c>
      <c r="G2687" s="87">
        <v>45.407039500000003</v>
      </c>
      <c r="H2687" s="86">
        <v>40</v>
      </c>
      <c r="I2687" s="86">
        <v>240</v>
      </c>
      <c r="J2687" s="87">
        <v>26</v>
      </c>
      <c r="K2687" s="87"/>
      <c r="L2687" s="87">
        <v>5</v>
      </c>
      <c r="M2687" s="87"/>
      <c r="N2687" s="87"/>
      <c r="O2687" s="87">
        <v>3</v>
      </c>
      <c r="P2687" s="87"/>
      <c r="Q2687" s="87"/>
      <c r="R2687" s="87"/>
      <c r="S2687" s="87"/>
      <c r="T2687" s="87"/>
      <c r="U2687" s="87"/>
      <c r="V2687" s="87">
        <v>2</v>
      </c>
      <c r="W2687" s="87"/>
      <c r="X2687" s="87">
        <v>4</v>
      </c>
      <c r="Y2687" s="87"/>
      <c r="Z2687" s="87"/>
      <c r="AA2687" s="87"/>
      <c r="AB2687" s="87"/>
      <c r="AC2687" s="87"/>
      <c r="AD2687" s="87"/>
      <c r="AE2687" s="87"/>
      <c r="AF2687" s="87"/>
      <c r="AG2687" s="87"/>
      <c r="AH2687" s="87">
        <v>40</v>
      </c>
      <c r="AI2687" s="87"/>
      <c r="AJ2687" s="87"/>
      <c r="AK2687" s="87"/>
      <c r="AL2687" s="87"/>
      <c r="AM2687" s="87"/>
      <c r="AN2687" s="87">
        <v>5</v>
      </c>
      <c r="AO2687" s="87">
        <v>10</v>
      </c>
      <c r="AP2687" s="87">
        <v>7</v>
      </c>
      <c r="AQ2687" s="87">
        <v>7</v>
      </c>
      <c r="AR2687" s="87">
        <v>6</v>
      </c>
      <c r="AS2687" s="87">
        <v>5</v>
      </c>
      <c r="AT2687" s="87"/>
      <c r="AU2687" s="87"/>
      <c r="AV2687" s="87"/>
      <c r="AW2687" s="88" t="str">
        <f>HYPERLINK("http://www.openstreetmap.org/?mlat=35.5972&amp;mlon=45.407&amp;zoom=12#map=12/35.5972/45.407","Maplink1")</f>
        <v>Maplink1</v>
      </c>
      <c r="AX2687" s="88" t="str">
        <f>HYPERLINK("https://www.google.iq/maps/search/+35.5972,45.407/@35.5972,45.407,14z?hl=en","Maplink2")</f>
        <v>Maplink2</v>
      </c>
      <c r="AY2687" s="88" t="str">
        <f>HYPERLINK("http://www.bing.com/maps/?lvl=14&amp;sty=h&amp;cp=35.5972~45.407&amp;sp=point.35.5972_45.407","Maplink3")</f>
        <v>Maplink3</v>
      </c>
      <c r="AZ2687" s="76"/>
    </row>
    <row r="2688" spans="1:52" x14ac:dyDescent="0.25">
      <c r="A2688" s="86">
        <v>31981</v>
      </c>
      <c r="B2688" s="87" t="s">
        <v>27</v>
      </c>
      <c r="C2688" s="87" t="s">
        <v>5030</v>
      </c>
      <c r="D2688" s="87" t="s">
        <v>5090</v>
      </c>
      <c r="E2688" s="87" t="s">
        <v>5091</v>
      </c>
      <c r="F2688" s="87">
        <v>35.568026099999997</v>
      </c>
      <c r="G2688" s="87">
        <v>45.396360700000002</v>
      </c>
      <c r="H2688" s="86">
        <v>58</v>
      </c>
      <c r="I2688" s="86">
        <v>348</v>
      </c>
      <c r="J2688" s="87">
        <v>14</v>
      </c>
      <c r="K2688" s="87">
        <v>2</v>
      </c>
      <c r="L2688" s="87">
        <v>27</v>
      </c>
      <c r="M2688" s="87"/>
      <c r="N2688" s="87"/>
      <c r="O2688" s="87">
        <v>5</v>
      </c>
      <c r="P2688" s="87"/>
      <c r="Q2688" s="87"/>
      <c r="R2688" s="87">
        <v>3</v>
      </c>
      <c r="S2688" s="87"/>
      <c r="T2688" s="87"/>
      <c r="U2688" s="87"/>
      <c r="V2688" s="87">
        <v>2</v>
      </c>
      <c r="W2688" s="87"/>
      <c r="X2688" s="87">
        <v>5</v>
      </c>
      <c r="Y2688" s="87"/>
      <c r="Z2688" s="87"/>
      <c r="AA2688" s="87"/>
      <c r="AB2688" s="87"/>
      <c r="AC2688" s="87"/>
      <c r="AD2688" s="87"/>
      <c r="AE2688" s="87"/>
      <c r="AF2688" s="87"/>
      <c r="AG2688" s="87"/>
      <c r="AH2688" s="87">
        <v>58</v>
      </c>
      <c r="AI2688" s="87"/>
      <c r="AJ2688" s="87"/>
      <c r="AK2688" s="87"/>
      <c r="AL2688" s="87"/>
      <c r="AM2688" s="87"/>
      <c r="AN2688" s="87">
        <v>5</v>
      </c>
      <c r="AO2688" s="87">
        <v>10</v>
      </c>
      <c r="AP2688" s="87">
        <v>1</v>
      </c>
      <c r="AQ2688" s="87">
        <v>13</v>
      </c>
      <c r="AR2688" s="87">
        <v>8</v>
      </c>
      <c r="AS2688" s="87">
        <v>8</v>
      </c>
      <c r="AT2688" s="87">
        <v>8</v>
      </c>
      <c r="AU2688" s="87">
        <v>3</v>
      </c>
      <c r="AV2688" s="87">
        <v>2</v>
      </c>
      <c r="AW2688" s="88" t="str">
        <f>HYPERLINK("http://www.openstreetmap.org/?mlat=35.568&amp;mlon=45.3964&amp;zoom=12#map=12/35.568/45.3964","Maplink1")</f>
        <v>Maplink1</v>
      </c>
      <c r="AX2688" s="88" t="str">
        <f>HYPERLINK("https://www.google.iq/maps/search/+35.568,45.3964/@35.568,45.3964,14z?hl=en","Maplink2")</f>
        <v>Maplink2</v>
      </c>
      <c r="AY2688" s="88" t="str">
        <f>HYPERLINK("http://www.bing.com/maps/?lvl=14&amp;sty=h&amp;cp=35.568~45.3964&amp;sp=point.35.568_45.3964","Maplink3")</f>
        <v>Maplink3</v>
      </c>
      <c r="AZ2688" s="76"/>
    </row>
    <row r="2689" spans="1:52" x14ac:dyDescent="0.25">
      <c r="A2689" s="86">
        <v>21204</v>
      </c>
      <c r="B2689" s="87" t="s">
        <v>27</v>
      </c>
      <c r="C2689" s="87" t="s">
        <v>5030</v>
      </c>
      <c r="D2689" s="87" t="s">
        <v>5092</v>
      </c>
      <c r="E2689" s="87" t="s">
        <v>5093</v>
      </c>
      <c r="F2689" s="87">
        <v>35.573705699999998</v>
      </c>
      <c r="G2689" s="87">
        <v>45.397927699999997</v>
      </c>
      <c r="H2689" s="86">
        <v>55</v>
      </c>
      <c r="I2689" s="86">
        <v>330</v>
      </c>
      <c r="J2689" s="87">
        <v>10</v>
      </c>
      <c r="K2689" s="87">
        <v>1</v>
      </c>
      <c r="L2689" s="87">
        <v>33</v>
      </c>
      <c r="M2689" s="87"/>
      <c r="N2689" s="87"/>
      <c r="O2689" s="87">
        <v>4</v>
      </c>
      <c r="P2689" s="87"/>
      <c r="Q2689" s="87"/>
      <c r="R2689" s="87">
        <v>1</v>
      </c>
      <c r="S2689" s="87"/>
      <c r="T2689" s="87"/>
      <c r="U2689" s="87"/>
      <c r="V2689" s="87">
        <v>3</v>
      </c>
      <c r="W2689" s="87"/>
      <c r="X2689" s="87">
        <v>3</v>
      </c>
      <c r="Y2689" s="87"/>
      <c r="Z2689" s="87"/>
      <c r="AA2689" s="87"/>
      <c r="AB2689" s="87"/>
      <c r="AC2689" s="87"/>
      <c r="AD2689" s="87"/>
      <c r="AE2689" s="87"/>
      <c r="AF2689" s="87"/>
      <c r="AG2689" s="87"/>
      <c r="AH2689" s="87">
        <v>55</v>
      </c>
      <c r="AI2689" s="87"/>
      <c r="AJ2689" s="87"/>
      <c r="AK2689" s="87"/>
      <c r="AL2689" s="87"/>
      <c r="AM2689" s="87"/>
      <c r="AN2689" s="87">
        <v>7</v>
      </c>
      <c r="AO2689" s="87">
        <v>9</v>
      </c>
      <c r="AP2689" s="87">
        <v>6</v>
      </c>
      <c r="AQ2689" s="87">
        <v>14</v>
      </c>
      <c r="AR2689" s="87">
        <v>7</v>
      </c>
      <c r="AS2689" s="87">
        <v>5</v>
      </c>
      <c r="AT2689" s="87">
        <v>1</v>
      </c>
      <c r="AU2689" s="87">
        <v>2</v>
      </c>
      <c r="AV2689" s="87">
        <v>4</v>
      </c>
      <c r="AW2689" s="88" t="str">
        <f>HYPERLINK("http://www.openstreetmap.org/?mlat=35.5737&amp;mlon=45.3979&amp;zoom=12#map=12/35.5737/45.3979","Maplink1")</f>
        <v>Maplink1</v>
      </c>
      <c r="AX2689" s="88" t="str">
        <f>HYPERLINK("https://www.google.iq/maps/search/+35.5737,45.3979/@35.5737,45.3979,14z?hl=en","Maplink2")</f>
        <v>Maplink2</v>
      </c>
      <c r="AY2689" s="88" t="str">
        <f>HYPERLINK("http://www.bing.com/maps/?lvl=14&amp;sty=h&amp;cp=35.5737~45.3979&amp;sp=point.35.5737_45.3979","Maplink3")</f>
        <v>Maplink3</v>
      </c>
      <c r="AZ2689" s="76"/>
    </row>
    <row r="2690" spans="1:52" x14ac:dyDescent="0.25">
      <c r="A2690" s="86">
        <v>25077</v>
      </c>
      <c r="B2690" s="87" t="s">
        <v>27</v>
      </c>
      <c r="C2690" s="87" t="s">
        <v>5030</v>
      </c>
      <c r="D2690" s="87" t="s">
        <v>5094</v>
      </c>
      <c r="E2690" s="87" t="s">
        <v>5095</v>
      </c>
      <c r="F2690" s="87">
        <v>35.596128399999998</v>
      </c>
      <c r="G2690" s="87">
        <v>45.370931800000001</v>
      </c>
      <c r="H2690" s="86">
        <v>111</v>
      </c>
      <c r="I2690" s="86">
        <v>666</v>
      </c>
      <c r="J2690" s="87">
        <v>24</v>
      </c>
      <c r="K2690" s="87">
        <v>3</v>
      </c>
      <c r="L2690" s="87">
        <v>19</v>
      </c>
      <c r="M2690" s="87"/>
      <c r="N2690" s="87"/>
      <c r="O2690" s="87">
        <v>11</v>
      </c>
      <c r="P2690" s="87"/>
      <c r="Q2690" s="87"/>
      <c r="R2690" s="87">
        <v>15</v>
      </c>
      <c r="S2690" s="87"/>
      <c r="T2690" s="87"/>
      <c r="U2690" s="87"/>
      <c r="V2690" s="87">
        <v>23</v>
      </c>
      <c r="W2690" s="87"/>
      <c r="X2690" s="87">
        <v>16</v>
      </c>
      <c r="Y2690" s="87"/>
      <c r="Z2690" s="87"/>
      <c r="AA2690" s="87"/>
      <c r="AB2690" s="87"/>
      <c r="AC2690" s="87"/>
      <c r="AD2690" s="87"/>
      <c r="AE2690" s="87"/>
      <c r="AF2690" s="87"/>
      <c r="AG2690" s="87"/>
      <c r="AH2690" s="87">
        <v>100</v>
      </c>
      <c r="AI2690" s="87"/>
      <c r="AJ2690" s="87"/>
      <c r="AK2690" s="87"/>
      <c r="AL2690" s="87">
        <v>11</v>
      </c>
      <c r="AM2690" s="87"/>
      <c r="AN2690" s="87">
        <v>7</v>
      </c>
      <c r="AO2690" s="87">
        <v>23</v>
      </c>
      <c r="AP2690" s="87">
        <v>27</v>
      </c>
      <c r="AQ2690" s="87">
        <v>12</v>
      </c>
      <c r="AR2690" s="87">
        <v>14</v>
      </c>
      <c r="AS2690" s="87"/>
      <c r="AT2690" s="87"/>
      <c r="AU2690" s="87">
        <v>28</v>
      </c>
      <c r="AV2690" s="87"/>
      <c r="AW2690" s="88" t="str">
        <f>HYPERLINK("http://www.openstreetmap.org/?mlat=35.5961&amp;mlon=45.3709&amp;zoom=12#map=12/35.5961/45.3709","Maplink1")</f>
        <v>Maplink1</v>
      </c>
      <c r="AX2690" s="88" t="str">
        <f>HYPERLINK("https://www.google.iq/maps/search/+35.5961,45.3709/@35.5961,45.3709,14z?hl=en","Maplink2")</f>
        <v>Maplink2</v>
      </c>
      <c r="AY2690" s="88" t="str">
        <f>HYPERLINK("http://www.bing.com/maps/?lvl=14&amp;sty=h&amp;cp=35.5961~45.3709&amp;sp=point.35.5961_45.3709","Maplink3")</f>
        <v>Maplink3</v>
      </c>
      <c r="AZ2690" s="76"/>
    </row>
    <row r="2691" spans="1:52" x14ac:dyDescent="0.25">
      <c r="A2691" s="86">
        <v>4592</v>
      </c>
      <c r="B2691" s="87" t="s">
        <v>27</v>
      </c>
      <c r="C2691" s="87" t="s">
        <v>5030</v>
      </c>
      <c r="D2691" s="87" t="s">
        <v>5096</v>
      </c>
      <c r="E2691" s="87" t="s">
        <v>5097</v>
      </c>
      <c r="F2691" s="87">
        <v>35.580094199999998</v>
      </c>
      <c r="G2691" s="87">
        <v>45.267819699999997</v>
      </c>
      <c r="H2691" s="86">
        <v>47</v>
      </c>
      <c r="I2691" s="86">
        <v>282</v>
      </c>
      <c r="J2691" s="87">
        <v>8</v>
      </c>
      <c r="K2691" s="87">
        <v>7</v>
      </c>
      <c r="L2691" s="87">
        <v>4</v>
      </c>
      <c r="M2691" s="87"/>
      <c r="N2691" s="87"/>
      <c r="O2691" s="87">
        <v>3</v>
      </c>
      <c r="P2691" s="87"/>
      <c r="Q2691" s="87"/>
      <c r="R2691" s="87">
        <v>13</v>
      </c>
      <c r="S2691" s="87"/>
      <c r="T2691" s="87"/>
      <c r="U2691" s="87"/>
      <c r="V2691" s="87">
        <v>3</v>
      </c>
      <c r="W2691" s="87"/>
      <c r="X2691" s="87">
        <v>9</v>
      </c>
      <c r="Y2691" s="87"/>
      <c r="Z2691" s="87"/>
      <c r="AA2691" s="87"/>
      <c r="AB2691" s="87"/>
      <c r="AC2691" s="87"/>
      <c r="AD2691" s="87"/>
      <c r="AE2691" s="87"/>
      <c r="AF2691" s="87"/>
      <c r="AG2691" s="87"/>
      <c r="AH2691" s="87">
        <v>47</v>
      </c>
      <c r="AI2691" s="87"/>
      <c r="AJ2691" s="87"/>
      <c r="AK2691" s="87"/>
      <c r="AL2691" s="87"/>
      <c r="AM2691" s="87"/>
      <c r="AN2691" s="87">
        <v>3</v>
      </c>
      <c r="AO2691" s="87">
        <v>17</v>
      </c>
      <c r="AP2691" s="87">
        <v>2</v>
      </c>
      <c r="AQ2691" s="87">
        <v>7</v>
      </c>
      <c r="AR2691" s="87">
        <v>3</v>
      </c>
      <c r="AS2691" s="87"/>
      <c r="AT2691" s="87"/>
      <c r="AU2691" s="87">
        <v>15</v>
      </c>
      <c r="AV2691" s="87"/>
      <c r="AW2691" s="88" t="str">
        <f>HYPERLINK("http://www.openstreetmap.org/?mlat=35.5801&amp;mlon=45.2678&amp;zoom=12#map=12/35.5801/45.2678","Maplink1")</f>
        <v>Maplink1</v>
      </c>
      <c r="AX2691" s="88" t="str">
        <f>HYPERLINK("https://www.google.iq/maps/search/+35.5801,45.2678/@35.5801,45.2678,14z?hl=en","Maplink2")</f>
        <v>Maplink2</v>
      </c>
      <c r="AY2691" s="88" t="str">
        <f>HYPERLINK("http://www.bing.com/maps/?lvl=14&amp;sty=h&amp;cp=35.5801~45.2678&amp;sp=point.35.5801_45.2678","Maplink3")</f>
        <v>Maplink3</v>
      </c>
      <c r="AZ2691" s="76"/>
    </row>
    <row r="2692" spans="1:52" x14ac:dyDescent="0.25">
      <c r="A2692" s="86">
        <v>6144</v>
      </c>
      <c r="B2692" s="87" t="s">
        <v>27</v>
      </c>
      <c r="C2692" s="87" t="s">
        <v>5030</v>
      </c>
      <c r="D2692" s="87" t="s">
        <v>5098</v>
      </c>
      <c r="E2692" s="87" t="s">
        <v>5099</v>
      </c>
      <c r="F2692" s="87">
        <v>35.532794199999998</v>
      </c>
      <c r="G2692" s="87">
        <v>45.435694900000001</v>
      </c>
      <c r="H2692" s="86">
        <v>56</v>
      </c>
      <c r="I2692" s="86">
        <v>336</v>
      </c>
      <c r="J2692" s="87">
        <v>8</v>
      </c>
      <c r="K2692" s="87"/>
      <c r="L2692" s="87">
        <v>3</v>
      </c>
      <c r="M2692" s="87"/>
      <c r="N2692" s="87"/>
      <c r="O2692" s="87">
        <v>7</v>
      </c>
      <c r="P2692" s="87"/>
      <c r="Q2692" s="87"/>
      <c r="R2692" s="87">
        <v>10</v>
      </c>
      <c r="S2692" s="87"/>
      <c r="T2692" s="87"/>
      <c r="U2692" s="87"/>
      <c r="V2692" s="87">
        <v>13</v>
      </c>
      <c r="W2692" s="87"/>
      <c r="X2692" s="87">
        <v>15</v>
      </c>
      <c r="Y2692" s="87"/>
      <c r="Z2692" s="87"/>
      <c r="AA2692" s="87"/>
      <c r="AB2692" s="87"/>
      <c r="AC2692" s="87"/>
      <c r="AD2692" s="87"/>
      <c r="AE2692" s="87"/>
      <c r="AF2692" s="87"/>
      <c r="AG2692" s="87"/>
      <c r="AH2692" s="87">
        <v>56</v>
      </c>
      <c r="AI2692" s="87"/>
      <c r="AJ2692" s="87"/>
      <c r="AK2692" s="87"/>
      <c r="AL2692" s="87"/>
      <c r="AM2692" s="87"/>
      <c r="AN2692" s="87">
        <v>3</v>
      </c>
      <c r="AO2692" s="87">
        <v>13</v>
      </c>
      <c r="AP2692" s="87">
        <v>4</v>
      </c>
      <c r="AQ2692" s="87">
        <v>8</v>
      </c>
      <c r="AR2692" s="87">
        <v>5</v>
      </c>
      <c r="AS2692" s="87">
        <v>2</v>
      </c>
      <c r="AT2692" s="87"/>
      <c r="AU2692" s="87">
        <v>20</v>
      </c>
      <c r="AV2692" s="87">
        <v>1</v>
      </c>
      <c r="AW2692" s="88" t="str">
        <f>HYPERLINK("http://www.openstreetmap.org/?mlat=35.5328&amp;mlon=45.4357&amp;zoom=12#map=12/35.5328/45.4357","Maplink1")</f>
        <v>Maplink1</v>
      </c>
      <c r="AX2692" s="88" t="str">
        <f>HYPERLINK("https://www.google.iq/maps/search/+35.5328,45.4357/@35.5328,45.4357,14z?hl=en","Maplink2")</f>
        <v>Maplink2</v>
      </c>
      <c r="AY2692" s="88" t="str">
        <f>HYPERLINK("http://www.bing.com/maps/?lvl=14&amp;sty=h&amp;cp=35.5328~45.4357&amp;sp=point.35.5328_45.4357","Maplink3")</f>
        <v>Maplink3</v>
      </c>
      <c r="AZ2692" s="76"/>
    </row>
    <row r="2693" spans="1:52" x14ac:dyDescent="0.25">
      <c r="A2693" s="86">
        <v>4527</v>
      </c>
      <c r="B2693" s="87" t="s">
        <v>27</v>
      </c>
      <c r="C2693" s="87" t="s">
        <v>5030</v>
      </c>
      <c r="D2693" s="87" t="s">
        <v>5100</v>
      </c>
      <c r="E2693" s="87" t="s">
        <v>5101</v>
      </c>
      <c r="F2693" s="87">
        <v>35.564162699999997</v>
      </c>
      <c r="G2693" s="87">
        <v>45.415655399999999</v>
      </c>
      <c r="H2693" s="86">
        <v>24</v>
      </c>
      <c r="I2693" s="86">
        <v>144</v>
      </c>
      <c r="J2693" s="87">
        <v>4</v>
      </c>
      <c r="K2693" s="87"/>
      <c r="L2693" s="87">
        <v>9</v>
      </c>
      <c r="M2693" s="87"/>
      <c r="N2693" s="87"/>
      <c r="O2693" s="87">
        <v>1</v>
      </c>
      <c r="P2693" s="87"/>
      <c r="Q2693" s="87"/>
      <c r="R2693" s="87">
        <v>5</v>
      </c>
      <c r="S2693" s="87"/>
      <c r="T2693" s="87"/>
      <c r="U2693" s="87"/>
      <c r="V2693" s="87">
        <v>2</v>
      </c>
      <c r="W2693" s="87"/>
      <c r="X2693" s="87">
        <v>3</v>
      </c>
      <c r="Y2693" s="87"/>
      <c r="Z2693" s="87"/>
      <c r="AA2693" s="87"/>
      <c r="AB2693" s="87"/>
      <c r="AC2693" s="87"/>
      <c r="AD2693" s="87"/>
      <c r="AE2693" s="87"/>
      <c r="AF2693" s="87"/>
      <c r="AG2693" s="87"/>
      <c r="AH2693" s="87">
        <v>23</v>
      </c>
      <c r="AI2693" s="87"/>
      <c r="AJ2693" s="87"/>
      <c r="AK2693" s="87"/>
      <c r="AL2693" s="87">
        <v>1</v>
      </c>
      <c r="AM2693" s="87"/>
      <c r="AN2693" s="87">
        <v>2</v>
      </c>
      <c r="AO2693" s="87">
        <v>3</v>
      </c>
      <c r="AP2693" s="87"/>
      <c r="AQ2693" s="87">
        <v>1</v>
      </c>
      <c r="AR2693" s="87">
        <v>3</v>
      </c>
      <c r="AS2693" s="87"/>
      <c r="AT2693" s="87">
        <v>6</v>
      </c>
      <c r="AU2693" s="87">
        <v>8</v>
      </c>
      <c r="AV2693" s="87">
        <v>1</v>
      </c>
      <c r="AW2693" s="88" t="str">
        <f>HYPERLINK("http://www.openstreetmap.org/?mlat=35.5642&amp;mlon=45.4157&amp;zoom=12#map=12/35.5642/45.4157","Maplink1")</f>
        <v>Maplink1</v>
      </c>
      <c r="AX2693" s="88" t="str">
        <f>HYPERLINK("https://www.google.iq/maps/search/+35.5642,45.4157/@35.5642,45.4157,14z?hl=en","Maplink2")</f>
        <v>Maplink2</v>
      </c>
      <c r="AY2693" s="88" t="str">
        <f>HYPERLINK("http://www.bing.com/maps/?lvl=14&amp;sty=h&amp;cp=35.5642~45.4157&amp;sp=point.35.5642_45.4157","Maplink3")</f>
        <v>Maplink3</v>
      </c>
      <c r="AZ2693" s="76"/>
    </row>
    <row r="2694" spans="1:52" x14ac:dyDescent="0.25">
      <c r="A2694" s="86">
        <v>5744</v>
      </c>
      <c r="B2694" s="87" t="s">
        <v>27</v>
      </c>
      <c r="C2694" s="87" t="s">
        <v>5030</v>
      </c>
      <c r="D2694" s="87" t="s">
        <v>5102</v>
      </c>
      <c r="E2694" s="87" t="s">
        <v>5103</v>
      </c>
      <c r="F2694" s="87">
        <v>35.451302099999999</v>
      </c>
      <c r="G2694" s="87">
        <v>45.447999299999999</v>
      </c>
      <c r="H2694" s="86">
        <v>60</v>
      </c>
      <c r="I2694" s="86">
        <v>360</v>
      </c>
      <c r="J2694" s="87">
        <v>3</v>
      </c>
      <c r="K2694" s="87">
        <v>7</v>
      </c>
      <c r="L2694" s="87">
        <v>3</v>
      </c>
      <c r="M2694" s="87"/>
      <c r="N2694" s="87"/>
      <c r="O2694" s="87">
        <v>36</v>
      </c>
      <c r="P2694" s="87"/>
      <c r="Q2694" s="87"/>
      <c r="R2694" s="87">
        <v>1</v>
      </c>
      <c r="S2694" s="87"/>
      <c r="T2694" s="87"/>
      <c r="U2694" s="87"/>
      <c r="V2694" s="87"/>
      <c r="W2694" s="87"/>
      <c r="X2694" s="87">
        <v>10</v>
      </c>
      <c r="Y2694" s="87"/>
      <c r="Z2694" s="87"/>
      <c r="AA2694" s="87"/>
      <c r="AB2694" s="87"/>
      <c r="AC2694" s="87"/>
      <c r="AD2694" s="87"/>
      <c r="AE2694" s="87"/>
      <c r="AF2694" s="87"/>
      <c r="AG2694" s="87"/>
      <c r="AH2694" s="87">
        <v>60</v>
      </c>
      <c r="AI2694" s="87"/>
      <c r="AJ2694" s="87"/>
      <c r="AK2694" s="87"/>
      <c r="AL2694" s="87"/>
      <c r="AM2694" s="87"/>
      <c r="AN2694" s="87">
        <v>10</v>
      </c>
      <c r="AO2694" s="87">
        <v>14</v>
      </c>
      <c r="AP2694" s="87">
        <v>1</v>
      </c>
      <c r="AQ2694" s="87">
        <v>17</v>
      </c>
      <c r="AR2694" s="87">
        <v>2</v>
      </c>
      <c r="AS2694" s="87">
        <v>6</v>
      </c>
      <c r="AT2694" s="87">
        <v>6</v>
      </c>
      <c r="AU2694" s="87">
        <v>2</v>
      </c>
      <c r="AV2694" s="87">
        <v>2</v>
      </c>
      <c r="AW2694" s="88" t="str">
        <f>HYPERLINK("http://www.openstreetmap.org/?mlat=35.4513&amp;mlon=45.448&amp;zoom=12#map=12/35.4513/45.448","Maplink1")</f>
        <v>Maplink1</v>
      </c>
      <c r="AX2694" s="88" t="str">
        <f>HYPERLINK("https://www.google.iq/maps/search/+35.4513,45.448/@35.4513,45.448,14z?hl=en","Maplink2")</f>
        <v>Maplink2</v>
      </c>
      <c r="AY2694" s="88" t="str">
        <f>HYPERLINK("http://www.bing.com/maps/?lvl=14&amp;sty=h&amp;cp=35.4513~45.448&amp;sp=point.35.4513_45.448","Maplink3")</f>
        <v>Maplink3</v>
      </c>
      <c r="AZ2694" s="76"/>
    </row>
    <row r="2695" spans="1:52" x14ac:dyDescent="0.25">
      <c r="A2695" s="86">
        <v>31925</v>
      </c>
      <c r="B2695" s="87" t="s">
        <v>27</v>
      </c>
      <c r="C2695" s="87" t="s">
        <v>5030</v>
      </c>
      <c r="D2695" s="87" t="s">
        <v>5104</v>
      </c>
      <c r="E2695" s="87" t="s">
        <v>5105</v>
      </c>
      <c r="F2695" s="87">
        <v>35.635625500000003</v>
      </c>
      <c r="G2695" s="87">
        <v>45.017087400000001</v>
      </c>
      <c r="H2695" s="86">
        <v>12</v>
      </c>
      <c r="I2695" s="86">
        <v>72</v>
      </c>
      <c r="J2695" s="87">
        <v>4</v>
      </c>
      <c r="K2695" s="87"/>
      <c r="L2695" s="87"/>
      <c r="M2695" s="87"/>
      <c r="N2695" s="87"/>
      <c r="O2695" s="87">
        <v>1</v>
      </c>
      <c r="P2695" s="87"/>
      <c r="Q2695" s="87"/>
      <c r="R2695" s="87"/>
      <c r="S2695" s="87"/>
      <c r="T2695" s="87"/>
      <c r="U2695" s="87"/>
      <c r="V2695" s="87">
        <v>4</v>
      </c>
      <c r="W2695" s="87"/>
      <c r="X2695" s="87">
        <v>3</v>
      </c>
      <c r="Y2695" s="87"/>
      <c r="Z2695" s="87"/>
      <c r="AA2695" s="87"/>
      <c r="AB2695" s="87"/>
      <c r="AC2695" s="87"/>
      <c r="AD2695" s="87"/>
      <c r="AE2695" s="87"/>
      <c r="AF2695" s="87"/>
      <c r="AG2695" s="87"/>
      <c r="AH2695" s="87">
        <v>12</v>
      </c>
      <c r="AI2695" s="87"/>
      <c r="AJ2695" s="87"/>
      <c r="AK2695" s="87"/>
      <c r="AL2695" s="87"/>
      <c r="AM2695" s="87"/>
      <c r="AN2695" s="87"/>
      <c r="AO2695" s="87">
        <v>2</v>
      </c>
      <c r="AP2695" s="87">
        <v>6</v>
      </c>
      <c r="AQ2695" s="87"/>
      <c r="AR2695" s="87"/>
      <c r="AS2695" s="87"/>
      <c r="AT2695" s="87">
        <v>1</v>
      </c>
      <c r="AU2695" s="87"/>
      <c r="AV2695" s="87">
        <v>3</v>
      </c>
      <c r="AW2695" s="88" t="str">
        <f>HYPERLINK("http://www.openstreetmap.org/?mlat=35.6356&amp;mlon=45.0171&amp;zoom=12#map=12/35.6356/45.0171","Maplink1")</f>
        <v>Maplink1</v>
      </c>
      <c r="AX2695" s="88" t="str">
        <f>HYPERLINK("https://www.google.iq/maps/search/+35.6356,45.0171/@35.6356,45.0171,14z?hl=en","Maplink2")</f>
        <v>Maplink2</v>
      </c>
      <c r="AY2695" s="88" t="str">
        <f>HYPERLINK("http://www.bing.com/maps/?lvl=14&amp;sty=h&amp;cp=35.6356~45.0171&amp;sp=point.35.6356_45.0171","Maplink3")</f>
        <v>Maplink3</v>
      </c>
      <c r="AZ2695" s="76"/>
    </row>
    <row r="2696" spans="1:52" x14ac:dyDescent="0.25">
      <c r="A2696" s="86">
        <v>31924</v>
      </c>
      <c r="B2696" s="87" t="s">
        <v>27</v>
      </c>
      <c r="C2696" s="87" t="s">
        <v>5030</v>
      </c>
      <c r="D2696" s="87" t="s">
        <v>5106</v>
      </c>
      <c r="E2696" s="87" t="s">
        <v>5107</v>
      </c>
      <c r="F2696" s="87">
        <v>35.572913999999997</v>
      </c>
      <c r="G2696" s="87">
        <v>45.062604700000001</v>
      </c>
      <c r="H2696" s="86">
        <v>3</v>
      </c>
      <c r="I2696" s="86">
        <v>18</v>
      </c>
      <c r="J2696" s="87"/>
      <c r="K2696" s="87"/>
      <c r="L2696" s="87">
        <v>1</v>
      </c>
      <c r="M2696" s="87"/>
      <c r="N2696" s="87"/>
      <c r="O2696" s="87"/>
      <c r="P2696" s="87"/>
      <c r="Q2696" s="87"/>
      <c r="R2696" s="87"/>
      <c r="S2696" s="87"/>
      <c r="T2696" s="87"/>
      <c r="U2696" s="87"/>
      <c r="V2696" s="87">
        <v>1</v>
      </c>
      <c r="W2696" s="87"/>
      <c r="X2696" s="87">
        <v>1</v>
      </c>
      <c r="Y2696" s="87"/>
      <c r="Z2696" s="87"/>
      <c r="AA2696" s="87"/>
      <c r="AB2696" s="87"/>
      <c r="AC2696" s="87"/>
      <c r="AD2696" s="87"/>
      <c r="AE2696" s="87"/>
      <c r="AF2696" s="87"/>
      <c r="AG2696" s="87"/>
      <c r="AH2696" s="87">
        <v>3</v>
      </c>
      <c r="AI2696" s="87"/>
      <c r="AJ2696" s="87"/>
      <c r="AK2696" s="87"/>
      <c r="AL2696" s="87"/>
      <c r="AM2696" s="87"/>
      <c r="AN2696" s="87"/>
      <c r="AO2696" s="87">
        <v>1</v>
      </c>
      <c r="AP2696" s="87"/>
      <c r="AQ2696" s="87"/>
      <c r="AR2696" s="87"/>
      <c r="AS2696" s="87"/>
      <c r="AT2696" s="87">
        <v>2</v>
      </c>
      <c r="AU2696" s="87"/>
      <c r="AV2696" s="87"/>
      <c r="AW2696" s="88" t="str">
        <f>HYPERLINK("http://www.openstreetmap.org/?mlat=35.5729&amp;mlon=45.0626&amp;zoom=12#map=12/35.5729/45.0626","Maplink1")</f>
        <v>Maplink1</v>
      </c>
      <c r="AX2696" s="88" t="str">
        <f>HYPERLINK("https://www.google.iq/maps/search/+35.5729,45.0626/@35.5729,45.0626,14z?hl=en","Maplink2")</f>
        <v>Maplink2</v>
      </c>
      <c r="AY2696" s="88" t="str">
        <f>HYPERLINK("http://www.bing.com/maps/?lvl=14&amp;sty=h&amp;cp=35.5729~45.0626&amp;sp=point.35.5729_45.0626","Maplink3")</f>
        <v>Maplink3</v>
      </c>
      <c r="AZ2696" s="76"/>
    </row>
    <row r="2697" spans="1:52" x14ac:dyDescent="0.25">
      <c r="A2697" s="86">
        <v>25300</v>
      </c>
      <c r="B2697" s="87" t="s">
        <v>27</v>
      </c>
      <c r="C2697" s="87" t="s">
        <v>5030</v>
      </c>
      <c r="D2697" s="87" t="s">
        <v>5108</v>
      </c>
      <c r="E2697" s="87" t="s">
        <v>5109</v>
      </c>
      <c r="F2697" s="87">
        <v>35.6483603</v>
      </c>
      <c r="G2697" s="87">
        <v>45.065837399999999</v>
      </c>
      <c r="H2697" s="86">
        <v>25</v>
      </c>
      <c r="I2697" s="86">
        <v>150</v>
      </c>
      <c r="J2697" s="87">
        <v>6</v>
      </c>
      <c r="K2697" s="87"/>
      <c r="L2697" s="87">
        <v>14</v>
      </c>
      <c r="M2697" s="87"/>
      <c r="N2697" s="87"/>
      <c r="O2697" s="87">
        <v>2</v>
      </c>
      <c r="P2697" s="87"/>
      <c r="Q2697" s="87"/>
      <c r="R2697" s="87"/>
      <c r="S2697" s="87"/>
      <c r="T2697" s="87"/>
      <c r="U2697" s="87"/>
      <c r="V2697" s="87"/>
      <c r="W2697" s="87"/>
      <c r="X2697" s="87">
        <v>3</v>
      </c>
      <c r="Y2697" s="87"/>
      <c r="Z2697" s="87"/>
      <c r="AA2697" s="87"/>
      <c r="AB2697" s="87"/>
      <c r="AC2697" s="87"/>
      <c r="AD2697" s="87"/>
      <c r="AE2697" s="87"/>
      <c r="AF2697" s="87"/>
      <c r="AG2697" s="87"/>
      <c r="AH2697" s="87">
        <v>25</v>
      </c>
      <c r="AI2697" s="87"/>
      <c r="AJ2697" s="87"/>
      <c r="AK2697" s="87"/>
      <c r="AL2697" s="87"/>
      <c r="AM2697" s="87"/>
      <c r="AN2697" s="87">
        <v>3</v>
      </c>
      <c r="AO2697" s="87">
        <v>1</v>
      </c>
      <c r="AP2697" s="87"/>
      <c r="AQ2697" s="87">
        <v>5</v>
      </c>
      <c r="AR2697" s="87"/>
      <c r="AS2697" s="87">
        <v>2</v>
      </c>
      <c r="AT2697" s="87">
        <v>5</v>
      </c>
      <c r="AU2697" s="87">
        <v>4</v>
      </c>
      <c r="AV2697" s="87">
        <v>5</v>
      </c>
      <c r="AW2697" s="88" t="str">
        <f>HYPERLINK("http://www.openstreetmap.org/?mlat=35.6484&amp;mlon=45.0658&amp;zoom=12#map=12/35.6484/45.0658","Maplink1")</f>
        <v>Maplink1</v>
      </c>
      <c r="AX2697" s="88" t="str">
        <f>HYPERLINK("https://www.google.iq/maps/search/+35.6484,45.0658/@35.6484,45.0658,14z?hl=en","Maplink2")</f>
        <v>Maplink2</v>
      </c>
      <c r="AY2697" s="88" t="str">
        <f>HYPERLINK("http://www.bing.com/maps/?lvl=14&amp;sty=h&amp;cp=35.6484~45.0658&amp;sp=point.35.6484_45.0658","Maplink3")</f>
        <v>Maplink3</v>
      </c>
      <c r="AZ2697" s="76"/>
    </row>
    <row r="2698" spans="1:52" x14ac:dyDescent="0.25">
      <c r="A2698" s="86">
        <v>31923</v>
      </c>
      <c r="B2698" s="87" t="s">
        <v>27</v>
      </c>
      <c r="C2698" s="87" t="s">
        <v>5030</v>
      </c>
      <c r="D2698" s="87" t="s">
        <v>5110</v>
      </c>
      <c r="E2698" s="87" t="s">
        <v>5111</v>
      </c>
      <c r="F2698" s="87">
        <v>35.698330900000002</v>
      </c>
      <c r="G2698" s="87">
        <v>45.019125699999996</v>
      </c>
      <c r="H2698" s="86">
        <v>11</v>
      </c>
      <c r="I2698" s="86">
        <v>66</v>
      </c>
      <c r="J2698" s="87"/>
      <c r="K2698" s="87"/>
      <c r="L2698" s="87">
        <v>4</v>
      </c>
      <c r="M2698" s="87"/>
      <c r="N2698" s="87"/>
      <c r="O2698" s="87">
        <v>1</v>
      </c>
      <c r="P2698" s="87"/>
      <c r="Q2698" s="87"/>
      <c r="R2698" s="87"/>
      <c r="S2698" s="87"/>
      <c r="T2698" s="87"/>
      <c r="U2698" s="87"/>
      <c r="V2698" s="87">
        <v>2</v>
      </c>
      <c r="W2698" s="87"/>
      <c r="X2698" s="87">
        <v>4</v>
      </c>
      <c r="Y2698" s="87"/>
      <c r="Z2698" s="87"/>
      <c r="AA2698" s="87"/>
      <c r="AB2698" s="87"/>
      <c r="AC2698" s="87"/>
      <c r="AD2698" s="87"/>
      <c r="AE2698" s="87"/>
      <c r="AF2698" s="87"/>
      <c r="AG2698" s="87"/>
      <c r="AH2698" s="87">
        <v>11</v>
      </c>
      <c r="AI2698" s="87"/>
      <c r="AJ2698" s="87"/>
      <c r="AK2698" s="87"/>
      <c r="AL2698" s="87"/>
      <c r="AM2698" s="87"/>
      <c r="AN2698" s="87"/>
      <c r="AO2698" s="87">
        <v>5</v>
      </c>
      <c r="AP2698" s="87">
        <v>2</v>
      </c>
      <c r="AQ2698" s="87">
        <v>2</v>
      </c>
      <c r="AR2698" s="87"/>
      <c r="AS2698" s="87"/>
      <c r="AT2698" s="87"/>
      <c r="AU2698" s="87"/>
      <c r="AV2698" s="87">
        <v>2</v>
      </c>
      <c r="AW2698" s="88" t="str">
        <f>HYPERLINK("http://www.openstreetmap.org/?mlat=35.6983&amp;mlon=45.0191&amp;zoom=12#map=12/35.6983/45.0191","Maplink1")</f>
        <v>Maplink1</v>
      </c>
      <c r="AX2698" s="88" t="str">
        <f>HYPERLINK("https://www.google.iq/maps/search/+35.6983,45.0191/@35.6983,45.0191,14z?hl=en","Maplink2")</f>
        <v>Maplink2</v>
      </c>
      <c r="AY2698" s="88" t="str">
        <f>HYPERLINK("http://www.bing.com/maps/?lvl=14&amp;sty=h&amp;cp=35.6983~45.0191&amp;sp=point.35.6983_45.0191","Maplink3")</f>
        <v>Maplink3</v>
      </c>
      <c r="AZ2698" s="76"/>
    </row>
    <row r="2699" spans="1:52" x14ac:dyDescent="0.25">
      <c r="A2699" s="86">
        <v>25299</v>
      </c>
      <c r="B2699" s="87" t="s">
        <v>27</v>
      </c>
      <c r="C2699" s="87" t="s">
        <v>5030</v>
      </c>
      <c r="D2699" s="87" t="s">
        <v>5112</v>
      </c>
      <c r="E2699" s="87" t="s">
        <v>5113</v>
      </c>
      <c r="F2699" s="87">
        <v>35.646837400000003</v>
      </c>
      <c r="G2699" s="87">
        <v>45.063045299999999</v>
      </c>
      <c r="H2699" s="86">
        <v>33</v>
      </c>
      <c r="I2699" s="86">
        <v>198</v>
      </c>
      <c r="J2699" s="87">
        <v>8</v>
      </c>
      <c r="K2699" s="87"/>
      <c r="L2699" s="87">
        <v>16</v>
      </c>
      <c r="M2699" s="87"/>
      <c r="N2699" s="87"/>
      <c r="O2699" s="87">
        <v>2</v>
      </c>
      <c r="P2699" s="87"/>
      <c r="Q2699" s="87"/>
      <c r="R2699" s="87"/>
      <c r="S2699" s="87"/>
      <c r="T2699" s="87"/>
      <c r="U2699" s="87"/>
      <c r="V2699" s="87"/>
      <c r="W2699" s="87"/>
      <c r="X2699" s="87">
        <v>7</v>
      </c>
      <c r="Y2699" s="87"/>
      <c r="Z2699" s="87"/>
      <c r="AA2699" s="87"/>
      <c r="AB2699" s="87"/>
      <c r="AC2699" s="87"/>
      <c r="AD2699" s="87"/>
      <c r="AE2699" s="87"/>
      <c r="AF2699" s="87"/>
      <c r="AG2699" s="87"/>
      <c r="AH2699" s="87">
        <v>33</v>
      </c>
      <c r="AI2699" s="87"/>
      <c r="AJ2699" s="87"/>
      <c r="AK2699" s="87"/>
      <c r="AL2699" s="87"/>
      <c r="AM2699" s="87"/>
      <c r="AN2699" s="87">
        <v>2</v>
      </c>
      <c r="AO2699" s="87"/>
      <c r="AP2699" s="87">
        <v>7</v>
      </c>
      <c r="AQ2699" s="87">
        <v>8</v>
      </c>
      <c r="AR2699" s="87"/>
      <c r="AS2699" s="87">
        <v>3</v>
      </c>
      <c r="AT2699" s="87">
        <v>4</v>
      </c>
      <c r="AU2699" s="87">
        <v>7</v>
      </c>
      <c r="AV2699" s="87">
        <v>2</v>
      </c>
      <c r="AW2699" s="88" t="str">
        <f>HYPERLINK("http://www.openstreetmap.org/?mlat=35.6468&amp;mlon=45.063&amp;zoom=12#map=12/35.6468/45.063","Maplink1")</f>
        <v>Maplink1</v>
      </c>
      <c r="AX2699" s="88" t="str">
        <f>HYPERLINK("https://www.google.iq/maps/search/+35.6468,45.063/@35.6468,45.063,14z?hl=en","Maplink2")</f>
        <v>Maplink2</v>
      </c>
      <c r="AY2699" s="88" t="str">
        <f>HYPERLINK("http://www.bing.com/maps/?lvl=14&amp;sty=h&amp;cp=35.6468~45.063&amp;sp=point.35.6468_45.063","Maplink3")</f>
        <v>Maplink3</v>
      </c>
      <c r="AZ2699" s="76"/>
    </row>
    <row r="2700" spans="1:52" x14ac:dyDescent="0.25">
      <c r="A2700" s="86">
        <v>4464</v>
      </c>
      <c r="B2700" s="87" t="s">
        <v>27</v>
      </c>
      <c r="C2700" s="87" t="s">
        <v>5030</v>
      </c>
      <c r="D2700" s="87" t="s">
        <v>5114</v>
      </c>
      <c r="E2700" s="87" t="s">
        <v>5115</v>
      </c>
      <c r="F2700" s="87">
        <v>35.644924899999999</v>
      </c>
      <c r="G2700" s="87">
        <v>45.035096000000003</v>
      </c>
      <c r="H2700" s="86">
        <v>30</v>
      </c>
      <c r="I2700" s="86">
        <v>180</v>
      </c>
      <c r="J2700" s="87">
        <v>3</v>
      </c>
      <c r="K2700" s="87">
        <v>5</v>
      </c>
      <c r="L2700" s="87">
        <v>10</v>
      </c>
      <c r="M2700" s="87"/>
      <c r="N2700" s="87"/>
      <c r="O2700" s="87"/>
      <c r="P2700" s="87"/>
      <c r="Q2700" s="87"/>
      <c r="R2700" s="87">
        <v>1</v>
      </c>
      <c r="S2700" s="87"/>
      <c r="T2700" s="87"/>
      <c r="U2700" s="87"/>
      <c r="V2700" s="87">
        <v>5</v>
      </c>
      <c r="W2700" s="87"/>
      <c r="X2700" s="87">
        <v>6</v>
      </c>
      <c r="Y2700" s="87"/>
      <c r="Z2700" s="87"/>
      <c r="AA2700" s="87"/>
      <c r="AB2700" s="87"/>
      <c r="AC2700" s="87"/>
      <c r="AD2700" s="87"/>
      <c r="AE2700" s="87"/>
      <c r="AF2700" s="87"/>
      <c r="AG2700" s="87"/>
      <c r="AH2700" s="87">
        <v>30</v>
      </c>
      <c r="AI2700" s="87"/>
      <c r="AJ2700" s="87"/>
      <c r="AK2700" s="87"/>
      <c r="AL2700" s="87"/>
      <c r="AM2700" s="87"/>
      <c r="AN2700" s="87">
        <v>6</v>
      </c>
      <c r="AO2700" s="87">
        <v>1</v>
      </c>
      <c r="AP2700" s="87">
        <v>5</v>
      </c>
      <c r="AQ2700" s="87">
        <v>5</v>
      </c>
      <c r="AR2700" s="87">
        <v>3</v>
      </c>
      <c r="AS2700" s="87">
        <v>1</v>
      </c>
      <c r="AT2700" s="87">
        <v>4</v>
      </c>
      <c r="AU2700" s="87"/>
      <c r="AV2700" s="87">
        <v>5</v>
      </c>
      <c r="AW2700" s="88" t="str">
        <f>HYPERLINK("http://www.openstreetmap.org/?mlat=35.6449&amp;mlon=45.0351&amp;zoom=12#map=12/35.6449/45.0351","Maplink1")</f>
        <v>Maplink1</v>
      </c>
      <c r="AX2700" s="88" t="str">
        <f>HYPERLINK("https://www.google.iq/maps/search/+35.6449,45.0351/@35.6449,45.0351,14z?hl=en","Maplink2")</f>
        <v>Maplink2</v>
      </c>
      <c r="AY2700" s="88" t="str">
        <f>HYPERLINK("http://www.bing.com/maps/?lvl=14&amp;sty=h&amp;cp=35.6449~45.0351&amp;sp=point.35.6449_45.0351","Maplink3")</f>
        <v>Maplink3</v>
      </c>
      <c r="AZ2700" s="76"/>
    </row>
    <row r="2701" spans="1:52" x14ac:dyDescent="0.25">
      <c r="A2701" s="86">
        <v>6143</v>
      </c>
      <c r="B2701" s="87" t="s">
        <v>27</v>
      </c>
      <c r="C2701" s="87" t="s">
        <v>5030</v>
      </c>
      <c r="D2701" s="87" t="s">
        <v>5116</v>
      </c>
      <c r="E2701" s="87" t="s">
        <v>5117</v>
      </c>
      <c r="F2701" s="87">
        <v>35.649636899999997</v>
      </c>
      <c r="G2701" s="87">
        <v>45.0836866</v>
      </c>
      <c r="H2701" s="86">
        <v>33</v>
      </c>
      <c r="I2701" s="86">
        <v>198</v>
      </c>
      <c r="J2701" s="87">
        <v>13</v>
      </c>
      <c r="K2701" s="87"/>
      <c r="L2701" s="87">
        <v>1</v>
      </c>
      <c r="M2701" s="87"/>
      <c r="N2701" s="87"/>
      <c r="O2701" s="87"/>
      <c r="P2701" s="87"/>
      <c r="Q2701" s="87"/>
      <c r="R2701" s="87"/>
      <c r="S2701" s="87"/>
      <c r="T2701" s="87"/>
      <c r="U2701" s="87"/>
      <c r="V2701" s="87"/>
      <c r="W2701" s="87"/>
      <c r="X2701" s="87">
        <v>19</v>
      </c>
      <c r="Y2701" s="87"/>
      <c r="Z2701" s="87"/>
      <c r="AA2701" s="87"/>
      <c r="AB2701" s="87"/>
      <c r="AC2701" s="87"/>
      <c r="AD2701" s="87"/>
      <c r="AE2701" s="87"/>
      <c r="AF2701" s="87"/>
      <c r="AG2701" s="87"/>
      <c r="AH2701" s="87">
        <v>33</v>
      </c>
      <c r="AI2701" s="87"/>
      <c r="AJ2701" s="87"/>
      <c r="AK2701" s="87"/>
      <c r="AL2701" s="87"/>
      <c r="AM2701" s="87"/>
      <c r="AN2701" s="87"/>
      <c r="AO2701" s="87">
        <v>8</v>
      </c>
      <c r="AP2701" s="87">
        <v>1</v>
      </c>
      <c r="AQ2701" s="87">
        <v>10</v>
      </c>
      <c r="AR2701" s="87">
        <v>1</v>
      </c>
      <c r="AS2701" s="87">
        <v>2</v>
      </c>
      <c r="AT2701" s="87">
        <v>5</v>
      </c>
      <c r="AU2701" s="87">
        <v>1</v>
      </c>
      <c r="AV2701" s="87">
        <v>5</v>
      </c>
      <c r="AW2701" s="88" t="str">
        <f>HYPERLINK("http://www.openstreetmap.org/?mlat=35.6496&amp;mlon=45.0837&amp;zoom=12#map=12/35.6496/45.0837","Maplink1")</f>
        <v>Maplink1</v>
      </c>
      <c r="AX2701" s="88" t="str">
        <f>HYPERLINK("https://www.google.iq/maps/search/+35.6496,45.0837/@35.6496,45.0837,14z?hl=en","Maplink2")</f>
        <v>Maplink2</v>
      </c>
      <c r="AY2701" s="88" t="str">
        <f>HYPERLINK("http://www.bing.com/maps/?lvl=14&amp;sty=h&amp;cp=35.6496~45.0837&amp;sp=point.35.6496_45.0837","Maplink3")</f>
        <v>Maplink3</v>
      </c>
      <c r="AZ2701" s="76"/>
    </row>
    <row r="2702" spans="1:52" x14ac:dyDescent="0.25">
      <c r="A2702" s="86">
        <v>23598</v>
      </c>
      <c r="B2702" s="87" t="s">
        <v>27</v>
      </c>
      <c r="C2702" s="87" t="s">
        <v>5030</v>
      </c>
      <c r="D2702" s="87" t="s">
        <v>5118</v>
      </c>
      <c r="E2702" s="87" t="s">
        <v>5119</v>
      </c>
      <c r="F2702" s="87">
        <v>35.651280800000002</v>
      </c>
      <c r="G2702" s="87">
        <v>45.068482500000002</v>
      </c>
      <c r="H2702" s="86">
        <v>34</v>
      </c>
      <c r="I2702" s="86">
        <v>204</v>
      </c>
      <c r="J2702" s="87">
        <v>8</v>
      </c>
      <c r="K2702" s="87">
        <v>1</v>
      </c>
      <c r="L2702" s="87">
        <v>14</v>
      </c>
      <c r="M2702" s="87"/>
      <c r="N2702" s="87"/>
      <c r="O2702" s="87">
        <v>3</v>
      </c>
      <c r="P2702" s="87"/>
      <c r="Q2702" s="87"/>
      <c r="R2702" s="87">
        <v>1</v>
      </c>
      <c r="S2702" s="87"/>
      <c r="T2702" s="87"/>
      <c r="U2702" s="87"/>
      <c r="V2702" s="87">
        <v>1</v>
      </c>
      <c r="W2702" s="87"/>
      <c r="X2702" s="87">
        <v>6</v>
      </c>
      <c r="Y2702" s="87"/>
      <c r="Z2702" s="87"/>
      <c r="AA2702" s="87"/>
      <c r="AB2702" s="87"/>
      <c r="AC2702" s="87"/>
      <c r="AD2702" s="87"/>
      <c r="AE2702" s="87"/>
      <c r="AF2702" s="87"/>
      <c r="AG2702" s="87"/>
      <c r="AH2702" s="87">
        <v>34</v>
      </c>
      <c r="AI2702" s="87"/>
      <c r="AJ2702" s="87"/>
      <c r="AK2702" s="87"/>
      <c r="AL2702" s="87"/>
      <c r="AM2702" s="87"/>
      <c r="AN2702" s="87">
        <v>2</v>
      </c>
      <c r="AO2702" s="87">
        <v>4</v>
      </c>
      <c r="AP2702" s="87">
        <v>2</v>
      </c>
      <c r="AQ2702" s="87">
        <v>4</v>
      </c>
      <c r="AR2702" s="87">
        <v>2</v>
      </c>
      <c r="AS2702" s="87">
        <v>1</v>
      </c>
      <c r="AT2702" s="87">
        <v>9</v>
      </c>
      <c r="AU2702" s="87">
        <v>7</v>
      </c>
      <c r="AV2702" s="87">
        <v>3</v>
      </c>
      <c r="AW2702" s="88" t="str">
        <f>HYPERLINK("http://www.openstreetmap.org/?mlat=35.6513&amp;mlon=45.0685&amp;zoom=12#map=12/35.6513/45.0685","Maplink1")</f>
        <v>Maplink1</v>
      </c>
      <c r="AX2702" s="88" t="str">
        <f>HYPERLINK("https://www.google.iq/maps/search/+35.6513,45.0685/@35.6513,45.0685,14z?hl=en","Maplink2")</f>
        <v>Maplink2</v>
      </c>
      <c r="AY2702" s="88" t="str">
        <f>HYPERLINK("http://www.bing.com/maps/?lvl=14&amp;sty=h&amp;cp=35.6513~45.0685&amp;sp=point.35.6513_45.0685","Maplink3")</f>
        <v>Maplink3</v>
      </c>
      <c r="AZ2702" s="76"/>
    </row>
    <row r="2703" spans="1:52" x14ac:dyDescent="0.25">
      <c r="A2703" s="86">
        <v>24102</v>
      </c>
      <c r="B2703" s="87" t="s">
        <v>27</v>
      </c>
      <c r="C2703" s="87" t="s">
        <v>5030</v>
      </c>
      <c r="D2703" s="87" t="s">
        <v>5120</v>
      </c>
      <c r="E2703" s="87" t="s">
        <v>5121</v>
      </c>
      <c r="F2703" s="87">
        <v>35.595379800000003</v>
      </c>
      <c r="G2703" s="87">
        <v>45.342469800000003</v>
      </c>
      <c r="H2703" s="86">
        <v>65</v>
      </c>
      <c r="I2703" s="86">
        <v>390</v>
      </c>
      <c r="J2703" s="87">
        <v>12</v>
      </c>
      <c r="K2703" s="87"/>
      <c r="L2703" s="87">
        <v>23</v>
      </c>
      <c r="M2703" s="87"/>
      <c r="N2703" s="87"/>
      <c r="O2703" s="87"/>
      <c r="P2703" s="87"/>
      <c r="Q2703" s="87"/>
      <c r="R2703" s="87">
        <v>5</v>
      </c>
      <c r="S2703" s="87"/>
      <c r="T2703" s="87"/>
      <c r="U2703" s="87"/>
      <c r="V2703" s="87">
        <v>5</v>
      </c>
      <c r="W2703" s="87"/>
      <c r="X2703" s="87">
        <v>20</v>
      </c>
      <c r="Y2703" s="87"/>
      <c r="Z2703" s="87"/>
      <c r="AA2703" s="87"/>
      <c r="AB2703" s="87"/>
      <c r="AC2703" s="87"/>
      <c r="AD2703" s="87"/>
      <c r="AE2703" s="87"/>
      <c r="AF2703" s="87"/>
      <c r="AG2703" s="87"/>
      <c r="AH2703" s="87">
        <v>55</v>
      </c>
      <c r="AI2703" s="87"/>
      <c r="AJ2703" s="87"/>
      <c r="AK2703" s="87"/>
      <c r="AL2703" s="87">
        <v>10</v>
      </c>
      <c r="AM2703" s="87"/>
      <c r="AN2703" s="87"/>
      <c r="AO2703" s="87">
        <v>19</v>
      </c>
      <c r="AP2703" s="87">
        <v>20</v>
      </c>
      <c r="AQ2703" s="87">
        <v>9</v>
      </c>
      <c r="AR2703" s="87">
        <v>4</v>
      </c>
      <c r="AS2703" s="87">
        <v>5</v>
      </c>
      <c r="AT2703" s="87"/>
      <c r="AU2703" s="87">
        <v>8</v>
      </c>
      <c r="AV2703" s="87"/>
      <c r="AW2703" s="88" t="str">
        <f>HYPERLINK("http://www.openstreetmap.org/?mlat=35.5954&amp;mlon=45.3425&amp;zoom=12#map=12/35.5954/45.3425","Maplink1")</f>
        <v>Maplink1</v>
      </c>
      <c r="AX2703" s="88" t="str">
        <f>HYPERLINK("https://www.google.iq/maps/search/+35.5954,45.3425/@35.5954,45.3425,14z?hl=en","Maplink2")</f>
        <v>Maplink2</v>
      </c>
      <c r="AY2703" s="88" t="str">
        <f>HYPERLINK("http://www.bing.com/maps/?lvl=14&amp;sty=h&amp;cp=35.5954~45.3425&amp;sp=point.35.5954_45.3425","Maplink3")</f>
        <v>Maplink3</v>
      </c>
      <c r="AZ2703" s="76"/>
    </row>
    <row r="2704" spans="1:52" x14ac:dyDescent="0.25">
      <c r="A2704" s="86">
        <v>25078</v>
      </c>
      <c r="B2704" s="87" t="s">
        <v>27</v>
      </c>
      <c r="C2704" s="87" t="s">
        <v>5030</v>
      </c>
      <c r="D2704" s="87" t="s">
        <v>2482</v>
      </c>
      <c r="E2704" s="87" t="s">
        <v>5122</v>
      </c>
      <c r="F2704" s="87">
        <v>35.376611699999998</v>
      </c>
      <c r="G2704" s="87">
        <v>45.5967251</v>
      </c>
      <c r="H2704" s="86">
        <v>90</v>
      </c>
      <c r="I2704" s="86">
        <v>540</v>
      </c>
      <c r="J2704" s="87">
        <v>1</v>
      </c>
      <c r="K2704" s="87">
        <v>58</v>
      </c>
      <c r="L2704" s="87"/>
      <c r="M2704" s="87"/>
      <c r="N2704" s="87"/>
      <c r="O2704" s="87">
        <v>24</v>
      </c>
      <c r="P2704" s="87"/>
      <c r="Q2704" s="87"/>
      <c r="R2704" s="87"/>
      <c r="S2704" s="87"/>
      <c r="T2704" s="87"/>
      <c r="U2704" s="87"/>
      <c r="V2704" s="87"/>
      <c r="W2704" s="87"/>
      <c r="X2704" s="87">
        <v>7</v>
      </c>
      <c r="Y2704" s="87"/>
      <c r="Z2704" s="87"/>
      <c r="AA2704" s="87"/>
      <c r="AB2704" s="87"/>
      <c r="AC2704" s="87"/>
      <c r="AD2704" s="87"/>
      <c r="AE2704" s="87"/>
      <c r="AF2704" s="87"/>
      <c r="AG2704" s="87"/>
      <c r="AH2704" s="87">
        <v>90</v>
      </c>
      <c r="AI2704" s="87"/>
      <c r="AJ2704" s="87"/>
      <c r="AK2704" s="87"/>
      <c r="AL2704" s="87"/>
      <c r="AM2704" s="87"/>
      <c r="AN2704" s="87">
        <v>12</v>
      </c>
      <c r="AO2704" s="87">
        <v>36</v>
      </c>
      <c r="AP2704" s="87">
        <v>24</v>
      </c>
      <c r="AQ2704" s="87">
        <v>17</v>
      </c>
      <c r="AR2704" s="87"/>
      <c r="AS2704" s="87"/>
      <c r="AT2704" s="87"/>
      <c r="AU2704" s="87">
        <v>1</v>
      </c>
      <c r="AV2704" s="87"/>
      <c r="AW2704" s="88" t="str">
        <f>HYPERLINK("http://www.openstreetmap.org/?mlat=35.3766&amp;mlon=45.5967&amp;zoom=12#map=12/35.3766/45.5967","Maplink1")</f>
        <v>Maplink1</v>
      </c>
      <c r="AX2704" s="88" t="str">
        <f>HYPERLINK("https://www.google.iq/maps/search/+35.3766,45.5967/@35.3766,45.5967,14z?hl=en","Maplink2")</f>
        <v>Maplink2</v>
      </c>
      <c r="AY2704" s="88" t="str">
        <f>HYPERLINK("http://www.bing.com/maps/?lvl=14&amp;sty=h&amp;cp=35.3766~45.5967&amp;sp=point.35.3766_45.5967","Maplink3")</f>
        <v>Maplink3</v>
      </c>
      <c r="AZ2704" s="76"/>
    </row>
    <row r="2705" spans="1:52" x14ac:dyDescent="0.25">
      <c r="A2705" s="86">
        <v>31989</v>
      </c>
      <c r="B2705" s="87" t="s">
        <v>27</v>
      </c>
      <c r="C2705" s="87" t="s">
        <v>5030</v>
      </c>
      <c r="D2705" s="87" t="s">
        <v>5123</v>
      </c>
      <c r="E2705" s="87" t="s">
        <v>5124</v>
      </c>
      <c r="F2705" s="87">
        <v>35.593289300000002</v>
      </c>
      <c r="G2705" s="87">
        <v>45.430618899999999</v>
      </c>
      <c r="H2705" s="86">
        <v>46</v>
      </c>
      <c r="I2705" s="86">
        <v>276</v>
      </c>
      <c r="J2705" s="87">
        <v>10</v>
      </c>
      <c r="K2705" s="87">
        <v>2</v>
      </c>
      <c r="L2705" s="87">
        <v>11</v>
      </c>
      <c r="M2705" s="87"/>
      <c r="N2705" s="87"/>
      <c r="O2705" s="87">
        <v>4</v>
      </c>
      <c r="P2705" s="87"/>
      <c r="Q2705" s="87"/>
      <c r="R2705" s="87">
        <v>3</v>
      </c>
      <c r="S2705" s="87"/>
      <c r="T2705" s="87"/>
      <c r="U2705" s="87"/>
      <c r="V2705" s="87">
        <v>11</v>
      </c>
      <c r="W2705" s="87"/>
      <c r="X2705" s="87">
        <v>5</v>
      </c>
      <c r="Y2705" s="87"/>
      <c r="Z2705" s="87"/>
      <c r="AA2705" s="87"/>
      <c r="AB2705" s="87"/>
      <c r="AC2705" s="87"/>
      <c r="AD2705" s="87"/>
      <c r="AE2705" s="87"/>
      <c r="AF2705" s="87"/>
      <c r="AG2705" s="87"/>
      <c r="AH2705" s="87">
        <v>46</v>
      </c>
      <c r="AI2705" s="87"/>
      <c r="AJ2705" s="87"/>
      <c r="AK2705" s="87"/>
      <c r="AL2705" s="87"/>
      <c r="AM2705" s="87"/>
      <c r="AN2705" s="87">
        <v>4</v>
      </c>
      <c r="AO2705" s="87">
        <v>11</v>
      </c>
      <c r="AP2705" s="87">
        <v>13</v>
      </c>
      <c r="AQ2705" s="87">
        <v>5</v>
      </c>
      <c r="AR2705" s="87">
        <v>5</v>
      </c>
      <c r="AS2705" s="87">
        <v>3</v>
      </c>
      <c r="AT2705" s="87"/>
      <c r="AU2705" s="87">
        <v>5</v>
      </c>
      <c r="AV2705" s="87"/>
      <c r="AW2705" s="88" t="str">
        <f>HYPERLINK("http://www.openstreetmap.org/?mlat=35.5933&amp;mlon=45.4306&amp;zoom=12#map=12/35.5933/45.4306","Maplink1")</f>
        <v>Maplink1</v>
      </c>
      <c r="AX2705" s="88" t="str">
        <f>HYPERLINK("https://www.google.iq/maps/search/+35.5933,45.4306/@35.5933,45.4306,14z?hl=en","Maplink2")</f>
        <v>Maplink2</v>
      </c>
      <c r="AY2705" s="88" t="str">
        <f>HYPERLINK("http://www.bing.com/maps/?lvl=14&amp;sty=h&amp;cp=35.5933~45.4306&amp;sp=point.35.5933_45.4306","Maplink3")</f>
        <v>Maplink3</v>
      </c>
      <c r="AZ2705" s="76"/>
    </row>
    <row r="2706" spans="1:52" x14ac:dyDescent="0.25">
      <c r="A2706" s="86">
        <v>32061</v>
      </c>
      <c r="B2706" s="87" t="s">
        <v>27</v>
      </c>
      <c r="C2706" s="87" t="s">
        <v>5030</v>
      </c>
      <c r="D2706" s="87" t="s">
        <v>5125</v>
      </c>
      <c r="E2706" s="87" t="s">
        <v>5126</v>
      </c>
      <c r="F2706" s="87">
        <v>35.554527100000001</v>
      </c>
      <c r="G2706" s="87">
        <v>45.438057499999999</v>
      </c>
      <c r="H2706" s="86">
        <v>23</v>
      </c>
      <c r="I2706" s="86">
        <v>138</v>
      </c>
      <c r="J2706" s="87">
        <v>4</v>
      </c>
      <c r="K2706" s="87">
        <v>5</v>
      </c>
      <c r="L2706" s="87">
        <v>9</v>
      </c>
      <c r="M2706" s="87"/>
      <c r="N2706" s="87"/>
      <c r="O2706" s="87">
        <v>1</v>
      </c>
      <c r="P2706" s="87"/>
      <c r="Q2706" s="87"/>
      <c r="R2706" s="87"/>
      <c r="S2706" s="87"/>
      <c r="T2706" s="87"/>
      <c r="U2706" s="87"/>
      <c r="V2706" s="87">
        <v>1</v>
      </c>
      <c r="W2706" s="87"/>
      <c r="X2706" s="87">
        <v>3</v>
      </c>
      <c r="Y2706" s="87"/>
      <c r="Z2706" s="87"/>
      <c r="AA2706" s="87"/>
      <c r="AB2706" s="87"/>
      <c r="AC2706" s="87"/>
      <c r="AD2706" s="87"/>
      <c r="AE2706" s="87"/>
      <c r="AF2706" s="87"/>
      <c r="AG2706" s="87"/>
      <c r="AH2706" s="87">
        <v>23</v>
      </c>
      <c r="AI2706" s="87"/>
      <c r="AJ2706" s="87"/>
      <c r="AK2706" s="87"/>
      <c r="AL2706" s="87"/>
      <c r="AM2706" s="87"/>
      <c r="AN2706" s="87">
        <v>6</v>
      </c>
      <c r="AO2706" s="87"/>
      <c r="AP2706" s="87">
        <v>1</v>
      </c>
      <c r="AQ2706" s="87">
        <v>7</v>
      </c>
      <c r="AR2706" s="87"/>
      <c r="AS2706" s="87">
        <v>3</v>
      </c>
      <c r="AT2706" s="87">
        <v>2</v>
      </c>
      <c r="AU2706" s="87">
        <v>4</v>
      </c>
      <c r="AV2706" s="87"/>
      <c r="AW2706" s="88" t="str">
        <f>HYPERLINK("http://www.openstreetmap.org/?mlat=35.5545&amp;mlon=45.4381&amp;zoom=12#map=12/35.5545/45.4381","Maplink1")</f>
        <v>Maplink1</v>
      </c>
      <c r="AX2706" s="88" t="str">
        <f>HYPERLINK("https://www.google.iq/maps/search/+35.5545,45.4381/@35.5545,45.4381,14z?hl=en","Maplink2")</f>
        <v>Maplink2</v>
      </c>
      <c r="AY2706" s="88" t="str">
        <f>HYPERLINK("http://www.bing.com/maps/?lvl=14&amp;sty=h&amp;cp=35.5545~45.4381&amp;sp=point.35.5545_45.4381","Maplink3")</f>
        <v>Maplink3</v>
      </c>
      <c r="AZ2706" s="76"/>
    </row>
    <row r="2707" spans="1:52" x14ac:dyDescent="0.25">
      <c r="A2707" s="86">
        <v>23771</v>
      </c>
      <c r="B2707" s="87" t="s">
        <v>27</v>
      </c>
      <c r="C2707" s="87" t="s">
        <v>5030</v>
      </c>
      <c r="D2707" s="87" t="s">
        <v>5127</v>
      </c>
      <c r="E2707" s="87" t="s">
        <v>5128</v>
      </c>
      <c r="F2707" s="87">
        <v>35.5807438</v>
      </c>
      <c r="G2707" s="87">
        <v>45.174729499999998</v>
      </c>
      <c r="H2707" s="86">
        <v>185</v>
      </c>
      <c r="I2707" s="86">
        <v>1110</v>
      </c>
      <c r="J2707" s="87">
        <v>28</v>
      </c>
      <c r="K2707" s="87">
        <v>5</v>
      </c>
      <c r="L2707" s="87">
        <v>18</v>
      </c>
      <c r="M2707" s="87"/>
      <c r="N2707" s="87"/>
      <c r="O2707" s="87">
        <v>8</v>
      </c>
      <c r="P2707" s="87"/>
      <c r="Q2707" s="87"/>
      <c r="R2707" s="87">
        <v>1</v>
      </c>
      <c r="S2707" s="87"/>
      <c r="T2707" s="87"/>
      <c r="U2707" s="87"/>
      <c r="V2707" s="87">
        <v>63</v>
      </c>
      <c r="W2707" s="87"/>
      <c r="X2707" s="87">
        <v>62</v>
      </c>
      <c r="Y2707" s="87"/>
      <c r="Z2707" s="87"/>
      <c r="AA2707" s="87"/>
      <c r="AB2707" s="87"/>
      <c r="AC2707" s="87"/>
      <c r="AD2707" s="87"/>
      <c r="AE2707" s="87"/>
      <c r="AF2707" s="87"/>
      <c r="AG2707" s="87"/>
      <c r="AH2707" s="87">
        <v>181</v>
      </c>
      <c r="AI2707" s="87"/>
      <c r="AJ2707" s="87"/>
      <c r="AK2707" s="87"/>
      <c r="AL2707" s="87">
        <v>4</v>
      </c>
      <c r="AM2707" s="87"/>
      <c r="AN2707" s="87">
        <v>16</v>
      </c>
      <c r="AO2707" s="87">
        <v>28</v>
      </c>
      <c r="AP2707" s="87">
        <v>35</v>
      </c>
      <c r="AQ2707" s="87">
        <v>23</v>
      </c>
      <c r="AR2707" s="87">
        <v>22</v>
      </c>
      <c r="AS2707" s="87">
        <v>22</v>
      </c>
      <c r="AT2707" s="87">
        <v>9</v>
      </c>
      <c r="AU2707" s="87">
        <v>15</v>
      </c>
      <c r="AV2707" s="87">
        <v>15</v>
      </c>
      <c r="AW2707" s="88" t="str">
        <f>HYPERLINK("http://www.openstreetmap.org/?mlat=35.5807&amp;mlon=45.1747&amp;zoom=12#map=12/35.5807/45.1747","Maplink1")</f>
        <v>Maplink1</v>
      </c>
      <c r="AX2707" s="88" t="str">
        <f>HYPERLINK("https://www.google.iq/maps/search/+35.5807,45.1747/@35.5807,45.1747,14z?hl=en","Maplink2")</f>
        <v>Maplink2</v>
      </c>
      <c r="AY2707" s="88" t="str">
        <f>HYPERLINK("http://www.bing.com/maps/?lvl=14&amp;sty=h&amp;cp=35.5807~45.1747&amp;sp=point.35.5807_45.1747","Maplink3")</f>
        <v>Maplink3</v>
      </c>
      <c r="AZ2707" s="76"/>
    </row>
    <row r="2708" spans="1:52" x14ac:dyDescent="0.25">
      <c r="A2708" s="86">
        <v>23927</v>
      </c>
      <c r="B2708" s="87" t="s">
        <v>27</v>
      </c>
      <c r="C2708" s="87" t="s">
        <v>5030</v>
      </c>
      <c r="D2708" s="87" t="s">
        <v>5129</v>
      </c>
      <c r="E2708" s="87" t="s">
        <v>5130</v>
      </c>
      <c r="F2708" s="87">
        <v>35.593423399999999</v>
      </c>
      <c r="G2708" s="87">
        <v>45.138137399999998</v>
      </c>
      <c r="H2708" s="86">
        <v>155</v>
      </c>
      <c r="I2708" s="86">
        <v>930</v>
      </c>
      <c r="J2708" s="87">
        <v>27</v>
      </c>
      <c r="K2708" s="87">
        <v>5</v>
      </c>
      <c r="L2708" s="87">
        <v>57</v>
      </c>
      <c r="M2708" s="87"/>
      <c r="N2708" s="87"/>
      <c r="O2708" s="87">
        <v>5</v>
      </c>
      <c r="P2708" s="87"/>
      <c r="Q2708" s="87"/>
      <c r="R2708" s="87">
        <v>17</v>
      </c>
      <c r="S2708" s="87"/>
      <c r="T2708" s="87"/>
      <c r="U2708" s="87"/>
      <c r="V2708" s="87">
        <v>24</v>
      </c>
      <c r="W2708" s="87"/>
      <c r="X2708" s="87">
        <v>20</v>
      </c>
      <c r="Y2708" s="87"/>
      <c r="Z2708" s="87"/>
      <c r="AA2708" s="87"/>
      <c r="AB2708" s="87"/>
      <c r="AC2708" s="87"/>
      <c r="AD2708" s="87"/>
      <c r="AE2708" s="87"/>
      <c r="AF2708" s="87"/>
      <c r="AG2708" s="87"/>
      <c r="AH2708" s="87">
        <v>155</v>
      </c>
      <c r="AI2708" s="87"/>
      <c r="AJ2708" s="87"/>
      <c r="AK2708" s="87"/>
      <c r="AL2708" s="87"/>
      <c r="AM2708" s="87"/>
      <c r="AN2708" s="87">
        <v>5</v>
      </c>
      <c r="AO2708" s="87">
        <v>13</v>
      </c>
      <c r="AP2708" s="87">
        <v>22</v>
      </c>
      <c r="AQ2708" s="87">
        <v>16</v>
      </c>
      <c r="AR2708" s="87">
        <v>20</v>
      </c>
      <c r="AS2708" s="87">
        <v>16</v>
      </c>
      <c r="AT2708" s="87">
        <v>15</v>
      </c>
      <c r="AU2708" s="87">
        <v>45</v>
      </c>
      <c r="AV2708" s="87">
        <v>3</v>
      </c>
      <c r="AW2708" s="88" t="str">
        <f>HYPERLINK("http://www.openstreetmap.org/?mlat=35.5934&amp;mlon=45.1381&amp;zoom=12#map=12/35.5934/45.1381","Maplink1")</f>
        <v>Maplink1</v>
      </c>
      <c r="AX2708" s="88" t="str">
        <f>HYPERLINK("https://www.google.iq/maps/search/+35.5934,45.1381/@35.5934,45.1381,14z?hl=en","Maplink2")</f>
        <v>Maplink2</v>
      </c>
      <c r="AY2708" s="88" t="str">
        <f>HYPERLINK("http://www.bing.com/maps/?lvl=14&amp;sty=h&amp;cp=35.5934~45.1381&amp;sp=point.35.5934_45.1381","Maplink3")</f>
        <v>Maplink3</v>
      </c>
      <c r="AZ2708" s="76"/>
    </row>
    <row r="2709" spans="1:52" x14ac:dyDescent="0.25">
      <c r="A2709" s="86">
        <v>23536</v>
      </c>
      <c r="B2709" s="87" t="s">
        <v>27</v>
      </c>
      <c r="C2709" s="87" t="s">
        <v>5030</v>
      </c>
      <c r="D2709" s="87" t="s">
        <v>5131</v>
      </c>
      <c r="E2709" s="87" t="s">
        <v>4788</v>
      </c>
      <c r="F2709" s="87">
        <v>35.590918500000001</v>
      </c>
      <c r="G2709" s="87">
        <v>45.141356199999997</v>
      </c>
      <c r="H2709" s="86">
        <v>53</v>
      </c>
      <c r="I2709" s="86">
        <v>318</v>
      </c>
      <c r="J2709" s="87">
        <v>7</v>
      </c>
      <c r="K2709" s="87">
        <v>2</v>
      </c>
      <c r="L2709" s="87">
        <v>13</v>
      </c>
      <c r="M2709" s="87"/>
      <c r="N2709" s="87"/>
      <c r="O2709" s="87">
        <v>1</v>
      </c>
      <c r="P2709" s="87"/>
      <c r="Q2709" s="87"/>
      <c r="R2709" s="87">
        <v>9</v>
      </c>
      <c r="S2709" s="87"/>
      <c r="T2709" s="87"/>
      <c r="U2709" s="87"/>
      <c r="V2709" s="87">
        <v>13</v>
      </c>
      <c r="W2709" s="87"/>
      <c r="X2709" s="87">
        <v>8</v>
      </c>
      <c r="Y2709" s="87"/>
      <c r="Z2709" s="87"/>
      <c r="AA2709" s="87"/>
      <c r="AB2709" s="87"/>
      <c r="AC2709" s="87"/>
      <c r="AD2709" s="87"/>
      <c r="AE2709" s="87"/>
      <c r="AF2709" s="87"/>
      <c r="AG2709" s="87"/>
      <c r="AH2709" s="87">
        <v>43</v>
      </c>
      <c r="AI2709" s="87"/>
      <c r="AJ2709" s="87"/>
      <c r="AK2709" s="87"/>
      <c r="AL2709" s="87">
        <v>10</v>
      </c>
      <c r="AM2709" s="87"/>
      <c r="AN2709" s="87"/>
      <c r="AO2709" s="87">
        <v>15</v>
      </c>
      <c r="AP2709" s="87">
        <v>7</v>
      </c>
      <c r="AQ2709" s="87">
        <v>14</v>
      </c>
      <c r="AR2709" s="87"/>
      <c r="AS2709" s="87">
        <v>6</v>
      </c>
      <c r="AT2709" s="87">
        <v>2</v>
      </c>
      <c r="AU2709" s="87">
        <v>9</v>
      </c>
      <c r="AV2709" s="87"/>
      <c r="AW2709" s="88" t="str">
        <f>HYPERLINK("http://www.openstreetmap.org/?mlat=35.5909&amp;mlon=45.1414&amp;zoom=12#map=12/35.5909/45.1414","Maplink1")</f>
        <v>Maplink1</v>
      </c>
      <c r="AX2709" s="88" t="str">
        <f>HYPERLINK("https://www.google.iq/maps/search/+35.5909,45.1414/@35.5909,45.1414,14z?hl=en","Maplink2")</f>
        <v>Maplink2</v>
      </c>
      <c r="AY2709" s="88" t="str">
        <f>HYPERLINK("http://www.bing.com/maps/?lvl=14&amp;sty=h&amp;cp=35.5909~45.1414&amp;sp=point.35.5909_45.1414","Maplink3")</f>
        <v>Maplink3</v>
      </c>
      <c r="AZ2709" s="76"/>
    </row>
    <row r="2710" spans="1:52" x14ac:dyDescent="0.25">
      <c r="A2710" s="86">
        <v>21283</v>
      </c>
      <c r="B2710" s="87" t="s">
        <v>27</v>
      </c>
      <c r="C2710" s="87" t="s">
        <v>5030</v>
      </c>
      <c r="D2710" s="87" t="s">
        <v>5132</v>
      </c>
      <c r="E2710" s="87" t="s">
        <v>4797</v>
      </c>
      <c r="F2710" s="87">
        <v>35.5983278</v>
      </c>
      <c r="G2710" s="87">
        <v>45.133668999999998</v>
      </c>
      <c r="H2710" s="86">
        <v>68</v>
      </c>
      <c r="I2710" s="86">
        <v>408</v>
      </c>
      <c r="J2710" s="87">
        <v>9</v>
      </c>
      <c r="K2710" s="87">
        <v>12</v>
      </c>
      <c r="L2710" s="87">
        <v>8</v>
      </c>
      <c r="M2710" s="87"/>
      <c r="N2710" s="87"/>
      <c r="O2710" s="87">
        <v>4</v>
      </c>
      <c r="P2710" s="87"/>
      <c r="Q2710" s="87"/>
      <c r="R2710" s="87">
        <v>7</v>
      </c>
      <c r="S2710" s="87"/>
      <c r="T2710" s="87"/>
      <c r="U2710" s="87"/>
      <c r="V2710" s="87">
        <v>5</v>
      </c>
      <c r="W2710" s="87"/>
      <c r="X2710" s="87">
        <v>23</v>
      </c>
      <c r="Y2710" s="87"/>
      <c r="Z2710" s="87"/>
      <c r="AA2710" s="87"/>
      <c r="AB2710" s="87"/>
      <c r="AC2710" s="87"/>
      <c r="AD2710" s="87"/>
      <c r="AE2710" s="87"/>
      <c r="AF2710" s="87"/>
      <c r="AG2710" s="87"/>
      <c r="AH2710" s="87">
        <v>68</v>
      </c>
      <c r="AI2710" s="87"/>
      <c r="AJ2710" s="87"/>
      <c r="AK2710" s="87"/>
      <c r="AL2710" s="87"/>
      <c r="AM2710" s="87"/>
      <c r="AN2710" s="87"/>
      <c r="AO2710" s="87">
        <v>23</v>
      </c>
      <c r="AP2710" s="87">
        <v>9</v>
      </c>
      <c r="AQ2710" s="87">
        <v>8</v>
      </c>
      <c r="AR2710" s="87"/>
      <c r="AS2710" s="87">
        <v>6</v>
      </c>
      <c r="AT2710" s="87">
        <v>2</v>
      </c>
      <c r="AU2710" s="87">
        <v>20</v>
      </c>
      <c r="AV2710" s="87"/>
      <c r="AW2710" s="88" t="str">
        <f>HYPERLINK("http://www.openstreetmap.org/?mlat=35.5983&amp;mlon=45.1337&amp;zoom=12#map=12/35.5983/45.1337","Maplink1")</f>
        <v>Maplink1</v>
      </c>
      <c r="AX2710" s="88" t="str">
        <f>HYPERLINK("https://www.google.iq/maps/search/+35.5983,45.1337/@35.5983,45.1337,14z?hl=en","Maplink2")</f>
        <v>Maplink2</v>
      </c>
      <c r="AY2710" s="88" t="str">
        <f>HYPERLINK("http://www.bing.com/maps/?lvl=14&amp;sty=h&amp;cp=35.5983~45.1337&amp;sp=point.35.5983_45.1337","Maplink3")</f>
        <v>Maplink3</v>
      </c>
      <c r="AZ2710" s="76"/>
    </row>
    <row r="2711" spans="1:52" x14ac:dyDescent="0.25">
      <c r="A2711" s="86">
        <v>25892</v>
      </c>
      <c r="B2711" s="87" t="s">
        <v>27</v>
      </c>
      <c r="C2711" s="87" t="s">
        <v>5030</v>
      </c>
      <c r="D2711" s="87" t="s">
        <v>5133</v>
      </c>
      <c r="E2711" s="87" t="s">
        <v>5134</v>
      </c>
      <c r="F2711" s="87">
        <v>35.589473699999999</v>
      </c>
      <c r="G2711" s="87">
        <v>45.1501096</v>
      </c>
      <c r="H2711" s="86">
        <v>35</v>
      </c>
      <c r="I2711" s="86">
        <v>210</v>
      </c>
      <c r="J2711" s="87">
        <v>10</v>
      </c>
      <c r="K2711" s="87"/>
      <c r="L2711" s="87">
        <v>6</v>
      </c>
      <c r="M2711" s="87"/>
      <c r="N2711" s="87"/>
      <c r="O2711" s="87">
        <v>4</v>
      </c>
      <c r="P2711" s="87"/>
      <c r="Q2711" s="87"/>
      <c r="R2711" s="87">
        <v>8</v>
      </c>
      <c r="S2711" s="87"/>
      <c r="T2711" s="87"/>
      <c r="U2711" s="87"/>
      <c r="V2711" s="87">
        <v>2</v>
      </c>
      <c r="W2711" s="87"/>
      <c r="X2711" s="87">
        <v>5</v>
      </c>
      <c r="Y2711" s="87"/>
      <c r="Z2711" s="87"/>
      <c r="AA2711" s="87"/>
      <c r="AB2711" s="87"/>
      <c r="AC2711" s="87"/>
      <c r="AD2711" s="87"/>
      <c r="AE2711" s="87"/>
      <c r="AF2711" s="87"/>
      <c r="AG2711" s="87"/>
      <c r="AH2711" s="87">
        <v>35</v>
      </c>
      <c r="AI2711" s="87"/>
      <c r="AJ2711" s="87"/>
      <c r="AK2711" s="87"/>
      <c r="AL2711" s="87"/>
      <c r="AM2711" s="87"/>
      <c r="AN2711" s="87">
        <v>1</v>
      </c>
      <c r="AO2711" s="87">
        <v>5</v>
      </c>
      <c r="AP2711" s="87"/>
      <c r="AQ2711" s="87">
        <v>11</v>
      </c>
      <c r="AR2711" s="87">
        <v>4</v>
      </c>
      <c r="AS2711" s="87">
        <v>1</v>
      </c>
      <c r="AT2711" s="87">
        <v>1</v>
      </c>
      <c r="AU2711" s="87">
        <v>11</v>
      </c>
      <c r="AV2711" s="87">
        <v>1</v>
      </c>
      <c r="AW2711" s="88" t="str">
        <f>HYPERLINK("http://www.openstreetmap.org/?mlat=35.5895&amp;mlon=45.1501&amp;zoom=12#map=12/35.5895/45.1501","Maplink1")</f>
        <v>Maplink1</v>
      </c>
      <c r="AX2711" s="88" t="str">
        <f>HYPERLINK("https://www.google.iq/maps/search/+35.5895,45.1501/@35.5895,45.1501,14z?hl=en","Maplink2")</f>
        <v>Maplink2</v>
      </c>
      <c r="AY2711" s="88" t="str">
        <f>HYPERLINK("http://www.bing.com/maps/?lvl=14&amp;sty=h&amp;cp=35.5895~45.1501&amp;sp=point.35.5895_45.1501","Maplink3")</f>
        <v>Maplink3</v>
      </c>
      <c r="AZ2711" s="76"/>
    </row>
    <row r="2712" spans="1:52" x14ac:dyDescent="0.25">
      <c r="A2712" s="86">
        <v>5739</v>
      </c>
      <c r="B2712" s="87" t="s">
        <v>27</v>
      </c>
      <c r="C2712" s="87" t="s">
        <v>5030</v>
      </c>
      <c r="D2712" s="87" t="s">
        <v>5135</v>
      </c>
      <c r="E2712" s="87" t="s">
        <v>5136</v>
      </c>
      <c r="F2712" s="87">
        <v>35.573921300000002</v>
      </c>
      <c r="G2712" s="87">
        <v>45.153433399999997</v>
      </c>
      <c r="H2712" s="86">
        <v>11</v>
      </c>
      <c r="I2712" s="86">
        <v>66</v>
      </c>
      <c r="J2712" s="87"/>
      <c r="K2712" s="87"/>
      <c r="L2712" s="87">
        <v>5</v>
      </c>
      <c r="M2712" s="87"/>
      <c r="N2712" s="87"/>
      <c r="O2712" s="87"/>
      <c r="P2712" s="87"/>
      <c r="Q2712" s="87"/>
      <c r="R2712" s="87"/>
      <c r="S2712" s="87"/>
      <c r="T2712" s="87"/>
      <c r="U2712" s="87"/>
      <c r="V2712" s="87">
        <v>4</v>
      </c>
      <c r="W2712" s="87"/>
      <c r="X2712" s="87">
        <v>2</v>
      </c>
      <c r="Y2712" s="87"/>
      <c r="Z2712" s="87"/>
      <c r="AA2712" s="87"/>
      <c r="AB2712" s="87"/>
      <c r="AC2712" s="87"/>
      <c r="AD2712" s="87"/>
      <c r="AE2712" s="87"/>
      <c r="AF2712" s="87"/>
      <c r="AG2712" s="87"/>
      <c r="AH2712" s="87">
        <v>11</v>
      </c>
      <c r="AI2712" s="87"/>
      <c r="AJ2712" s="87"/>
      <c r="AK2712" s="87"/>
      <c r="AL2712" s="87"/>
      <c r="AM2712" s="87"/>
      <c r="AN2712" s="87"/>
      <c r="AO2712" s="87">
        <v>4</v>
      </c>
      <c r="AP2712" s="87">
        <v>3</v>
      </c>
      <c r="AQ2712" s="87">
        <v>1</v>
      </c>
      <c r="AR2712" s="87"/>
      <c r="AS2712" s="87"/>
      <c r="AT2712" s="87"/>
      <c r="AU2712" s="87">
        <v>1</v>
      </c>
      <c r="AV2712" s="87">
        <v>2</v>
      </c>
      <c r="AW2712" s="88" t="str">
        <f>HYPERLINK("http://www.openstreetmap.org/?mlat=35.5739&amp;mlon=45.1534&amp;zoom=12#map=12/35.5739/45.1534","Maplink1")</f>
        <v>Maplink1</v>
      </c>
      <c r="AX2712" s="88" t="str">
        <f>HYPERLINK("https://www.google.iq/maps/search/+35.5739,45.1534/@35.5739,45.1534,14z?hl=en","Maplink2")</f>
        <v>Maplink2</v>
      </c>
      <c r="AY2712" s="88" t="str">
        <f>HYPERLINK("http://www.bing.com/maps/?lvl=14&amp;sty=h&amp;cp=35.5739~45.1534&amp;sp=point.35.5739_45.1534","Maplink3")</f>
        <v>Maplink3</v>
      </c>
      <c r="AZ2712" s="76"/>
    </row>
    <row r="2713" spans="1:52" x14ac:dyDescent="0.25">
      <c r="A2713" s="86">
        <v>4507</v>
      </c>
      <c r="B2713" s="87" t="s">
        <v>27</v>
      </c>
      <c r="C2713" s="87" t="s">
        <v>5030</v>
      </c>
      <c r="D2713" s="87" t="s">
        <v>5137</v>
      </c>
      <c r="E2713" s="87" t="s">
        <v>5138</v>
      </c>
      <c r="F2713" s="87">
        <v>35.467407700000003</v>
      </c>
      <c r="G2713" s="87">
        <v>45.254689800000001</v>
      </c>
      <c r="H2713" s="86">
        <v>5</v>
      </c>
      <c r="I2713" s="86">
        <v>30</v>
      </c>
      <c r="J2713" s="87">
        <v>3</v>
      </c>
      <c r="K2713" s="87"/>
      <c r="L2713" s="87"/>
      <c r="M2713" s="87"/>
      <c r="N2713" s="87"/>
      <c r="O2713" s="87"/>
      <c r="P2713" s="87"/>
      <c r="Q2713" s="87"/>
      <c r="R2713" s="87"/>
      <c r="S2713" s="87"/>
      <c r="T2713" s="87"/>
      <c r="U2713" s="87"/>
      <c r="V2713" s="87">
        <v>1</v>
      </c>
      <c r="W2713" s="87"/>
      <c r="X2713" s="87">
        <v>1</v>
      </c>
      <c r="Y2713" s="87"/>
      <c r="Z2713" s="87"/>
      <c r="AA2713" s="87"/>
      <c r="AB2713" s="87"/>
      <c r="AC2713" s="87"/>
      <c r="AD2713" s="87"/>
      <c r="AE2713" s="87"/>
      <c r="AF2713" s="87"/>
      <c r="AG2713" s="87"/>
      <c r="AH2713" s="87">
        <v>5</v>
      </c>
      <c r="AI2713" s="87"/>
      <c r="AJ2713" s="87"/>
      <c r="AK2713" s="87"/>
      <c r="AL2713" s="87"/>
      <c r="AM2713" s="87"/>
      <c r="AN2713" s="87"/>
      <c r="AO2713" s="87">
        <v>1</v>
      </c>
      <c r="AP2713" s="87">
        <v>1</v>
      </c>
      <c r="AQ2713" s="87">
        <v>1</v>
      </c>
      <c r="AR2713" s="87"/>
      <c r="AS2713" s="87"/>
      <c r="AT2713" s="87"/>
      <c r="AU2713" s="87">
        <v>2</v>
      </c>
      <c r="AV2713" s="87"/>
      <c r="AW2713" s="88" t="str">
        <f>HYPERLINK("http://www.openstreetmap.org/?mlat=35.4674&amp;mlon=45.2547&amp;zoom=12#map=12/35.4674/45.2547","Maplink1")</f>
        <v>Maplink1</v>
      </c>
      <c r="AX2713" s="88" t="str">
        <f>HYPERLINK("https://www.google.iq/maps/search/+35.4674,45.2547/@35.4674,45.2547,14z?hl=en","Maplink2")</f>
        <v>Maplink2</v>
      </c>
      <c r="AY2713" s="88" t="str">
        <f>HYPERLINK("http://www.bing.com/maps/?lvl=14&amp;sty=h&amp;cp=35.4674~45.2547&amp;sp=point.35.4674_45.2547","Maplink3")</f>
        <v>Maplink3</v>
      </c>
      <c r="AZ2713" s="76"/>
    </row>
    <row r="2714" spans="1:52" x14ac:dyDescent="0.25">
      <c r="A2714" s="86">
        <v>4566</v>
      </c>
      <c r="B2714" s="87" t="s">
        <v>27</v>
      </c>
      <c r="C2714" s="87" t="s">
        <v>5030</v>
      </c>
      <c r="D2714" s="87" t="s">
        <v>5139</v>
      </c>
      <c r="E2714" s="87" t="s">
        <v>5140</v>
      </c>
      <c r="F2714" s="87">
        <v>35.502897599999997</v>
      </c>
      <c r="G2714" s="87">
        <v>45.249955499999999</v>
      </c>
      <c r="H2714" s="86">
        <v>26</v>
      </c>
      <c r="I2714" s="86">
        <v>156</v>
      </c>
      <c r="J2714" s="87">
        <v>8</v>
      </c>
      <c r="K2714" s="87">
        <v>1</v>
      </c>
      <c r="L2714" s="87">
        <v>7</v>
      </c>
      <c r="M2714" s="87"/>
      <c r="N2714" s="87"/>
      <c r="O2714" s="87"/>
      <c r="P2714" s="87"/>
      <c r="Q2714" s="87"/>
      <c r="R2714" s="87"/>
      <c r="S2714" s="87"/>
      <c r="T2714" s="87"/>
      <c r="U2714" s="87"/>
      <c r="V2714" s="87"/>
      <c r="W2714" s="87"/>
      <c r="X2714" s="87">
        <v>10</v>
      </c>
      <c r="Y2714" s="87"/>
      <c r="Z2714" s="87"/>
      <c r="AA2714" s="87"/>
      <c r="AB2714" s="87"/>
      <c r="AC2714" s="87"/>
      <c r="AD2714" s="87"/>
      <c r="AE2714" s="87"/>
      <c r="AF2714" s="87"/>
      <c r="AG2714" s="87"/>
      <c r="AH2714" s="87">
        <v>26</v>
      </c>
      <c r="AI2714" s="87"/>
      <c r="AJ2714" s="87"/>
      <c r="AK2714" s="87"/>
      <c r="AL2714" s="87"/>
      <c r="AM2714" s="87"/>
      <c r="AN2714" s="87"/>
      <c r="AO2714" s="87">
        <v>6</v>
      </c>
      <c r="AP2714" s="87">
        <v>1</v>
      </c>
      <c r="AQ2714" s="87">
        <v>2</v>
      </c>
      <c r="AR2714" s="87">
        <v>4</v>
      </c>
      <c r="AS2714" s="87">
        <v>1</v>
      </c>
      <c r="AT2714" s="87">
        <v>4</v>
      </c>
      <c r="AU2714" s="87">
        <v>2</v>
      </c>
      <c r="AV2714" s="87">
        <v>6</v>
      </c>
      <c r="AW2714" s="88" t="str">
        <f>HYPERLINK("http://www.openstreetmap.org/?mlat=35.5029&amp;mlon=45.25&amp;zoom=12#map=12/35.5029/45.25","Maplink1")</f>
        <v>Maplink1</v>
      </c>
      <c r="AX2714" s="88" t="str">
        <f>HYPERLINK("https://www.google.iq/maps/search/+35.5029,45.25/@35.5029,45.25,14z?hl=en","Maplink2")</f>
        <v>Maplink2</v>
      </c>
      <c r="AY2714" s="88" t="str">
        <f>HYPERLINK("http://www.bing.com/maps/?lvl=14&amp;sty=h&amp;cp=35.5029~45.25&amp;sp=point.35.5029_45.25","Maplink3")</f>
        <v>Maplink3</v>
      </c>
      <c r="AZ2714" s="76"/>
    </row>
    <row r="2715" spans="1:52" x14ac:dyDescent="0.25">
      <c r="A2715" s="86">
        <v>4496</v>
      </c>
      <c r="B2715" s="87" t="s">
        <v>27</v>
      </c>
      <c r="C2715" s="87" t="s">
        <v>5030</v>
      </c>
      <c r="D2715" s="87" t="s">
        <v>5141</v>
      </c>
      <c r="E2715" s="87" t="s">
        <v>5142</v>
      </c>
      <c r="F2715" s="87">
        <v>35.542217100000002</v>
      </c>
      <c r="G2715" s="87">
        <v>45.159972199999999</v>
      </c>
      <c r="H2715" s="86">
        <v>36</v>
      </c>
      <c r="I2715" s="86">
        <v>216</v>
      </c>
      <c r="J2715" s="87">
        <v>1</v>
      </c>
      <c r="K2715" s="87"/>
      <c r="L2715" s="87">
        <v>3</v>
      </c>
      <c r="M2715" s="87"/>
      <c r="N2715" s="87"/>
      <c r="O2715" s="87"/>
      <c r="P2715" s="87"/>
      <c r="Q2715" s="87"/>
      <c r="R2715" s="87"/>
      <c r="S2715" s="87"/>
      <c r="T2715" s="87"/>
      <c r="U2715" s="87"/>
      <c r="V2715" s="87">
        <v>21</v>
      </c>
      <c r="W2715" s="87"/>
      <c r="X2715" s="87">
        <v>11</v>
      </c>
      <c r="Y2715" s="87"/>
      <c r="Z2715" s="87"/>
      <c r="AA2715" s="87"/>
      <c r="AB2715" s="87"/>
      <c r="AC2715" s="87"/>
      <c r="AD2715" s="87"/>
      <c r="AE2715" s="87"/>
      <c r="AF2715" s="87"/>
      <c r="AG2715" s="87"/>
      <c r="AH2715" s="87">
        <v>36</v>
      </c>
      <c r="AI2715" s="87"/>
      <c r="AJ2715" s="87"/>
      <c r="AK2715" s="87"/>
      <c r="AL2715" s="87"/>
      <c r="AM2715" s="87"/>
      <c r="AN2715" s="87">
        <v>1</v>
      </c>
      <c r="AO2715" s="87">
        <v>6</v>
      </c>
      <c r="AP2715" s="87">
        <v>13</v>
      </c>
      <c r="AQ2715" s="87">
        <v>1</v>
      </c>
      <c r="AR2715" s="87">
        <v>3</v>
      </c>
      <c r="AS2715" s="87">
        <v>5</v>
      </c>
      <c r="AT2715" s="87">
        <v>3</v>
      </c>
      <c r="AU2715" s="87"/>
      <c r="AV2715" s="87">
        <v>4</v>
      </c>
      <c r="AW2715" s="88" t="str">
        <f>HYPERLINK("http://www.openstreetmap.org/?mlat=35.5422&amp;mlon=45.16&amp;zoom=12#map=12/35.5422/45.16","Maplink1")</f>
        <v>Maplink1</v>
      </c>
      <c r="AX2715" s="88" t="str">
        <f>HYPERLINK("https://www.google.iq/maps/search/+35.5422,45.16/@35.5422,45.16,14z?hl=en","Maplink2")</f>
        <v>Maplink2</v>
      </c>
      <c r="AY2715" s="88" t="str">
        <f>HYPERLINK("http://www.bing.com/maps/?lvl=14&amp;sty=h&amp;cp=35.5422~45.16&amp;sp=point.35.5422_45.16","Maplink3")</f>
        <v>Maplink3</v>
      </c>
      <c r="AZ2715" s="76"/>
    </row>
    <row r="2716" spans="1:52" x14ac:dyDescent="0.25">
      <c r="A2716" s="86">
        <v>5760</v>
      </c>
      <c r="B2716" s="87" t="s">
        <v>27</v>
      </c>
      <c r="C2716" s="87" t="s">
        <v>5030</v>
      </c>
      <c r="D2716" s="87" t="s">
        <v>5143</v>
      </c>
      <c r="E2716" s="87" t="s">
        <v>5144</v>
      </c>
      <c r="F2716" s="87">
        <v>35.527976000000002</v>
      </c>
      <c r="G2716" s="87">
        <v>45.171190299999999</v>
      </c>
      <c r="H2716" s="86">
        <v>3</v>
      </c>
      <c r="I2716" s="86">
        <v>18</v>
      </c>
      <c r="J2716" s="87">
        <v>1</v>
      </c>
      <c r="K2716" s="87"/>
      <c r="L2716" s="87"/>
      <c r="M2716" s="87"/>
      <c r="N2716" s="87"/>
      <c r="O2716" s="87"/>
      <c r="P2716" s="87"/>
      <c r="Q2716" s="87"/>
      <c r="R2716" s="87"/>
      <c r="S2716" s="87"/>
      <c r="T2716" s="87"/>
      <c r="U2716" s="87"/>
      <c r="V2716" s="87">
        <v>1</v>
      </c>
      <c r="W2716" s="87"/>
      <c r="X2716" s="87">
        <v>1</v>
      </c>
      <c r="Y2716" s="87"/>
      <c r="Z2716" s="87"/>
      <c r="AA2716" s="87"/>
      <c r="AB2716" s="87"/>
      <c r="AC2716" s="87"/>
      <c r="AD2716" s="87"/>
      <c r="AE2716" s="87"/>
      <c r="AF2716" s="87"/>
      <c r="AG2716" s="87"/>
      <c r="AH2716" s="87">
        <v>3</v>
      </c>
      <c r="AI2716" s="87"/>
      <c r="AJ2716" s="87"/>
      <c r="AK2716" s="87"/>
      <c r="AL2716" s="87"/>
      <c r="AM2716" s="87"/>
      <c r="AN2716" s="87"/>
      <c r="AO2716" s="87">
        <v>1</v>
      </c>
      <c r="AP2716" s="87"/>
      <c r="AQ2716" s="87">
        <v>1</v>
      </c>
      <c r="AR2716" s="87"/>
      <c r="AS2716" s="87">
        <v>1</v>
      </c>
      <c r="AT2716" s="87"/>
      <c r="AU2716" s="87"/>
      <c r="AV2716" s="87"/>
      <c r="AW2716" s="88" t="str">
        <f>HYPERLINK("http://www.openstreetmap.org/?mlat=35.528&amp;mlon=45.1712&amp;zoom=12#map=12/35.528/45.1712","Maplink1")</f>
        <v>Maplink1</v>
      </c>
      <c r="AX2716" s="88" t="str">
        <f>HYPERLINK("https://www.google.iq/maps/search/+35.528,45.1712/@35.528,45.1712,14z?hl=en","Maplink2")</f>
        <v>Maplink2</v>
      </c>
      <c r="AY2716" s="88" t="str">
        <f>HYPERLINK("http://www.bing.com/maps/?lvl=14&amp;sty=h&amp;cp=35.528~45.1712&amp;sp=point.35.528_45.1712","Maplink3")</f>
        <v>Maplink3</v>
      </c>
      <c r="AZ2716" s="76"/>
    </row>
    <row r="2717" spans="1:52" x14ac:dyDescent="0.25">
      <c r="A2717" s="86">
        <v>5885</v>
      </c>
      <c r="B2717" s="87" t="s">
        <v>27</v>
      </c>
      <c r="C2717" s="87" t="s">
        <v>5030</v>
      </c>
      <c r="D2717" s="87" t="s">
        <v>5145</v>
      </c>
      <c r="E2717" s="87" t="s">
        <v>5146</v>
      </c>
      <c r="F2717" s="87">
        <v>35.532024999999997</v>
      </c>
      <c r="G2717" s="87">
        <v>45.186815899999999</v>
      </c>
      <c r="H2717" s="86">
        <v>23</v>
      </c>
      <c r="I2717" s="86">
        <v>138</v>
      </c>
      <c r="J2717" s="87">
        <v>3</v>
      </c>
      <c r="K2717" s="87">
        <v>1</v>
      </c>
      <c r="L2717" s="87">
        <v>5</v>
      </c>
      <c r="M2717" s="87"/>
      <c r="N2717" s="87"/>
      <c r="O2717" s="87">
        <v>2</v>
      </c>
      <c r="P2717" s="87"/>
      <c r="Q2717" s="87"/>
      <c r="R2717" s="87"/>
      <c r="S2717" s="87"/>
      <c r="T2717" s="87"/>
      <c r="U2717" s="87"/>
      <c r="V2717" s="87"/>
      <c r="W2717" s="87"/>
      <c r="X2717" s="87">
        <v>12</v>
      </c>
      <c r="Y2717" s="87"/>
      <c r="Z2717" s="87"/>
      <c r="AA2717" s="87"/>
      <c r="AB2717" s="87"/>
      <c r="AC2717" s="87"/>
      <c r="AD2717" s="87"/>
      <c r="AE2717" s="87"/>
      <c r="AF2717" s="87"/>
      <c r="AG2717" s="87"/>
      <c r="AH2717" s="87">
        <v>23</v>
      </c>
      <c r="AI2717" s="87"/>
      <c r="AJ2717" s="87"/>
      <c r="AK2717" s="87"/>
      <c r="AL2717" s="87"/>
      <c r="AM2717" s="87"/>
      <c r="AN2717" s="87"/>
      <c r="AO2717" s="87">
        <v>9</v>
      </c>
      <c r="AP2717" s="87">
        <v>2</v>
      </c>
      <c r="AQ2717" s="87">
        <v>3</v>
      </c>
      <c r="AR2717" s="87"/>
      <c r="AS2717" s="87">
        <v>1</v>
      </c>
      <c r="AT2717" s="87">
        <v>6</v>
      </c>
      <c r="AU2717" s="87"/>
      <c r="AV2717" s="87">
        <v>2</v>
      </c>
      <c r="AW2717" s="88" t="str">
        <f>HYPERLINK("http://www.openstreetmap.org/?mlat=35.532&amp;mlon=45.1868&amp;zoom=12#map=12/35.532/45.1868","Maplink1")</f>
        <v>Maplink1</v>
      </c>
      <c r="AX2717" s="88" t="str">
        <f>HYPERLINK("https://www.google.iq/maps/search/+35.532,45.1868/@35.532,45.1868,14z?hl=en","Maplink2")</f>
        <v>Maplink2</v>
      </c>
      <c r="AY2717" s="88" t="str">
        <f>HYPERLINK("http://www.bing.com/maps/?lvl=14&amp;sty=h&amp;cp=35.532~45.1868&amp;sp=point.35.532_45.1868","Maplink3")</f>
        <v>Maplink3</v>
      </c>
      <c r="AZ2717" s="76"/>
    </row>
    <row r="2718" spans="1:52" x14ac:dyDescent="0.25">
      <c r="A2718" s="86">
        <v>4563</v>
      </c>
      <c r="B2718" s="87" t="s">
        <v>27</v>
      </c>
      <c r="C2718" s="87" t="s">
        <v>5030</v>
      </c>
      <c r="D2718" s="87" t="s">
        <v>5147</v>
      </c>
      <c r="E2718" s="87" t="s">
        <v>5148</v>
      </c>
      <c r="F2718" s="87">
        <v>35.5339691</v>
      </c>
      <c r="G2718" s="87">
        <v>45.198942899999999</v>
      </c>
      <c r="H2718" s="86">
        <v>17</v>
      </c>
      <c r="I2718" s="86">
        <v>102</v>
      </c>
      <c r="J2718" s="87">
        <v>3</v>
      </c>
      <c r="K2718" s="87"/>
      <c r="L2718" s="87">
        <v>5</v>
      </c>
      <c r="M2718" s="87"/>
      <c r="N2718" s="87"/>
      <c r="O2718" s="87"/>
      <c r="P2718" s="87"/>
      <c r="Q2718" s="87"/>
      <c r="R2718" s="87"/>
      <c r="S2718" s="87"/>
      <c r="T2718" s="87"/>
      <c r="U2718" s="87"/>
      <c r="V2718" s="87"/>
      <c r="W2718" s="87"/>
      <c r="X2718" s="87">
        <v>9</v>
      </c>
      <c r="Y2718" s="87"/>
      <c r="Z2718" s="87"/>
      <c r="AA2718" s="87"/>
      <c r="AB2718" s="87"/>
      <c r="AC2718" s="87"/>
      <c r="AD2718" s="87"/>
      <c r="AE2718" s="87"/>
      <c r="AF2718" s="87"/>
      <c r="AG2718" s="87"/>
      <c r="AH2718" s="87">
        <v>17</v>
      </c>
      <c r="AI2718" s="87"/>
      <c r="AJ2718" s="87"/>
      <c r="AK2718" s="87"/>
      <c r="AL2718" s="87"/>
      <c r="AM2718" s="87"/>
      <c r="AN2718" s="87"/>
      <c r="AO2718" s="87">
        <v>2</v>
      </c>
      <c r="AP2718" s="87">
        <v>3</v>
      </c>
      <c r="AQ2718" s="87">
        <v>4</v>
      </c>
      <c r="AR2718" s="87"/>
      <c r="AS2718" s="87"/>
      <c r="AT2718" s="87">
        <v>3</v>
      </c>
      <c r="AU2718" s="87">
        <v>2</v>
      </c>
      <c r="AV2718" s="87">
        <v>3</v>
      </c>
      <c r="AW2718" s="88" t="str">
        <f>HYPERLINK("http://www.openstreetmap.org/?mlat=35.534&amp;mlon=45.1989&amp;zoom=12#map=12/35.534/45.1989","Maplink1")</f>
        <v>Maplink1</v>
      </c>
      <c r="AX2718" s="88" t="str">
        <f>HYPERLINK("https://www.google.iq/maps/search/+35.534,45.1989/@35.534,45.1989,14z?hl=en","Maplink2")</f>
        <v>Maplink2</v>
      </c>
      <c r="AY2718" s="88" t="str">
        <f>HYPERLINK("http://www.bing.com/maps/?lvl=14&amp;sty=h&amp;cp=35.534~45.1989&amp;sp=point.35.534_45.1989","Maplink3")</f>
        <v>Maplink3</v>
      </c>
      <c r="AZ2718" s="76"/>
    </row>
    <row r="2719" spans="1:52" x14ac:dyDescent="0.25">
      <c r="A2719" s="86">
        <v>31965</v>
      </c>
      <c r="B2719" s="87" t="s">
        <v>27</v>
      </c>
      <c r="C2719" s="87" t="s">
        <v>5030</v>
      </c>
      <c r="D2719" s="87" t="s">
        <v>5149</v>
      </c>
      <c r="E2719" s="87" t="s">
        <v>5150</v>
      </c>
      <c r="F2719" s="87">
        <v>35.518788600000001</v>
      </c>
      <c r="G2719" s="87">
        <v>45.246768699999997</v>
      </c>
      <c r="H2719" s="86">
        <v>17</v>
      </c>
      <c r="I2719" s="86">
        <v>102</v>
      </c>
      <c r="J2719" s="87">
        <v>1</v>
      </c>
      <c r="K2719" s="87">
        <v>1</v>
      </c>
      <c r="L2719" s="87">
        <v>5</v>
      </c>
      <c r="M2719" s="87"/>
      <c r="N2719" s="87"/>
      <c r="O2719" s="87">
        <v>2</v>
      </c>
      <c r="P2719" s="87"/>
      <c r="Q2719" s="87"/>
      <c r="R2719" s="87"/>
      <c r="S2719" s="87"/>
      <c r="T2719" s="87"/>
      <c r="U2719" s="87"/>
      <c r="V2719" s="87">
        <v>6</v>
      </c>
      <c r="W2719" s="87"/>
      <c r="X2719" s="87">
        <v>2</v>
      </c>
      <c r="Y2719" s="87"/>
      <c r="Z2719" s="87"/>
      <c r="AA2719" s="87"/>
      <c r="AB2719" s="87"/>
      <c r="AC2719" s="87"/>
      <c r="AD2719" s="87"/>
      <c r="AE2719" s="87"/>
      <c r="AF2719" s="87"/>
      <c r="AG2719" s="87"/>
      <c r="AH2719" s="87">
        <v>17</v>
      </c>
      <c r="AI2719" s="87"/>
      <c r="AJ2719" s="87"/>
      <c r="AK2719" s="87"/>
      <c r="AL2719" s="87"/>
      <c r="AM2719" s="87"/>
      <c r="AN2719" s="87"/>
      <c r="AO2719" s="87">
        <v>3</v>
      </c>
      <c r="AP2719" s="87">
        <v>1</v>
      </c>
      <c r="AQ2719" s="87">
        <v>2</v>
      </c>
      <c r="AR2719" s="87">
        <v>1</v>
      </c>
      <c r="AS2719" s="87">
        <v>1</v>
      </c>
      <c r="AT2719" s="87">
        <v>1</v>
      </c>
      <c r="AU2719" s="87">
        <v>6</v>
      </c>
      <c r="AV2719" s="87">
        <v>2</v>
      </c>
      <c r="AW2719" s="88" t="str">
        <f>HYPERLINK("http://www.openstreetmap.org/?mlat=35.5188&amp;mlon=45.2468&amp;zoom=12#map=12/35.5188/45.2468","Maplink1")</f>
        <v>Maplink1</v>
      </c>
      <c r="AX2719" s="88" t="str">
        <f>HYPERLINK("https://www.google.iq/maps/search/+35.5188,45.2468/@35.5188,45.2468,14z?hl=en","Maplink2")</f>
        <v>Maplink2</v>
      </c>
      <c r="AY2719" s="88" t="str">
        <f>HYPERLINK("http://www.bing.com/maps/?lvl=14&amp;sty=h&amp;cp=35.5188~45.2468&amp;sp=point.35.5188_45.2468","Maplink3")</f>
        <v>Maplink3</v>
      </c>
      <c r="AZ2719" s="76"/>
    </row>
    <row r="2720" spans="1:52" x14ac:dyDescent="0.25">
      <c r="A2720" s="86">
        <v>4876</v>
      </c>
      <c r="B2720" s="87" t="s">
        <v>27</v>
      </c>
      <c r="C2720" s="87" t="s">
        <v>5030</v>
      </c>
      <c r="D2720" s="87" t="s">
        <v>5151</v>
      </c>
      <c r="E2720" s="87" t="s">
        <v>5152</v>
      </c>
      <c r="F2720" s="87">
        <v>35.575277399999997</v>
      </c>
      <c r="G2720" s="87">
        <v>45.138172699999998</v>
      </c>
      <c r="H2720" s="86">
        <v>16</v>
      </c>
      <c r="I2720" s="86">
        <v>96</v>
      </c>
      <c r="J2720" s="87">
        <v>2</v>
      </c>
      <c r="K2720" s="87"/>
      <c r="L2720" s="87">
        <v>2</v>
      </c>
      <c r="M2720" s="87"/>
      <c r="N2720" s="87"/>
      <c r="O2720" s="87"/>
      <c r="P2720" s="87"/>
      <c r="Q2720" s="87"/>
      <c r="R2720" s="87"/>
      <c r="S2720" s="87"/>
      <c r="T2720" s="87"/>
      <c r="U2720" s="87"/>
      <c r="V2720" s="87">
        <v>2</v>
      </c>
      <c r="W2720" s="87"/>
      <c r="X2720" s="87">
        <v>10</v>
      </c>
      <c r="Y2720" s="87"/>
      <c r="Z2720" s="87"/>
      <c r="AA2720" s="87"/>
      <c r="AB2720" s="87"/>
      <c r="AC2720" s="87"/>
      <c r="AD2720" s="87"/>
      <c r="AE2720" s="87"/>
      <c r="AF2720" s="87"/>
      <c r="AG2720" s="87"/>
      <c r="AH2720" s="87">
        <v>16</v>
      </c>
      <c r="AI2720" s="87"/>
      <c r="AJ2720" s="87"/>
      <c r="AK2720" s="87"/>
      <c r="AL2720" s="87"/>
      <c r="AM2720" s="87"/>
      <c r="AN2720" s="87"/>
      <c r="AO2720" s="87">
        <v>3</v>
      </c>
      <c r="AP2720" s="87"/>
      <c r="AQ2720" s="87">
        <v>4</v>
      </c>
      <c r="AR2720" s="87"/>
      <c r="AS2720" s="87">
        <v>2</v>
      </c>
      <c r="AT2720" s="87">
        <v>1</v>
      </c>
      <c r="AU2720" s="87"/>
      <c r="AV2720" s="87">
        <v>6</v>
      </c>
      <c r="AW2720" s="88" t="str">
        <f>HYPERLINK("http://www.openstreetmap.org/?mlat=35.5753&amp;mlon=45.1382&amp;zoom=12#map=12/35.5753/45.1382","Maplink1")</f>
        <v>Maplink1</v>
      </c>
      <c r="AX2720" s="88" t="str">
        <f>HYPERLINK("https://www.google.iq/maps/search/+35.5753,45.1382/@35.5753,45.1382,14z?hl=en","Maplink2")</f>
        <v>Maplink2</v>
      </c>
      <c r="AY2720" s="88" t="str">
        <f>HYPERLINK("http://www.bing.com/maps/?lvl=14&amp;sty=h&amp;cp=35.5753~45.1382&amp;sp=point.35.5753_45.1382","Maplink3")</f>
        <v>Maplink3</v>
      </c>
      <c r="AZ2720" s="76"/>
    </row>
    <row r="2721" spans="1:52" x14ac:dyDescent="0.25">
      <c r="A2721" s="86">
        <v>4557</v>
      </c>
      <c r="B2721" s="87" t="s">
        <v>27</v>
      </c>
      <c r="C2721" s="87" t="s">
        <v>5030</v>
      </c>
      <c r="D2721" s="87" t="s">
        <v>5153</v>
      </c>
      <c r="E2721" s="87" t="s">
        <v>5154</v>
      </c>
      <c r="F2721" s="87">
        <v>35.524413899999999</v>
      </c>
      <c r="G2721" s="87">
        <v>45.198104499999999</v>
      </c>
      <c r="H2721" s="86">
        <v>21</v>
      </c>
      <c r="I2721" s="86">
        <v>126</v>
      </c>
      <c r="J2721" s="87">
        <v>2</v>
      </c>
      <c r="K2721" s="87"/>
      <c r="L2721" s="87">
        <v>8</v>
      </c>
      <c r="M2721" s="87"/>
      <c r="N2721" s="87"/>
      <c r="O2721" s="87"/>
      <c r="P2721" s="87"/>
      <c r="Q2721" s="87"/>
      <c r="R2721" s="87"/>
      <c r="S2721" s="87"/>
      <c r="T2721" s="87"/>
      <c r="U2721" s="87"/>
      <c r="V2721" s="87"/>
      <c r="W2721" s="87"/>
      <c r="X2721" s="87">
        <v>11</v>
      </c>
      <c r="Y2721" s="87"/>
      <c r="Z2721" s="87"/>
      <c r="AA2721" s="87"/>
      <c r="AB2721" s="87"/>
      <c r="AC2721" s="87"/>
      <c r="AD2721" s="87"/>
      <c r="AE2721" s="87"/>
      <c r="AF2721" s="87"/>
      <c r="AG2721" s="87"/>
      <c r="AH2721" s="87">
        <v>21</v>
      </c>
      <c r="AI2721" s="87"/>
      <c r="AJ2721" s="87"/>
      <c r="AK2721" s="87"/>
      <c r="AL2721" s="87"/>
      <c r="AM2721" s="87"/>
      <c r="AN2721" s="87"/>
      <c r="AO2721" s="87">
        <v>7</v>
      </c>
      <c r="AP2721" s="87">
        <v>2</v>
      </c>
      <c r="AQ2721" s="87">
        <v>4</v>
      </c>
      <c r="AR2721" s="87">
        <v>1</v>
      </c>
      <c r="AS2721" s="87">
        <v>2</v>
      </c>
      <c r="AT2721" s="87"/>
      <c r="AU2721" s="87"/>
      <c r="AV2721" s="87">
        <v>5</v>
      </c>
      <c r="AW2721" s="88" t="str">
        <f>HYPERLINK("http://www.openstreetmap.org/?mlat=35.5244&amp;mlon=45.1981&amp;zoom=12#map=12/35.5244/45.1981","Maplink1")</f>
        <v>Maplink1</v>
      </c>
      <c r="AX2721" s="88" t="str">
        <f>HYPERLINK("https://www.google.iq/maps/search/+35.5244,45.1981/@35.5244,45.1981,14z?hl=en","Maplink2")</f>
        <v>Maplink2</v>
      </c>
      <c r="AY2721" s="88" t="str">
        <f>HYPERLINK("http://www.bing.com/maps/?lvl=14&amp;sty=h&amp;cp=35.5244~45.1981&amp;sp=point.35.5244_45.1981","Maplink3")</f>
        <v>Maplink3</v>
      </c>
      <c r="AZ2721" s="76"/>
    </row>
    <row r="2722" spans="1:52" x14ac:dyDescent="0.25">
      <c r="A2722" s="86">
        <v>4684</v>
      </c>
      <c r="B2722" s="87" t="s">
        <v>27</v>
      </c>
      <c r="C2722" s="87" t="s">
        <v>5030</v>
      </c>
      <c r="D2722" s="87" t="s">
        <v>5155</v>
      </c>
      <c r="E2722" s="87" t="s">
        <v>5156</v>
      </c>
      <c r="F2722" s="87">
        <v>35.485391399999997</v>
      </c>
      <c r="G2722" s="87">
        <v>45.287318800000001</v>
      </c>
      <c r="H2722" s="86">
        <v>11</v>
      </c>
      <c r="I2722" s="86">
        <v>66</v>
      </c>
      <c r="J2722" s="87"/>
      <c r="K2722" s="87"/>
      <c r="L2722" s="87">
        <v>2</v>
      </c>
      <c r="M2722" s="87"/>
      <c r="N2722" s="87"/>
      <c r="O2722" s="87"/>
      <c r="P2722" s="87"/>
      <c r="Q2722" s="87"/>
      <c r="R2722" s="87"/>
      <c r="S2722" s="87"/>
      <c r="T2722" s="87"/>
      <c r="U2722" s="87"/>
      <c r="V2722" s="87">
        <v>7</v>
      </c>
      <c r="W2722" s="87"/>
      <c r="X2722" s="87">
        <v>2</v>
      </c>
      <c r="Y2722" s="87"/>
      <c r="Z2722" s="87"/>
      <c r="AA2722" s="87"/>
      <c r="AB2722" s="87"/>
      <c r="AC2722" s="87"/>
      <c r="AD2722" s="87"/>
      <c r="AE2722" s="87"/>
      <c r="AF2722" s="87"/>
      <c r="AG2722" s="87"/>
      <c r="AH2722" s="87">
        <v>11</v>
      </c>
      <c r="AI2722" s="87"/>
      <c r="AJ2722" s="87"/>
      <c r="AK2722" s="87"/>
      <c r="AL2722" s="87"/>
      <c r="AM2722" s="87"/>
      <c r="AN2722" s="87"/>
      <c r="AO2722" s="87">
        <v>5</v>
      </c>
      <c r="AP2722" s="87">
        <v>1</v>
      </c>
      <c r="AQ2722" s="87">
        <v>2</v>
      </c>
      <c r="AR2722" s="87"/>
      <c r="AS2722" s="87"/>
      <c r="AT2722" s="87"/>
      <c r="AU2722" s="87"/>
      <c r="AV2722" s="87">
        <v>3</v>
      </c>
      <c r="AW2722" s="88" t="str">
        <f>HYPERLINK("http://www.openstreetmap.org/?mlat=35.4854&amp;mlon=45.2873&amp;zoom=12#map=12/35.4854/45.2873","Maplink1")</f>
        <v>Maplink1</v>
      </c>
      <c r="AX2722" s="88" t="str">
        <f>HYPERLINK("https://www.google.iq/maps/search/+35.4854,45.2873/@35.4854,45.2873,14z?hl=en","Maplink2")</f>
        <v>Maplink2</v>
      </c>
      <c r="AY2722" s="88" t="str">
        <f>HYPERLINK("http://www.bing.com/maps/?lvl=14&amp;sty=h&amp;cp=35.4854~45.2873&amp;sp=point.35.4854_45.2873","Maplink3")</f>
        <v>Maplink3</v>
      </c>
      <c r="AZ2722" s="76"/>
    </row>
    <row r="2723" spans="1:52" x14ac:dyDescent="0.25">
      <c r="A2723" s="86">
        <v>4964</v>
      </c>
      <c r="B2723" s="87" t="s">
        <v>27</v>
      </c>
      <c r="C2723" s="87" t="s">
        <v>5030</v>
      </c>
      <c r="D2723" s="87" t="s">
        <v>5157</v>
      </c>
      <c r="E2723" s="87" t="s">
        <v>5158</v>
      </c>
      <c r="F2723" s="87">
        <v>35.558439399999997</v>
      </c>
      <c r="G2723" s="87">
        <v>45.2059408</v>
      </c>
      <c r="H2723" s="86">
        <v>96</v>
      </c>
      <c r="I2723" s="86">
        <v>576</v>
      </c>
      <c r="J2723" s="87">
        <v>11</v>
      </c>
      <c r="K2723" s="87">
        <v>3</v>
      </c>
      <c r="L2723" s="87">
        <v>17</v>
      </c>
      <c r="M2723" s="87"/>
      <c r="N2723" s="87"/>
      <c r="O2723" s="87">
        <v>4</v>
      </c>
      <c r="P2723" s="87"/>
      <c r="Q2723" s="87"/>
      <c r="R2723" s="87"/>
      <c r="S2723" s="87"/>
      <c r="T2723" s="87"/>
      <c r="U2723" s="87"/>
      <c r="V2723" s="87">
        <v>30</v>
      </c>
      <c r="W2723" s="87"/>
      <c r="X2723" s="87">
        <v>31</v>
      </c>
      <c r="Y2723" s="87"/>
      <c r="Z2723" s="87"/>
      <c r="AA2723" s="87"/>
      <c r="AB2723" s="87"/>
      <c r="AC2723" s="87"/>
      <c r="AD2723" s="87"/>
      <c r="AE2723" s="87"/>
      <c r="AF2723" s="87"/>
      <c r="AG2723" s="87"/>
      <c r="AH2723" s="87">
        <v>96</v>
      </c>
      <c r="AI2723" s="87"/>
      <c r="AJ2723" s="87"/>
      <c r="AK2723" s="87"/>
      <c r="AL2723" s="87"/>
      <c r="AM2723" s="87"/>
      <c r="AN2723" s="87"/>
      <c r="AO2723" s="87">
        <v>24</v>
      </c>
      <c r="AP2723" s="87">
        <v>15</v>
      </c>
      <c r="AQ2723" s="87">
        <v>16</v>
      </c>
      <c r="AR2723" s="87">
        <v>7</v>
      </c>
      <c r="AS2723" s="87">
        <v>6</v>
      </c>
      <c r="AT2723" s="87">
        <v>1</v>
      </c>
      <c r="AU2723" s="87">
        <v>5</v>
      </c>
      <c r="AV2723" s="87">
        <v>22</v>
      </c>
      <c r="AW2723" s="88" t="str">
        <f>HYPERLINK("http://www.openstreetmap.org/?mlat=35.5584&amp;mlon=45.2059&amp;zoom=12#map=12/35.5584/45.2059","Maplink1")</f>
        <v>Maplink1</v>
      </c>
      <c r="AX2723" s="88" t="str">
        <f>HYPERLINK("https://www.google.iq/maps/search/+35.5584,45.2059/@35.5584,45.2059,14z?hl=en","Maplink2")</f>
        <v>Maplink2</v>
      </c>
      <c r="AY2723" s="88" t="str">
        <f>HYPERLINK("http://www.bing.com/maps/?lvl=14&amp;sty=h&amp;cp=35.5584~45.2059&amp;sp=point.35.5584_45.2059","Maplink3")</f>
        <v>Maplink3</v>
      </c>
      <c r="AZ2723" s="76"/>
    </row>
    <row r="2724" spans="1:52" x14ac:dyDescent="0.25">
      <c r="A2724" s="86">
        <v>5808</v>
      </c>
      <c r="B2724" s="87" t="s">
        <v>27</v>
      </c>
      <c r="C2724" s="87" t="s">
        <v>5030</v>
      </c>
      <c r="D2724" s="87" t="s">
        <v>5159</v>
      </c>
      <c r="E2724" s="87" t="s">
        <v>5160</v>
      </c>
      <c r="F2724" s="87">
        <v>35.565757300000001</v>
      </c>
      <c r="G2724" s="87">
        <v>45.195429699999998</v>
      </c>
      <c r="H2724" s="86">
        <v>44</v>
      </c>
      <c r="I2724" s="86">
        <v>264</v>
      </c>
      <c r="J2724" s="87"/>
      <c r="K2724" s="87">
        <v>1</v>
      </c>
      <c r="L2724" s="87">
        <v>3</v>
      </c>
      <c r="M2724" s="87"/>
      <c r="N2724" s="87"/>
      <c r="O2724" s="87"/>
      <c r="P2724" s="87"/>
      <c r="Q2724" s="87"/>
      <c r="R2724" s="87"/>
      <c r="S2724" s="87"/>
      <c r="T2724" s="87"/>
      <c r="U2724" s="87"/>
      <c r="V2724" s="87">
        <v>28</v>
      </c>
      <c r="W2724" s="87"/>
      <c r="X2724" s="87">
        <v>12</v>
      </c>
      <c r="Y2724" s="87"/>
      <c r="Z2724" s="87"/>
      <c r="AA2724" s="87"/>
      <c r="AB2724" s="87"/>
      <c r="AC2724" s="87"/>
      <c r="AD2724" s="87"/>
      <c r="AE2724" s="87"/>
      <c r="AF2724" s="87"/>
      <c r="AG2724" s="87"/>
      <c r="AH2724" s="87">
        <v>44</v>
      </c>
      <c r="AI2724" s="87"/>
      <c r="AJ2724" s="87"/>
      <c r="AK2724" s="87"/>
      <c r="AL2724" s="87"/>
      <c r="AM2724" s="87"/>
      <c r="AN2724" s="87"/>
      <c r="AO2724" s="87">
        <v>11</v>
      </c>
      <c r="AP2724" s="87">
        <v>4</v>
      </c>
      <c r="AQ2724" s="87">
        <v>6</v>
      </c>
      <c r="AR2724" s="87">
        <v>10</v>
      </c>
      <c r="AS2724" s="87">
        <v>3</v>
      </c>
      <c r="AT2724" s="87">
        <v>1</v>
      </c>
      <c r="AU2724" s="87">
        <v>1</v>
      </c>
      <c r="AV2724" s="87">
        <v>8</v>
      </c>
      <c r="AW2724" s="88" t="str">
        <f>HYPERLINK("http://www.openstreetmap.org/?mlat=35.5658&amp;mlon=45.1954&amp;zoom=12#map=12/35.5658/45.1954","Maplink1")</f>
        <v>Maplink1</v>
      </c>
      <c r="AX2724" s="88" t="str">
        <f>HYPERLINK("https://www.google.iq/maps/search/+35.5658,45.1954/@35.5658,45.1954,14z?hl=en","Maplink2")</f>
        <v>Maplink2</v>
      </c>
      <c r="AY2724" s="88" t="str">
        <f>HYPERLINK("http://www.bing.com/maps/?lvl=14&amp;sty=h&amp;cp=35.5658~45.1954&amp;sp=point.35.5658_45.1954","Maplink3")</f>
        <v>Maplink3</v>
      </c>
      <c r="AZ2724" s="76"/>
    </row>
    <row r="2725" spans="1:52" x14ac:dyDescent="0.25">
      <c r="A2725" s="86">
        <v>5806</v>
      </c>
      <c r="B2725" s="87" t="s">
        <v>27</v>
      </c>
      <c r="C2725" s="87" t="s">
        <v>5030</v>
      </c>
      <c r="D2725" s="87" t="s">
        <v>5161</v>
      </c>
      <c r="E2725" s="87" t="s">
        <v>5162</v>
      </c>
      <c r="F2725" s="87">
        <v>35.614800000000002</v>
      </c>
      <c r="G2725" s="87">
        <v>45.103979699999996</v>
      </c>
      <c r="H2725" s="86">
        <v>34</v>
      </c>
      <c r="I2725" s="86">
        <v>204</v>
      </c>
      <c r="J2725" s="87">
        <v>12</v>
      </c>
      <c r="K2725" s="87"/>
      <c r="L2725" s="87">
        <v>3</v>
      </c>
      <c r="M2725" s="87"/>
      <c r="N2725" s="87"/>
      <c r="O2725" s="87">
        <v>1</v>
      </c>
      <c r="P2725" s="87"/>
      <c r="Q2725" s="87"/>
      <c r="R2725" s="87"/>
      <c r="S2725" s="87"/>
      <c r="T2725" s="87"/>
      <c r="U2725" s="87"/>
      <c r="V2725" s="87">
        <v>7</v>
      </c>
      <c r="W2725" s="87"/>
      <c r="X2725" s="87">
        <v>11</v>
      </c>
      <c r="Y2725" s="87"/>
      <c r="Z2725" s="87"/>
      <c r="AA2725" s="87"/>
      <c r="AB2725" s="87"/>
      <c r="AC2725" s="87"/>
      <c r="AD2725" s="87"/>
      <c r="AE2725" s="87"/>
      <c r="AF2725" s="87"/>
      <c r="AG2725" s="87"/>
      <c r="AH2725" s="87">
        <v>33</v>
      </c>
      <c r="AI2725" s="87"/>
      <c r="AJ2725" s="87"/>
      <c r="AK2725" s="87"/>
      <c r="AL2725" s="87">
        <v>1</v>
      </c>
      <c r="AM2725" s="87"/>
      <c r="AN2725" s="87">
        <v>1</v>
      </c>
      <c r="AO2725" s="87">
        <v>6</v>
      </c>
      <c r="AP2725" s="87">
        <v>3</v>
      </c>
      <c r="AQ2725" s="87">
        <v>5</v>
      </c>
      <c r="AR2725" s="87">
        <v>3</v>
      </c>
      <c r="AS2725" s="87">
        <v>1</v>
      </c>
      <c r="AT2725" s="87"/>
      <c r="AU2725" s="87">
        <v>6</v>
      </c>
      <c r="AV2725" s="87">
        <v>9</v>
      </c>
      <c r="AW2725" s="88" t="str">
        <f>HYPERLINK("http://www.openstreetmap.org/?mlat=35.6148&amp;mlon=45.104&amp;zoom=12#map=12/35.6148/45.104","Maplink1")</f>
        <v>Maplink1</v>
      </c>
      <c r="AX2725" s="88" t="str">
        <f>HYPERLINK("https://www.google.iq/maps/search/+35.6148,45.104/@35.6148,45.104,14z?hl=en","Maplink2")</f>
        <v>Maplink2</v>
      </c>
      <c r="AY2725" s="88" t="str">
        <f>HYPERLINK("http://www.bing.com/maps/?lvl=14&amp;sty=h&amp;cp=35.6148~45.104&amp;sp=point.35.6148_45.104","Maplink3")</f>
        <v>Maplink3</v>
      </c>
      <c r="AZ2725" s="76"/>
    </row>
    <row r="2726" spans="1:52" x14ac:dyDescent="0.25">
      <c r="A2726" s="86">
        <v>5116</v>
      </c>
      <c r="B2726" s="87" t="s">
        <v>27</v>
      </c>
      <c r="C2726" s="87" t="s">
        <v>5030</v>
      </c>
      <c r="D2726" s="87" t="s">
        <v>5163</v>
      </c>
      <c r="E2726" s="87" t="s">
        <v>5164</v>
      </c>
      <c r="F2726" s="87">
        <v>35.562925800000002</v>
      </c>
      <c r="G2726" s="87">
        <v>45.158147399999997</v>
      </c>
      <c r="H2726" s="86">
        <v>42</v>
      </c>
      <c r="I2726" s="86">
        <v>252</v>
      </c>
      <c r="J2726" s="87">
        <v>7</v>
      </c>
      <c r="K2726" s="87"/>
      <c r="L2726" s="87">
        <v>3</v>
      </c>
      <c r="M2726" s="87"/>
      <c r="N2726" s="87"/>
      <c r="O2726" s="87"/>
      <c r="P2726" s="87"/>
      <c r="Q2726" s="87"/>
      <c r="R2726" s="87"/>
      <c r="S2726" s="87"/>
      <c r="T2726" s="87"/>
      <c r="U2726" s="87"/>
      <c r="V2726" s="87">
        <v>19</v>
      </c>
      <c r="W2726" s="87"/>
      <c r="X2726" s="87">
        <v>13</v>
      </c>
      <c r="Y2726" s="87"/>
      <c r="Z2726" s="87"/>
      <c r="AA2726" s="87"/>
      <c r="AB2726" s="87"/>
      <c r="AC2726" s="87"/>
      <c r="AD2726" s="87"/>
      <c r="AE2726" s="87"/>
      <c r="AF2726" s="87"/>
      <c r="AG2726" s="87"/>
      <c r="AH2726" s="87">
        <v>42</v>
      </c>
      <c r="AI2726" s="87"/>
      <c r="AJ2726" s="87"/>
      <c r="AK2726" s="87"/>
      <c r="AL2726" s="87"/>
      <c r="AM2726" s="87"/>
      <c r="AN2726" s="87">
        <v>2</v>
      </c>
      <c r="AO2726" s="87">
        <v>12</v>
      </c>
      <c r="AP2726" s="87">
        <v>16</v>
      </c>
      <c r="AQ2726" s="87">
        <v>7</v>
      </c>
      <c r="AR2726" s="87"/>
      <c r="AS2726" s="87"/>
      <c r="AT2726" s="87"/>
      <c r="AU2726" s="87"/>
      <c r="AV2726" s="87">
        <v>5</v>
      </c>
      <c r="AW2726" s="88" t="str">
        <f>HYPERLINK("http://www.openstreetmap.org/?mlat=35.5629&amp;mlon=45.1581&amp;zoom=12#map=12/35.5629/45.1581","Maplink1")</f>
        <v>Maplink1</v>
      </c>
      <c r="AX2726" s="88" t="str">
        <f>HYPERLINK("https://www.google.iq/maps/search/+35.5629,45.1581/@35.5629,45.1581,14z?hl=en","Maplink2")</f>
        <v>Maplink2</v>
      </c>
      <c r="AY2726" s="88" t="str">
        <f>HYPERLINK("http://www.bing.com/maps/?lvl=14&amp;sty=h&amp;cp=35.5629~45.1581&amp;sp=point.35.5629_45.1581","Maplink3")</f>
        <v>Maplink3</v>
      </c>
      <c r="AZ2726" s="76"/>
    </row>
    <row r="2727" spans="1:52" x14ac:dyDescent="0.25">
      <c r="A2727" s="86">
        <v>31964</v>
      </c>
      <c r="B2727" s="87" t="s">
        <v>27</v>
      </c>
      <c r="C2727" s="87" t="s">
        <v>5030</v>
      </c>
      <c r="D2727" s="87" t="s">
        <v>5165</v>
      </c>
      <c r="E2727" s="87" t="s">
        <v>5166</v>
      </c>
      <c r="F2727" s="87">
        <v>35.523866699999999</v>
      </c>
      <c r="G2727" s="87">
        <v>45.215774600000003</v>
      </c>
      <c r="H2727" s="86">
        <v>14</v>
      </c>
      <c r="I2727" s="86">
        <v>84</v>
      </c>
      <c r="J2727" s="87">
        <v>1</v>
      </c>
      <c r="K2727" s="87"/>
      <c r="L2727" s="87">
        <v>1</v>
      </c>
      <c r="M2727" s="87"/>
      <c r="N2727" s="87"/>
      <c r="O2727" s="87">
        <v>2</v>
      </c>
      <c r="P2727" s="87"/>
      <c r="Q2727" s="87"/>
      <c r="R2727" s="87"/>
      <c r="S2727" s="87"/>
      <c r="T2727" s="87"/>
      <c r="U2727" s="87"/>
      <c r="V2727" s="87">
        <v>1</v>
      </c>
      <c r="W2727" s="87"/>
      <c r="X2727" s="87">
        <v>9</v>
      </c>
      <c r="Y2727" s="87"/>
      <c r="Z2727" s="87"/>
      <c r="AA2727" s="87"/>
      <c r="AB2727" s="87"/>
      <c r="AC2727" s="87"/>
      <c r="AD2727" s="87"/>
      <c r="AE2727" s="87"/>
      <c r="AF2727" s="87"/>
      <c r="AG2727" s="87"/>
      <c r="AH2727" s="87">
        <v>14</v>
      </c>
      <c r="AI2727" s="87"/>
      <c r="AJ2727" s="87"/>
      <c r="AK2727" s="87"/>
      <c r="AL2727" s="87"/>
      <c r="AM2727" s="87"/>
      <c r="AN2727" s="87"/>
      <c r="AO2727" s="87"/>
      <c r="AP2727" s="87">
        <v>1</v>
      </c>
      <c r="AQ2727" s="87">
        <v>1</v>
      </c>
      <c r="AR2727" s="87">
        <v>2</v>
      </c>
      <c r="AS2727" s="87"/>
      <c r="AT2727" s="87">
        <v>1</v>
      </c>
      <c r="AU2727" s="87">
        <v>4</v>
      </c>
      <c r="AV2727" s="87">
        <v>5</v>
      </c>
      <c r="AW2727" s="88" t="str">
        <f>HYPERLINK("http://www.openstreetmap.org/?mlat=35.5239&amp;mlon=45.2158&amp;zoom=12#map=12/35.5239/45.2158","Maplink1")</f>
        <v>Maplink1</v>
      </c>
      <c r="AX2727" s="88" t="str">
        <f>HYPERLINK("https://www.google.iq/maps/search/+35.5239,45.2158/@35.5239,45.2158,14z?hl=en","Maplink2")</f>
        <v>Maplink2</v>
      </c>
      <c r="AY2727" s="88" t="str">
        <f>HYPERLINK("http://www.bing.com/maps/?lvl=14&amp;sty=h&amp;cp=35.5239~45.2158&amp;sp=point.35.5239_45.2158","Maplink3")</f>
        <v>Maplink3</v>
      </c>
      <c r="AZ2727" s="76"/>
    </row>
    <row r="2728" spans="1:52" x14ac:dyDescent="0.25">
      <c r="A2728" s="86">
        <v>28414</v>
      </c>
      <c r="B2728" s="87" t="s">
        <v>27</v>
      </c>
      <c r="C2728" s="87" t="s">
        <v>5030</v>
      </c>
      <c r="D2728" s="87" t="s">
        <v>5167</v>
      </c>
      <c r="E2728" s="87" t="s">
        <v>4648</v>
      </c>
      <c r="F2728" s="87">
        <v>35.592985499999998</v>
      </c>
      <c r="G2728" s="87">
        <v>45.399720500000001</v>
      </c>
      <c r="H2728" s="86">
        <v>108</v>
      </c>
      <c r="I2728" s="86">
        <v>648</v>
      </c>
      <c r="J2728" s="87">
        <v>55</v>
      </c>
      <c r="K2728" s="87"/>
      <c r="L2728" s="87">
        <v>18</v>
      </c>
      <c r="M2728" s="87"/>
      <c r="N2728" s="87"/>
      <c r="O2728" s="87"/>
      <c r="P2728" s="87"/>
      <c r="Q2728" s="87"/>
      <c r="R2728" s="87">
        <v>20</v>
      </c>
      <c r="S2728" s="87"/>
      <c r="T2728" s="87"/>
      <c r="U2728" s="87"/>
      <c r="V2728" s="87"/>
      <c r="W2728" s="87"/>
      <c r="X2728" s="87">
        <v>15</v>
      </c>
      <c r="Y2728" s="87"/>
      <c r="Z2728" s="87"/>
      <c r="AA2728" s="87"/>
      <c r="AB2728" s="87"/>
      <c r="AC2728" s="87"/>
      <c r="AD2728" s="87"/>
      <c r="AE2728" s="87"/>
      <c r="AF2728" s="87"/>
      <c r="AG2728" s="87"/>
      <c r="AH2728" s="87">
        <v>108</v>
      </c>
      <c r="AI2728" s="87"/>
      <c r="AJ2728" s="87"/>
      <c r="AK2728" s="87"/>
      <c r="AL2728" s="87"/>
      <c r="AM2728" s="87"/>
      <c r="AN2728" s="87">
        <v>11</v>
      </c>
      <c r="AO2728" s="87">
        <v>15</v>
      </c>
      <c r="AP2728" s="87"/>
      <c r="AQ2728" s="87">
        <v>19</v>
      </c>
      <c r="AR2728" s="87">
        <v>12</v>
      </c>
      <c r="AS2728" s="87">
        <v>19</v>
      </c>
      <c r="AT2728" s="87">
        <v>2</v>
      </c>
      <c r="AU2728" s="87">
        <v>30</v>
      </c>
      <c r="AV2728" s="87"/>
      <c r="AW2728" s="88" t="str">
        <f>HYPERLINK("http://www.openstreetmap.org/?mlat=35.593&amp;mlon=45.3997&amp;zoom=12#map=12/35.593/45.3997","Maplink1")</f>
        <v>Maplink1</v>
      </c>
      <c r="AX2728" s="88" t="str">
        <f>HYPERLINK("https://www.google.iq/maps/search/+35.593,45.3997/@35.593,45.3997,14z?hl=en","Maplink2")</f>
        <v>Maplink2</v>
      </c>
      <c r="AY2728" s="88" t="str">
        <f>HYPERLINK("http://www.bing.com/maps/?lvl=14&amp;sty=h&amp;cp=35.593~45.3997&amp;sp=point.35.593_45.3997","Maplink3")</f>
        <v>Maplink3</v>
      </c>
      <c r="AZ2728" s="76"/>
    </row>
    <row r="2729" spans="1:52" x14ac:dyDescent="0.25">
      <c r="A2729" s="86">
        <v>31985</v>
      </c>
      <c r="B2729" s="87" t="s">
        <v>27</v>
      </c>
      <c r="C2729" s="87" t="s">
        <v>5030</v>
      </c>
      <c r="D2729" s="87" t="s">
        <v>5168</v>
      </c>
      <c r="E2729" s="87" t="s">
        <v>5169</v>
      </c>
      <c r="F2729" s="87">
        <v>35.576205000000002</v>
      </c>
      <c r="G2729" s="87">
        <v>45.411429800000001</v>
      </c>
      <c r="H2729" s="86">
        <v>38</v>
      </c>
      <c r="I2729" s="86">
        <v>228</v>
      </c>
      <c r="J2729" s="87">
        <v>10</v>
      </c>
      <c r="K2729" s="87">
        <v>2</v>
      </c>
      <c r="L2729" s="87">
        <v>20</v>
      </c>
      <c r="M2729" s="87"/>
      <c r="N2729" s="87"/>
      <c r="O2729" s="87">
        <v>3</v>
      </c>
      <c r="P2729" s="87"/>
      <c r="Q2729" s="87"/>
      <c r="R2729" s="87"/>
      <c r="S2729" s="87"/>
      <c r="T2729" s="87"/>
      <c r="U2729" s="87"/>
      <c r="V2729" s="87">
        <v>1</v>
      </c>
      <c r="W2729" s="87"/>
      <c r="X2729" s="87">
        <v>2</v>
      </c>
      <c r="Y2729" s="87"/>
      <c r="Z2729" s="87"/>
      <c r="AA2729" s="87"/>
      <c r="AB2729" s="87"/>
      <c r="AC2729" s="87"/>
      <c r="AD2729" s="87"/>
      <c r="AE2729" s="87"/>
      <c r="AF2729" s="87"/>
      <c r="AG2729" s="87"/>
      <c r="AH2729" s="87">
        <v>38</v>
      </c>
      <c r="AI2729" s="87"/>
      <c r="AJ2729" s="87"/>
      <c r="AK2729" s="87"/>
      <c r="AL2729" s="87"/>
      <c r="AM2729" s="87"/>
      <c r="AN2729" s="87">
        <v>1</v>
      </c>
      <c r="AO2729" s="87">
        <v>7</v>
      </c>
      <c r="AP2729" s="87"/>
      <c r="AQ2729" s="87">
        <v>15</v>
      </c>
      <c r="AR2729" s="87">
        <v>2</v>
      </c>
      <c r="AS2729" s="87">
        <v>6</v>
      </c>
      <c r="AT2729" s="87">
        <v>2</v>
      </c>
      <c r="AU2729" s="87">
        <v>4</v>
      </c>
      <c r="AV2729" s="87">
        <v>1</v>
      </c>
      <c r="AW2729" s="88" t="str">
        <f>HYPERLINK("http://www.openstreetmap.org/?mlat=35.5762&amp;mlon=45.4114&amp;zoom=12#map=12/35.5762/45.4114","Maplink1")</f>
        <v>Maplink1</v>
      </c>
      <c r="AX2729" s="88" t="str">
        <f>HYPERLINK("https://www.google.iq/maps/search/+35.5762,45.4114/@35.5762,45.4114,14z?hl=en","Maplink2")</f>
        <v>Maplink2</v>
      </c>
      <c r="AY2729" s="88" t="str">
        <f>HYPERLINK("http://www.bing.com/maps/?lvl=14&amp;sty=h&amp;cp=35.5762~45.4114&amp;sp=point.35.5762_45.4114","Maplink3")</f>
        <v>Maplink3</v>
      </c>
      <c r="AZ2729" s="76"/>
    </row>
    <row r="2730" spans="1:52" x14ac:dyDescent="0.25">
      <c r="A2730" s="86">
        <v>31864</v>
      </c>
      <c r="B2730" s="87" t="s">
        <v>27</v>
      </c>
      <c r="C2730" s="87" t="s">
        <v>5030</v>
      </c>
      <c r="D2730" s="87" t="s">
        <v>5170</v>
      </c>
      <c r="E2730" s="87" t="s">
        <v>5171</v>
      </c>
      <c r="F2730" s="87">
        <v>35.476396200000003</v>
      </c>
      <c r="G2730" s="87">
        <v>45.438349500000001</v>
      </c>
      <c r="H2730" s="86">
        <v>11</v>
      </c>
      <c r="I2730" s="86">
        <v>66</v>
      </c>
      <c r="J2730" s="87">
        <v>1</v>
      </c>
      <c r="K2730" s="87"/>
      <c r="L2730" s="87">
        <v>1</v>
      </c>
      <c r="M2730" s="87"/>
      <c r="N2730" s="87"/>
      <c r="O2730" s="87"/>
      <c r="P2730" s="87"/>
      <c r="Q2730" s="87"/>
      <c r="R2730" s="87"/>
      <c r="S2730" s="87"/>
      <c r="T2730" s="87"/>
      <c r="U2730" s="87"/>
      <c r="V2730" s="87">
        <v>8</v>
      </c>
      <c r="W2730" s="87"/>
      <c r="X2730" s="87">
        <v>1</v>
      </c>
      <c r="Y2730" s="87"/>
      <c r="Z2730" s="87"/>
      <c r="AA2730" s="87"/>
      <c r="AB2730" s="87"/>
      <c r="AC2730" s="87"/>
      <c r="AD2730" s="87"/>
      <c r="AE2730" s="87"/>
      <c r="AF2730" s="87"/>
      <c r="AG2730" s="87"/>
      <c r="AH2730" s="87">
        <v>11</v>
      </c>
      <c r="AI2730" s="87"/>
      <c r="AJ2730" s="87"/>
      <c r="AK2730" s="87"/>
      <c r="AL2730" s="87"/>
      <c r="AM2730" s="87"/>
      <c r="AN2730" s="87">
        <v>1</v>
      </c>
      <c r="AO2730" s="87"/>
      <c r="AP2730" s="87">
        <v>8</v>
      </c>
      <c r="AQ2730" s="87">
        <v>1</v>
      </c>
      <c r="AR2730" s="87"/>
      <c r="AS2730" s="87"/>
      <c r="AT2730" s="87">
        <v>1</v>
      </c>
      <c r="AU2730" s="87"/>
      <c r="AV2730" s="87"/>
      <c r="AW2730" s="88" t="str">
        <f>HYPERLINK("http://www.openstreetmap.org/?mlat=35.4764&amp;mlon=45.4383&amp;zoom=12#map=12/35.4764/45.4383","Maplink1")</f>
        <v>Maplink1</v>
      </c>
      <c r="AX2730" s="88" t="str">
        <f>HYPERLINK("https://www.google.iq/maps/search/+35.4764,45.4383/@35.4764,45.4383,14z?hl=en","Maplink2")</f>
        <v>Maplink2</v>
      </c>
      <c r="AY2730" s="88" t="str">
        <f>HYPERLINK("http://www.bing.com/maps/?lvl=14&amp;sty=h&amp;cp=35.4764~45.4383&amp;sp=point.35.4764_45.4383","Maplink3")</f>
        <v>Maplink3</v>
      </c>
      <c r="AZ2730" s="76"/>
    </row>
    <row r="2731" spans="1:52" x14ac:dyDescent="0.25">
      <c r="A2731" s="86">
        <v>32002</v>
      </c>
      <c r="B2731" s="87" t="s">
        <v>27</v>
      </c>
      <c r="C2731" s="87" t="s">
        <v>5030</v>
      </c>
      <c r="D2731" s="87" t="s">
        <v>5172</v>
      </c>
      <c r="E2731" s="87" t="s">
        <v>5173</v>
      </c>
      <c r="F2731" s="87">
        <v>35.598490499999997</v>
      </c>
      <c r="G2731" s="87">
        <v>45.402226599999999</v>
      </c>
      <c r="H2731" s="86">
        <v>71</v>
      </c>
      <c r="I2731" s="86">
        <v>426</v>
      </c>
      <c r="J2731" s="87">
        <v>40</v>
      </c>
      <c r="K2731" s="87">
        <v>2</v>
      </c>
      <c r="L2731" s="87">
        <v>11</v>
      </c>
      <c r="M2731" s="87"/>
      <c r="N2731" s="87"/>
      <c r="O2731" s="87"/>
      <c r="P2731" s="87"/>
      <c r="Q2731" s="87"/>
      <c r="R2731" s="87">
        <v>8</v>
      </c>
      <c r="S2731" s="87"/>
      <c r="T2731" s="87"/>
      <c r="U2731" s="87"/>
      <c r="V2731" s="87">
        <v>3</v>
      </c>
      <c r="W2731" s="87"/>
      <c r="X2731" s="87">
        <v>7</v>
      </c>
      <c r="Y2731" s="87"/>
      <c r="Z2731" s="87"/>
      <c r="AA2731" s="87"/>
      <c r="AB2731" s="87"/>
      <c r="AC2731" s="87"/>
      <c r="AD2731" s="87"/>
      <c r="AE2731" s="87"/>
      <c r="AF2731" s="87"/>
      <c r="AG2731" s="87"/>
      <c r="AH2731" s="87">
        <v>71</v>
      </c>
      <c r="AI2731" s="87"/>
      <c r="AJ2731" s="87"/>
      <c r="AK2731" s="87"/>
      <c r="AL2731" s="87"/>
      <c r="AM2731" s="87"/>
      <c r="AN2731" s="87">
        <v>8</v>
      </c>
      <c r="AO2731" s="87">
        <v>10</v>
      </c>
      <c r="AP2731" s="87">
        <v>7</v>
      </c>
      <c r="AQ2731" s="87">
        <v>10</v>
      </c>
      <c r="AR2731" s="87">
        <v>13</v>
      </c>
      <c r="AS2731" s="87">
        <v>6</v>
      </c>
      <c r="AT2731" s="87">
        <v>1</v>
      </c>
      <c r="AU2731" s="87">
        <v>14</v>
      </c>
      <c r="AV2731" s="87">
        <v>2</v>
      </c>
      <c r="AW2731" s="88" t="str">
        <f>HYPERLINK("http://www.openstreetmap.org/?mlat=35.5985&amp;mlon=45.4022&amp;zoom=12#map=12/35.5985/45.4022","Maplink1")</f>
        <v>Maplink1</v>
      </c>
      <c r="AX2731" s="88" t="str">
        <f>HYPERLINK("https://www.google.iq/maps/search/+35.5985,45.4022/@35.5985,45.4022,14z?hl=en","Maplink2")</f>
        <v>Maplink2</v>
      </c>
      <c r="AY2731" s="88" t="str">
        <f>HYPERLINK("http://www.bing.com/maps/?lvl=14&amp;sty=h&amp;cp=35.5985~45.4022&amp;sp=point.35.5985_45.4022","Maplink3")</f>
        <v>Maplink3</v>
      </c>
      <c r="AZ2731" s="76"/>
    </row>
    <row r="2732" spans="1:52" x14ac:dyDescent="0.25">
      <c r="A2732" s="86">
        <v>31978</v>
      </c>
      <c r="B2732" s="87" t="s">
        <v>27</v>
      </c>
      <c r="C2732" s="87" t="s">
        <v>5030</v>
      </c>
      <c r="D2732" s="87" t="s">
        <v>5174</v>
      </c>
      <c r="E2732" s="87" t="s">
        <v>5175</v>
      </c>
      <c r="F2732" s="87">
        <v>35.524647000000002</v>
      </c>
      <c r="G2732" s="87">
        <v>45.445973899999998</v>
      </c>
      <c r="H2732" s="86">
        <v>110</v>
      </c>
      <c r="I2732" s="86">
        <v>660</v>
      </c>
      <c r="J2732" s="87">
        <v>38</v>
      </c>
      <c r="K2732" s="87">
        <v>2</v>
      </c>
      <c r="L2732" s="87">
        <v>15</v>
      </c>
      <c r="M2732" s="87"/>
      <c r="N2732" s="87"/>
      <c r="O2732" s="87">
        <v>7</v>
      </c>
      <c r="P2732" s="87"/>
      <c r="Q2732" s="87"/>
      <c r="R2732" s="87"/>
      <c r="S2732" s="87"/>
      <c r="T2732" s="87"/>
      <c r="U2732" s="87"/>
      <c r="V2732" s="87">
        <v>17</v>
      </c>
      <c r="W2732" s="87"/>
      <c r="X2732" s="87">
        <v>31</v>
      </c>
      <c r="Y2732" s="87"/>
      <c r="Z2732" s="87"/>
      <c r="AA2732" s="87"/>
      <c r="AB2732" s="87"/>
      <c r="AC2732" s="87"/>
      <c r="AD2732" s="87"/>
      <c r="AE2732" s="87"/>
      <c r="AF2732" s="87"/>
      <c r="AG2732" s="87"/>
      <c r="AH2732" s="87">
        <v>110</v>
      </c>
      <c r="AI2732" s="87"/>
      <c r="AJ2732" s="87"/>
      <c r="AK2732" s="87"/>
      <c r="AL2732" s="87"/>
      <c r="AM2732" s="87"/>
      <c r="AN2732" s="87">
        <v>16</v>
      </c>
      <c r="AO2732" s="87">
        <v>46</v>
      </c>
      <c r="AP2732" s="87">
        <v>8</v>
      </c>
      <c r="AQ2732" s="87">
        <v>33</v>
      </c>
      <c r="AR2732" s="87">
        <v>2</v>
      </c>
      <c r="AS2732" s="87"/>
      <c r="AT2732" s="87"/>
      <c r="AU2732" s="87">
        <v>2</v>
      </c>
      <c r="AV2732" s="87">
        <v>3</v>
      </c>
      <c r="AW2732" s="88" t="str">
        <f>HYPERLINK("http://www.openstreetmap.org/?mlat=35.5246&amp;mlon=45.446&amp;zoom=12#map=12/35.5246/45.446","Maplink1")</f>
        <v>Maplink1</v>
      </c>
      <c r="AX2732" s="88" t="str">
        <f>HYPERLINK("https://www.google.iq/maps/search/+35.5246,45.446/@35.5246,45.446,14z?hl=en","Maplink2")</f>
        <v>Maplink2</v>
      </c>
      <c r="AY2732" s="88" t="str">
        <f>HYPERLINK("http://www.bing.com/maps/?lvl=14&amp;sty=h&amp;cp=35.5246~45.446&amp;sp=point.35.5246_45.446","Maplink3")</f>
        <v>Maplink3</v>
      </c>
      <c r="AZ2732" s="76"/>
    </row>
    <row r="2733" spans="1:52" x14ac:dyDescent="0.25">
      <c r="A2733" s="86">
        <v>21285</v>
      </c>
      <c r="B2733" s="87" t="s">
        <v>27</v>
      </c>
      <c r="C2733" s="87" t="s">
        <v>5030</v>
      </c>
      <c r="D2733" s="87" t="s">
        <v>5176</v>
      </c>
      <c r="E2733" s="87" t="s">
        <v>5177</v>
      </c>
      <c r="F2733" s="87">
        <v>35.550280899999997</v>
      </c>
      <c r="G2733" s="87">
        <v>45.427991599999999</v>
      </c>
      <c r="H2733" s="86">
        <v>61</v>
      </c>
      <c r="I2733" s="86">
        <v>366</v>
      </c>
      <c r="J2733" s="87">
        <v>16</v>
      </c>
      <c r="K2733" s="87">
        <v>7</v>
      </c>
      <c r="L2733" s="87">
        <v>3</v>
      </c>
      <c r="M2733" s="87"/>
      <c r="N2733" s="87"/>
      <c r="O2733" s="87">
        <v>12</v>
      </c>
      <c r="P2733" s="87"/>
      <c r="Q2733" s="87"/>
      <c r="R2733" s="87">
        <v>3</v>
      </c>
      <c r="S2733" s="87"/>
      <c r="T2733" s="87"/>
      <c r="U2733" s="87"/>
      <c r="V2733" s="87">
        <v>12</v>
      </c>
      <c r="W2733" s="87"/>
      <c r="X2733" s="87">
        <v>8</v>
      </c>
      <c r="Y2733" s="87"/>
      <c r="Z2733" s="87"/>
      <c r="AA2733" s="87"/>
      <c r="AB2733" s="87"/>
      <c r="AC2733" s="87"/>
      <c r="AD2733" s="87"/>
      <c r="AE2733" s="87"/>
      <c r="AF2733" s="87"/>
      <c r="AG2733" s="87"/>
      <c r="AH2733" s="87">
        <v>61</v>
      </c>
      <c r="AI2733" s="87"/>
      <c r="AJ2733" s="87"/>
      <c r="AK2733" s="87"/>
      <c r="AL2733" s="87"/>
      <c r="AM2733" s="87"/>
      <c r="AN2733" s="87">
        <v>5</v>
      </c>
      <c r="AO2733" s="87">
        <v>3</v>
      </c>
      <c r="AP2733" s="87">
        <v>1</v>
      </c>
      <c r="AQ2733" s="87">
        <v>13</v>
      </c>
      <c r="AR2733" s="87">
        <v>11</v>
      </c>
      <c r="AS2733" s="87">
        <v>6</v>
      </c>
      <c r="AT2733" s="87">
        <v>6</v>
      </c>
      <c r="AU2733" s="87">
        <v>16</v>
      </c>
      <c r="AV2733" s="87"/>
      <c r="AW2733" s="88" t="str">
        <f>HYPERLINK("http://www.openstreetmap.org/?mlat=35.5503&amp;mlon=45.428&amp;zoom=12#map=12/35.5503/45.428","Maplink1")</f>
        <v>Maplink1</v>
      </c>
      <c r="AX2733" s="88" t="str">
        <f>HYPERLINK("https://www.google.iq/maps/search/+35.5503,45.428/@35.5503,45.428,14z?hl=en","Maplink2")</f>
        <v>Maplink2</v>
      </c>
      <c r="AY2733" s="88" t="str">
        <f>HYPERLINK("http://www.bing.com/maps/?lvl=14&amp;sty=h&amp;cp=35.5503~45.428&amp;sp=point.35.5503_45.428","Maplink3")</f>
        <v>Maplink3</v>
      </c>
      <c r="AZ2733" s="76"/>
    </row>
    <row r="2734" spans="1:52" x14ac:dyDescent="0.25">
      <c r="A2734" s="86">
        <v>21287</v>
      </c>
      <c r="B2734" s="87" t="s">
        <v>27</v>
      </c>
      <c r="C2734" s="87" t="s">
        <v>5030</v>
      </c>
      <c r="D2734" s="87" t="s">
        <v>5178</v>
      </c>
      <c r="E2734" s="87" t="s">
        <v>4979</v>
      </c>
      <c r="F2734" s="87">
        <v>35.541253500000003</v>
      </c>
      <c r="G2734" s="87">
        <v>45.400801100000002</v>
      </c>
      <c r="H2734" s="86">
        <v>48</v>
      </c>
      <c r="I2734" s="86">
        <v>288</v>
      </c>
      <c r="J2734" s="87">
        <v>1</v>
      </c>
      <c r="K2734" s="87">
        <v>1</v>
      </c>
      <c r="L2734" s="87">
        <v>18</v>
      </c>
      <c r="M2734" s="87"/>
      <c r="N2734" s="87"/>
      <c r="O2734" s="87">
        <v>2</v>
      </c>
      <c r="P2734" s="87"/>
      <c r="Q2734" s="87"/>
      <c r="R2734" s="87">
        <v>2</v>
      </c>
      <c r="S2734" s="87"/>
      <c r="T2734" s="87"/>
      <c r="U2734" s="87"/>
      <c r="V2734" s="87">
        <v>11</v>
      </c>
      <c r="W2734" s="87"/>
      <c r="X2734" s="87">
        <v>13</v>
      </c>
      <c r="Y2734" s="87"/>
      <c r="Z2734" s="87"/>
      <c r="AA2734" s="87"/>
      <c r="AB2734" s="87"/>
      <c r="AC2734" s="87"/>
      <c r="AD2734" s="87"/>
      <c r="AE2734" s="87"/>
      <c r="AF2734" s="87"/>
      <c r="AG2734" s="87">
        <v>5</v>
      </c>
      <c r="AH2734" s="87">
        <v>34</v>
      </c>
      <c r="AI2734" s="87"/>
      <c r="AJ2734" s="87"/>
      <c r="AK2734" s="87"/>
      <c r="AL2734" s="87">
        <v>9</v>
      </c>
      <c r="AM2734" s="87"/>
      <c r="AN2734" s="87">
        <v>1</v>
      </c>
      <c r="AO2734" s="87">
        <v>1</v>
      </c>
      <c r="AP2734" s="87">
        <v>9</v>
      </c>
      <c r="AQ2734" s="87">
        <v>2</v>
      </c>
      <c r="AR2734" s="87">
        <v>3</v>
      </c>
      <c r="AS2734" s="87">
        <v>2</v>
      </c>
      <c r="AT2734" s="87">
        <v>3</v>
      </c>
      <c r="AU2734" s="87">
        <v>20</v>
      </c>
      <c r="AV2734" s="87">
        <v>7</v>
      </c>
      <c r="AW2734" s="88" t="str">
        <f>HYPERLINK("http://www.openstreetmap.org/?mlat=35.5413&amp;mlon=45.4008&amp;zoom=12#map=12/35.5413/45.4008","Maplink1")</f>
        <v>Maplink1</v>
      </c>
      <c r="AX2734" s="88" t="str">
        <f>HYPERLINK("https://www.google.iq/maps/search/+35.5413,45.4008/@35.5413,45.4008,14z?hl=en","Maplink2")</f>
        <v>Maplink2</v>
      </c>
      <c r="AY2734" s="88" t="str">
        <f>HYPERLINK("http://www.bing.com/maps/?lvl=14&amp;sty=h&amp;cp=35.5413~45.4008&amp;sp=point.35.5413_45.4008","Maplink3")</f>
        <v>Maplink3</v>
      </c>
      <c r="AZ2734" s="76"/>
    </row>
    <row r="2735" spans="1:52" x14ac:dyDescent="0.25">
      <c r="A2735" s="86">
        <v>33348</v>
      </c>
      <c r="B2735" s="87" t="s">
        <v>27</v>
      </c>
      <c r="C2735" s="87" t="s">
        <v>5030</v>
      </c>
      <c r="D2735" s="87" t="s">
        <v>5179</v>
      </c>
      <c r="E2735" s="87" t="s">
        <v>5180</v>
      </c>
      <c r="F2735" s="87">
        <v>35.546515499999998</v>
      </c>
      <c r="G2735" s="87">
        <v>45.397215500000001</v>
      </c>
      <c r="H2735" s="86">
        <v>13</v>
      </c>
      <c r="I2735" s="86">
        <v>78</v>
      </c>
      <c r="J2735" s="87">
        <v>1</v>
      </c>
      <c r="K2735" s="87"/>
      <c r="L2735" s="87">
        <v>4</v>
      </c>
      <c r="M2735" s="87"/>
      <c r="N2735" s="87"/>
      <c r="O2735" s="87"/>
      <c r="P2735" s="87"/>
      <c r="Q2735" s="87"/>
      <c r="R2735" s="87"/>
      <c r="S2735" s="87"/>
      <c r="T2735" s="87"/>
      <c r="U2735" s="87"/>
      <c r="V2735" s="87">
        <v>8</v>
      </c>
      <c r="W2735" s="87"/>
      <c r="X2735" s="87"/>
      <c r="Y2735" s="87"/>
      <c r="Z2735" s="87"/>
      <c r="AA2735" s="87"/>
      <c r="AB2735" s="87"/>
      <c r="AC2735" s="87"/>
      <c r="AD2735" s="87"/>
      <c r="AE2735" s="87"/>
      <c r="AF2735" s="87"/>
      <c r="AG2735" s="87"/>
      <c r="AH2735" s="87">
        <v>9</v>
      </c>
      <c r="AI2735" s="87"/>
      <c r="AJ2735" s="87"/>
      <c r="AK2735" s="87"/>
      <c r="AL2735" s="87">
        <v>4</v>
      </c>
      <c r="AM2735" s="87"/>
      <c r="AN2735" s="87"/>
      <c r="AO2735" s="87">
        <v>1</v>
      </c>
      <c r="AP2735" s="87">
        <v>2</v>
      </c>
      <c r="AQ2735" s="87">
        <v>6</v>
      </c>
      <c r="AR2735" s="87">
        <v>4</v>
      </c>
      <c r="AS2735" s="87"/>
      <c r="AT2735" s="87"/>
      <c r="AU2735" s="87"/>
      <c r="AV2735" s="87"/>
      <c r="AW2735" s="88" t="str">
        <f>HYPERLINK("http://www.openstreetmap.org/?mlat=35.5465&amp;mlon=45.3972&amp;zoom=12#map=12/35.5465/45.3972","Maplink1")</f>
        <v>Maplink1</v>
      </c>
      <c r="AX2735" s="88" t="str">
        <f>HYPERLINK("https://www.google.iq/maps/search/+35.5465,45.3972/@35.5465,45.3972,14z?hl=en","Maplink2")</f>
        <v>Maplink2</v>
      </c>
      <c r="AY2735" s="88" t="str">
        <f>HYPERLINK("http://www.bing.com/maps/?lvl=14&amp;sty=h&amp;cp=35.5465~45.3972&amp;sp=point.35.5465_45.3972","Maplink3")</f>
        <v>Maplink3</v>
      </c>
      <c r="AZ2735" s="76"/>
    </row>
    <row r="2736" spans="1:52" x14ac:dyDescent="0.25">
      <c r="A2736" s="86">
        <v>31974</v>
      </c>
      <c r="B2736" s="87" t="s">
        <v>27</v>
      </c>
      <c r="C2736" s="87" t="s">
        <v>5030</v>
      </c>
      <c r="D2736" s="87" t="s">
        <v>5181</v>
      </c>
      <c r="E2736" s="87" t="s">
        <v>5182</v>
      </c>
      <c r="F2736" s="87">
        <v>35.535539499999999</v>
      </c>
      <c r="G2736" s="87">
        <v>45.4502424</v>
      </c>
      <c r="H2736" s="86">
        <v>27</v>
      </c>
      <c r="I2736" s="86">
        <v>162</v>
      </c>
      <c r="J2736" s="87">
        <v>4</v>
      </c>
      <c r="K2736" s="87"/>
      <c r="L2736" s="87">
        <v>5</v>
      </c>
      <c r="M2736" s="87"/>
      <c r="N2736" s="87"/>
      <c r="O2736" s="87">
        <v>4</v>
      </c>
      <c r="P2736" s="87"/>
      <c r="Q2736" s="87"/>
      <c r="R2736" s="87"/>
      <c r="S2736" s="87"/>
      <c r="T2736" s="87"/>
      <c r="U2736" s="87"/>
      <c r="V2736" s="87">
        <v>5</v>
      </c>
      <c r="W2736" s="87"/>
      <c r="X2736" s="87">
        <v>9</v>
      </c>
      <c r="Y2736" s="87"/>
      <c r="Z2736" s="87"/>
      <c r="AA2736" s="87"/>
      <c r="AB2736" s="87"/>
      <c r="AC2736" s="87"/>
      <c r="AD2736" s="87"/>
      <c r="AE2736" s="87"/>
      <c r="AF2736" s="87"/>
      <c r="AG2736" s="87"/>
      <c r="AH2736" s="87">
        <v>27</v>
      </c>
      <c r="AI2736" s="87"/>
      <c r="AJ2736" s="87"/>
      <c r="AK2736" s="87"/>
      <c r="AL2736" s="87"/>
      <c r="AM2736" s="87"/>
      <c r="AN2736" s="87">
        <v>2</v>
      </c>
      <c r="AO2736" s="87">
        <v>13</v>
      </c>
      <c r="AP2736" s="87">
        <v>9</v>
      </c>
      <c r="AQ2736" s="87"/>
      <c r="AR2736" s="87"/>
      <c r="AS2736" s="87"/>
      <c r="AT2736" s="87">
        <v>2</v>
      </c>
      <c r="AU2736" s="87"/>
      <c r="AV2736" s="87">
        <v>1</v>
      </c>
      <c r="AW2736" s="88" t="str">
        <f>HYPERLINK("http://www.openstreetmap.org/?mlat=35.5355&amp;mlon=45.4502&amp;zoom=12#map=12/35.5355/45.4502","Maplink1")</f>
        <v>Maplink1</v>
      </c>
      <c r="AX2736" s="88" t="str">
        <f>HYPERLINK("https://www.google.iq/maps/search/+35.5355,45.4502/@35.5355,45.4502,14z?hl=en","Maplink2")</f>
        <v>Maplink2</v>
      </c>
      <c r="AY2736" s="88" t="str">
        <f>HYPERLINK("http://www.bing.com/maps/?lvl=14&amp;sty=h&amp;cp=35.5355~45.4502&amp;sp=point.35.5355_45.4502","Maplink3")</f>
        <v>Maplink3</v>
      </c>
      <c r="AZ2736" s="76"/>
    </row>
    <row r="2737" spans="1:52" x14ac:dyDescent="0.25">
      <c r="A2737" s="86">
        <v>32073</v>
      </c>
      <c r="B2737" s="87" t="s">
        <v>27</v>
      </c>
      <c r="C2737" s="87" t="s">
        <v>5030</v>
      </c>
      <c r="D2737" s="87" t="s">
        <v>5183</v>
      </c>
      <c r="E2737" s="87" t="s">
        <v>5184</v>
      </c>
      <c r="F2737" s="87">
        <v>35.563497900000002</v>
      </c>
      <c r="G2737" s="87">
        <v>45.3556776</v>
      </c>
      <c r="H2737" s="86">
        <v>106</v>
      </c>
      <c r="I2737" s="86">
        <v>636</v>
      </c>
      <c r="J2737" s="87">
        <v>14</v>
      </c>
      <c r="K2737" s="87">
        <v>1</v>
      </c>
      <c r="L2737" s="87">
        <v>43</v>
      </c>
      <c r="M2737" s="87"/>
      <c r="N2737" s="87"/>
      <c r="O2737" s="87">
        <v>6</v>
      </c>
      <c r="P2737" s="87"/>
      <c r="Q2737" s="87"/>
      <c r="R2737" s="87">
        <v>18</v>
      </c>
      <c r="S2737" s="87"/>
      <c r="T2737" s="87"/>
      <c r="U2737" s="87"/>
      <c r="V2737" s="87">
        <v>8</v>
      </c>
      <c r="W2737" s="87"/>
      <c r="X2737" s="87">
        <v>16</v>
      </c>
      <c r="Y2737" s="87"/>
      <c r="Z2737" s="87"/>
      <c r="AA2737" s="87"/>
      <c r="AB2737" s="87"/>
      <c r="AC2737" s="87"/>
      <c r="AD2737" s="87"/>
      <c r="AE2737" s="87"/>
      <c r="AF2737" s="87"/>
      <c r="AG2737" s="87"/>
      <c r="AH2737" s="87">
        <v>106</v>
      </c>
      <c r="AI2737" s="87"/>
      <c r="AJ2737" s="87"/>
      <c r="AK2737" s="87"/>
      <c r="AL2737" s="87"/>
      <c r="AM2737" s="87"/>
      <c r="AN2737" s="87">
        <v>20</v>
      </c>
      <c r="AO2737" s="87">
        <v>25</v>
      </c>
      <c r="AP2737" s="87">
        <v>14</v>
      </c>
      <c r="AQ2737" s="87">
        <v>16</v>
      </c>
      <c r="AR2737" s="87"/>
      <c r="AS2737" s="87"/>
      <c r="AT2737" s="87">
        <v>3</v>
      </c>
      <c r="AU2737" s="87">
        <v>28</v>
      </c>
      <c r="AV2737" s="87"/>
      <c r="AW2737" s="88" t="str">
        <f>HYPERLINK("http://www.openstreetmap.org/?mlat=35.5635&amp;mlon=45.3557&amp;zoom=12#map=12/35.5635/45.3557","Maplink1")</f>
        <v>Maplink1</v>
      </c>
      <c r="AX2737" s="88" t="str">
        <f>HYPERLINK("https://www.google.iq/maps/search/+35.5635,45.3557/@35.5635,45.3557,14z?hl=en","Maplink2")</f>
        <v>Maplink2</v>
      </c>
      <c r="AY2737" s="88" t="str">
        <f>HYPERLINK("http://www.bing.com/maps/?lvl=14&amp;sty=h&amp;cp=35.5635~45.3557&amp;sp=point.35.5635_45.3557","Maplink3")</f>
        <v>Maplink3</v>
      </c>
      <c r="AZ2737" s="76"/>
    </row>
    <row r="2738" spans="1:52" x14ac:dyDescent="0.25">
      <c r="A2738" s="86">
        <v>25301</v>
      </c>
      <c r="B2738" s="87" t="s">
        <v>27</v>
      </c>
      <c r="C2738" s="87" t="s">
        <v>5030</v>
      </c>
      <c r="D2738" s="87" t="s">
        <v>5185</v>
      </c>
      <c r="E2738" s="87" t="s">
        <v>5186</v>
      </c>
      <c r="F2738" s="87">
        <v>35.578873999999999</v>
      </c>
      <c r="G2738" s="87">
        <v>45.439171399999999</v>
      </c>
      <c r="H2738" s="86">
        <v>48</v>
      </c>
      <c r="I2738" s="86">
        <v>288</v>
      </c>
      <c r="J2738" s="87">
        <v>24</v>
      </c>
      <c r="K2738" s="87"/>
      <c r="L2738" s="87">
        <v>12</v>
      </c>
      <c r="M2738" s="87"/>
      <c r="N2738" s="87"/>
      <c r="O2738" s="87">
        <v>3</v>
      </c>
      <c r="P2738" s="87"/>
      <c r="Q2738" s="87"/>
      <c r="R2738" s="87"/>
      <c r="S2738" s="87"/>
      <c r="T2738" s="87"/>
      <c r="U2738" s="87"/>
      <c r="V2738" s="87">
        <v>2</v>
      </c>
      <c r="W2738" s="87"/>
      <c r="X2738" s="87">
        <v>7</v>
      </c>
      <c r="Y2738" s="87"/>
      <c r="Z2738" s="87"/>
      <c r="AA2738" s="87"/>
      <c r="AB2738" s="87"/>
      <c r="AC2738" s="87"/>
      <c r="AD2738" s="87"/>
      <c r="AE2738" s="87"/>
      <c r="AF2738" s="87"/>
      <c r="AG2738" s="87"/>
      <c r="AH2738" s="87">
        <v>48</v>
      </c>
      <c r="AI2738" s="87"/>
      <c r="AJ2738" s="87"/>
      <c r="AK2738" s="87"/>
      <c r="AL2738" s="87"/>
      <c r="AM2738" s="87"/>
      <c r="AN2738" s="87">
        <v>4</v>
      </c>
      <c r="AO2738" s="87">
        <v>12</v>
      </c>
      <c r="AP2738" s="87">
        <v>2</v>
      </c>
      <c r="AQ2738" s="87">
        <v>3</v>
      </c>
      <c r="AR2738" s="87">
        <v>7</v>
      </c>
      <c r="AS2738" s="87">
        <v>7</v>
      </c>
      <c r="AT2738" s="87">
        <v>9</v>
      </c>
      <c r="AU2738" s="87">
        <v>3</v>
      </c>
      <c r="AV2738" s="87">
        <v>1</v>
      </c>
      <c r="AW2738" s="88" t="str">
        <f>HYPERLINK("http://www.openstreetmap.org/?mlat=35.5789&amp;mlon=45.4392&amp;zoom=12#map=12/35.5789/45.4392","Maplink1")</f>
        <v>Maplink1</v>
      </c>
      <c r="AX2738" s="88" t="str">
        <f>HYPERLINK("https://www.google.iq/maps/search/+35.5789,45.4392/@35.5789,45.4392,14z?hl=en","Maplink2")</f>
        <v>Maplink2</v>
      </c>
      <c r="AY2738" s="88" t="str">
        <f>HYPERLINK("http://www.bing.com/maps/?lvl=14&amp;sty=h&amp;cp=35.5789~45.4392&amp;sp=point.35.5789_45.4392","Maplink3")</f>
        <v>Maplink3</v>
      </c>
      <c r="AZ2738" s="76"/>
    </row>
    <row r="2739" spans="1:52" x14ac:dyDescent="0.25">
      <c r="A2739" s="86">
        <v>4513</v>
      </c>
      <c r="B2739" s="87" t="s">
        <v>27</v>
      </c>
      <c r="C2739" s="87" t="s">
        <v>5030</v>
      </c>
      <c r="D2739" s="87" t="s">
        <v>5187</v>
      </c>
      <c r="E2739" s="87" t="s">
        <v>5188</v>
      </c>
      <c r="F2739" s="87">
        <v>35.452860100000002</v>
      </c>
      <c r="G2739" s="87">
        <v>45.509581099999998</v>
      </c>
      <c r="H2739" s="86">
        <v>7</v>
      </c>
      <c r="I2739" s="86">
        <v>42</v>
      </c>
      <c r="J2739" s="87"/>
      <c r="K2739" s="87"/>
      <c r="L2739" s="87"/>
      <c r="M2739" s="87"/>
      <c r="N2739" s="87"/>
      <c r="O2739" s="87">
        <v>7</v>
      </c>
      <c r="P2739" s="87"/>
      <c r="Q2739" s="87"/>
      <c r="R2739" s="87"/>
      <c r="S2739" s="87"/>
      <c r="T2739" s="87"/>
      <c r="U2739" s="87"/>
      <c r="V2739" s="87"/>
      <c r="W2739" s="87"/>
      <c r="X2739" s="87"/>
      <c r="Y2739" s="87"/>
      <c r="Z2739" s="87"/>
      <c r="AA2739" s="87"/>
      <c r="AB2739" s="87"/>
      <c r="AC2739" s="87"/>
      <c r="AD2739" s="87"/>
      <c r="AE2739" s="87"/>
      <c r="AF2739" s="87"/>
      <c r="AG2739" s="87"/>
      <c r="AH2739" s="87">
        <v>7</v>
      </c>
      <c r="AI2739" s="87"/>
      <c r="AJ2739" s="87"/>
      <c r="AK2739" s="87"/>
      <c r="AL2739" s="87"/>
      <c r="AM2739" s="87"/>
      <c r="AN2739" s="87"/>
      <c r="AO2739" s="87"/>
      <c r="AP2739" s="87"/>
      <c r="AQ2739" s="87">
        <v>6</v>
      </c>
      <c r="AR2739" s="87">
        <v>1</v>
      </c>
      <c r="AS2739" s="87"/>
      <c r="AT2739" s="87"/>
      <c r="AU2739" s="87"/>
      <c r="AV2739" s="87"/>
      <c r="AW2739" s="88" t="str">
        <f>HYPERLINK("http://www.openstreetmap.org/?mlat=35.4529&amp;mlon=45.5096&amp;zoom=12#map=12/35.4529/45.5096","Maplink1")</f>
        <v>Maplink1</v>
      </c>
      <c r="AX2739" s="88" t="str">
        <f>HYPERLINK("https://www.google.iq/maps/search/+35.4529,45.5096/@35.4529,45.5096,14z?hl=en","Maplink2")</f>
        <v>Maplink2</v>
      </c>
      <c r="AY2739" s="88" t="str">
        <f>HYPERLINK("http://www.bing.com/maps/?lvl=14&amp;sty=h&amp;cp=35.4529~45.5096&amp;sp=point.35.4529_45.5096","Maplink3")</f>
        <v>Maplink3</v>
      </c>
      <c r="AZ2739" s="76"/>
    </row>
    <row r="2740" spans="1:52" x14ac:dyDescent="0.25">
      <c r="A2740" s="86">
        <v>33680</v>
      </c>
      <c r="B2740" s="87" t="s">
        <v>27</v>
      </c>
      <c r="C2740" s="87" t="s">
        <v>5030</v>
      </c>
      <c r="D2740" s="87" t="s">
        <v>5189</v>
      </c>
      <c r="E2740" s="87" t="s">
        <v>5190</v>
      </c>
      <c r="F2740" s="87">
        <v>35.370035700000003</v>
      </c>
      <c r="G2740" s="87">
        <v>45.494112700000002</v>
      </c>
      <c r="H2740" s="86">
        <v>4</v>
      </c>
      <c r="I2740" s="86">
        <v>24</v>
      </c>
      <c r="J2740" s="87">
        <v>1</v>
      </c>
      <c r="K2740" s="87">
        <v>1</v>
      </c>
      <c r="L2740" s="87">
        <v>1</v>
      </c>
      <c r="M2740" s="87"/>
      <c r="N2740" s="87"/>
      <c r="O2740" s="87"/>
      <c r="P2740" s="87"/>
      <c r="Q2740" s="87"/>
      <c r="R2740" s="87"/>
      <c r="S2740" s="87"/>
      <c r="T2740" s="87"/>
      <c r="U2740" s="87"/>
      <c r="V2740" s="87"/>
      <c r="W2740" s="87"/>
      <c r="X2740" s="87">
        <v>1</v>
      </c>
      <c r="Y2740" s="87"/>
      <c r="Z2740" s="87"/>
      <c r="AA2740" s="87"/>
      <c r="AB2740" s="87"/>
      <c r="AC2740" s="87"/>
      <c r="AD2740" s="87"/>
      <c r="AE2740" s="87"/>
      <c r="AF2740" s="87"/>
      <c r="AG2740" s="87"/>
      <c r="AH2740" s="87">
        <v>4</v>
      </c>
      <c r="AI2740" s="87"/>
      <c r="AJ2740" s="87"/>
      <c r="AK2740" s="87"/>
      <c r="AL2740" s="87"/>
      <c r="AM2740" s="87"/>
      <c r="AN2740" s="87"/>
      <c r="AO2740" s="87">
        <v>2</v>
      </c>
      <c r="AP2740" s="87"/>
      <c r="AQ2740" s="87">
        <v>1</v>
      </c>
      <c r="AR2740" s="87"/>
      <c r="AS2740" s="87"/>
      <c r="AT2740" s="87">
        <v>1</v>
      </c>
      <c r="AU2740" s="87"/>
      <c r="AV2740" s="87"/>
      <c r="AW2740" s="88" t="str">
        <f>HYPERLINK("http://www.openstreetmap.org/?mlat=35.37&amp;mlon=45.4941&amp;zoom=12#map=12/35.37/45.4941","Maplink1")</f>
        <v>Maplink1</v>
      </c>
      <c r="AX2740" s="88" t="str">
        <f>HYPERLINK("https://www.google.iq/maps/search/+35.37,45.4941/@35.37,45.4941,14z?hl=en","Maplink2")</f>
        <v>Maplink2</v>
      </c>
      <c r="AY2740" s="88" t="str">
        <f>HYPERLINK("http://www.bing.com/maps/?lvl=14&amp;sty=h&amp;cp=35.37~45.4941&amp;sp=point.35.37_45.4941","Maplink3")</f>
        <v>Maplink3</v>
      </c>
      <c r="AZ2740" s="76"/>
    </row>
    <row r="2741" spans="1:52" x14ac:dyDescent="0.25">
      <c r="A2741" s="86">
        <v>23926</v>
      </c>
      <c r="B2741" s="87" t="s">
        <v>27</v>
      </c>
      <c r="C2741" s="87" t="s">
        <v>5030</v>
      </c>
      <c r="D2741" s="87" t="s">
        <v>5191</v>
      </c>
      <c r="E2741" s="87" t="s">
        <v>5192</v>
      </c>
      <c r="F2741" s="87">
        <v>35.552308799999999</v>
      </c>
      <c r="G2741" s="87">
        <v>45.440225400000003</v>
      </c>
      <c r="H2741" s="86">
        <v>36</v>
      </c>
      <c r="I2741" s="86">
        <v>216</v>
      </c>
      <c r="J2741" s="87">
        <v>6</v>
      </c>
      <c r="K2741" s="87">
        <v>1</v>
      </c>
      <c r="L2741" s="87">
        <v>9</v>
      </c>
      <c r="M2741" s="87"/>
      <c r="N2741" s="87"/>
      <c r="O2741" s="87">
        <v>2</v>
      </c>
      <c r="P2741" s="87"/>
      <c r="Q2741" s="87"/>
      <c r="R2741" s="87"/>
      <c r="S2741" s="87"/>
      <c r="T2741" s="87"/>
      <c r="U2741" s="87"/>
      <c r="V2741" s="87"/>
      <c r="W2741" s="87"/>
      <c r="X2741" s="87">
        <v>18</v>
      </c>
      <c r="Y2741" s="87"/>
      <c r="Z2741" s="87"/>
      <c r="AA2741" s="87"/>
      <c r="AB2741" s="87"/>
      <c r="AC2741" s="87"/>
      <c r="AD2741" s="87"/>
      <c r="AE2741" s="87"/>
      <c r="AF2741" s="87"/>
      <c r="AG2741" s="87"/>
      <c r="AH2741" s="87">
        <v>36</v>
      </c>
      <c r="AI2741" s="87"/>
      <c r="AJ2741" s="87"/>
      <c r="AK2741" s="87"/>
      <c r="AL2741" s="87"/>
      <c r="AM2741" s="87"/>
      <c r="AN2741" s="87"/>
      <c r="AO2741" s="87">
        <v>5</v>
      </c>
      <c r="AP2741" s="87">
        <v>3</v>
      </c>
      <c r="AQ2741" s="87">
        <v>8</v>
      </c>
      <c r="AR2741" s="87">
        <v>2</v>
      </c>
      <c r="AS2741" s="87">
        <v>4</v>
      </c>
      <c r="AT2741" s="87">
        <v>14</v>
      </c>
      <c r="AU2741" s="87"/>
      <c r="AV2741" s="87"/>
      <c r="AW2741" s="88" t="str">
        <f>HYPERLINK("http://www.openstreetmap.org/?mlat=35.5523&amp;mlon=45.4402&amp;zoom=12#map=12/35.5523/45.4402","Maplink1")</f>
        <v>Maplink1</v>
      </c>
      <c r="AX2741" s="88" t="str">
        <f>HYPERLINK("https://www.google.iq/maps/search/+35.5523,45.4402/@35.5523,45.4402,14z?hl=en","Maplink2")</f>
        <v>Maplink2</v>
      </c>
      <c r="AY2741" s="88" t="str">
        <f>HYPERLINK("http://www.bing.com/maps/?lvl=14&amp;sty=h&amp;cp=35.5523~45.4402&amp;sp=point.35.5523_45.4402","Maplink3")</f>
        <v>Maplink3</v>
      </c>
      <c r="AZ2741" s="76"/>
    </row>
    <row r="2742" spans="1:52" x14ac:dyDescent="0.25">
      <c r="A2742" s="86">
        <v>31971</v>
      </c>
      <c r="B2742" s="87" t="s">
        <v>27</v>
      </c>
      <c r="C2742" s="87" t="s">
        <v>5030</v>
      </c>
      <c r="D2742" s="87" t="s">
        <v>5193</v>
      </c>
      <c r="E2742" s="87" t="s">
        <v>5194</v>
      </c>
      <c r="F2742" s="87">
        <v>35.1272898</v>
      </c>
      <c r="G2742" s="87">
        <v>45.591242200000003</v>
      </c>
      <c r="H2742" s="86">
        <v>5</v>
      </c>
      <c r="I2742" s="86">
        <v>30</v>
      </c>
      <c r="J2742" s="87"/>
      <c r="K2742" s="87"/>
      <c r="L2742" s="87"/>
      <c r="M2742" s="87"/>
      <c r="N2742" s="87"/>
      <c r="O2742" s="87">
        <v>4</v>
      </c>
      <c r="P2742" s="87"/>
      <c r="Q2742" s="87"/>
      <c r="R2742" s="87"/>
      <c r="S2742" s="87"/>
      <c r="T2742" s="87"/>
      <c r="U2742" s="87"/>
      <c r="V2742" s="87"/>
      <c r="W2742" s="87"/>
      <c r="X2742" s="87">
        <v>1</v>
      </c>
      <c r="Y2742" s="87"/>
      <c r="Z2742" s="87"/>
      <c r="AA2742" s="87"/>
      <c r="AB2742" s="87"/>
      <c r="AC2742" s="87"/>
      <c r="AD2742" s="87"/>
      <c r="AE2742" s="87"/>
      <c r="AF2742" s="87"/>
      <c r="AG2742" s="87"/>
      <c r="AH2742" s="87">
        <v>5</v>
      </c>
      <c r="AI2742" s="87"/>
      <c r="AJ2742" s="87"/>
      <c r="AK2742" s="87"/>
      <c r="AL2742" s="87"/>
      <c r="AM2742" s="87"/>
      <c r="AN2742" s="87"/>
      <c r="AO2742" s="87">
        <v>3</v>
      </c>
      <c r="AP2742" s="87"/>
      <c r="AQ2742" s="87">
        <v>2</v>
      </c>
      <c r="AR2742" s="87"/>
      <c r="AS2742" s="87"/>
      <c r="AT2742" s="87"/>
      <c r="AU2742" s="87"/>
      <c r="AV2742" s="87"/>
      <c r="AW2742" s="88" t="str">
        <f>HYPERLINK("http://www.openstreetmap.org/?mlat=35.1273&amp;mlon=45.5912&amp;zoom=12#map=12/35.1273/45.5912","Maplink1")</f>
        <v>Maplink1</v>
      </c>
      <c r="AX2742" s="88" t="str">
        <f>HYPERLINK("https://www.google.iq/maps/search/+35.1273,45.5912/@35.1273,45.5912,14z?hl=en","Maplink2")</f>
        <v>Maplink2</v>
      </c>
      <c r="AY2742" s="88" t="str">
        <f>HYPERLINK("http://www.bing.com/maps/?lvl=14&amp;sty=h&amp;cp=35.1273~45.5912&amp;sp=point.35.1273_45.5912","Maplink3")</f>
        <v>Maplink3</v>
      </c>
      <c r="AZ2742" s="76"/>
    </row>
    <row r="2743" spans="1:52" x14ac:dyDescent="0.25">
      <c r="A2743" s="86">
        <v>23717</v>
      </c>
      <c r="B2743" s="87" t="s">
        <v>27</v>
      </c>
      <c r="C2743" s="87" t="s">
        <v>5030</v>
      </c>
      <c r="D2743" s="87" t="s">
        <v>5195</v>
      </c>
      <c r="E2743" s="87" t="s">
        <v>5196</v>
      </c>
      <c r="F2743" s="87">
        <v>35.545819299999998</v>
      </c>
      <c r="G2743" s="87">
        <v>45.480263299999997</v>
      </c>
      <c r="H2743" s="86">
        <v>125</v>
      </c>
      <c r="I2743" s="86">
        <v>750</v>
      </c>
      <c r="J2743" s="87">
        <v>47</v>
      </c>
      <c r="K2743" s="87">
        <v>1</v>
      </c>
      <c r="L2743" s="87">
        <v>54</v>
      </c>
      <c r="M2743" s="87"/>
      <c r="N2743" s="87"/>
      <c r="O2743" s="87">
        <v>11</v>
      </c>
      <c r="P2743" s="87"/>
      <c r="Q2743" s="87"/>
      <c r="R2743" s="87"/>
      <c r="S2743" s="87"/>
      <c r="T2743" s="87"/>
      <c r="U2743" s="87"/>
      <c r="V2743" s="87">
        <v>6</v>
      </c>
      <c r="W2743" s="87"/>
      <c r="X2743" s="87">
        <v>6</v>
      </c>
      <c r="Y2743" s="87"/>
      <c r="Z2743" s="87"/>
      <c r="AA2743" s="87"/>
      <c r="AB2743" s="87"/>
      <c r="AC2743" s="87"/>
      <c r="AD2743" s="87"/>
      <c r="AE2743" s="87"/>
      <c r="AF2743" s="87"/>
      <c r="AG2743" s="87"/>
      <c r="AH2743" s="87">
        <v>95</v>
      </c>
      <c r="AI2743" s="87"/>
      <c r="AJ2743" s="87"/>
      <c r="AK2743" s="87"/>
      <c r="AL2743" s="87">
        <v>30</v>
      </c>
      <c r="AM2743" s="87"/>
      <c r="AN2743" s="87">
        <v>1</v>
      </c>
      <c r="AO2743" s="87">
        <v>31</v>
      </c>
      <c r="AP2743" s="87">
        <v>9</v>
      </c>
      <c r="AQ2743" s="87">
        <v>28</v>
      </c>
      <c r="AR2743" s="87">
        <v>12</v>
      </c>
      <c r="AS2743" s="87">
        <v>27</v>
      </c>
      <c r="AT2743" s="87">
        <v>10</v>
      </c>
      <c r="AU2743" s="87">
        <v>7</v>
      </c>
      <c r="AV2743" s="87"/>
      <c r="AW2743" s="88" t="str">
        <f>HYPERLINK("http://www.openstreetmap.org/?mlat=35.5458&amp;mlon=45.4803&amp;zoom=12#map=12/35.5458/45.4803","Maplink1")</f>
        <v>Maplink1</v>
      </c>
      <c r="AX2743" s="88" t="str">
        <f>HYPERLINK("https://www.google.iq/maps/search/+35.5458,45.4803/@35.5458,45.4803,14z?hl=en","Maplink2")</f>
        <v>Maplink2</v>
      </c>
      <c r="AY2743" s="88" t="str">
        <f>HYPERLINK("http://www.bing.com/maps/?lvl=14&amp;sty=h&amp;cp=35.5458~45.4803&amp;sp=point.35.5458_45.4803","Maplink3")</f>
        <v>Maplink3</v>
      </c>
      <c r="AZ2743" s="76"/>
    </row>
    <row r="2744" spans="1:52" x14ac:dyDescent="0.25">
      <c r="A2744" s="86">
        <v>24818</v>
      </c>
      <c r="B2744" s="87" t="s">
        <v>27</v>
      </c>
      <c r="C2744" s="87" t="s">
        <v>5030</v>
      </c>
      <c r="D2744" s="87" t="s">
        <v>5197</v>
      </c>
      <c r="E2744" s="87" t="s">
        <v>5198</v>
      </c>
      <c r="F2744" s="87">
        <v>35.539433799999998</v>
      </c>
      <c r="G2744" s="87">
        <v>45.42201</v>
      </c>
      <c r="H2744" s="86">
        <v>44</v>
      </c>
      <c r="I2744" s="86">
        <v>264</v>
      </c>
      <c r="J2744" s="87">
        <v>8</v>
      </c>
      <c r="K2744" s="87"/>
      <c r="L2744" s="87">
        <v>18</v>
      </c>
      <c r="M2744" s="87"/>
      <c r="N2744" s="87"/>
      <c r="O2744" s="87">
        <v>5</v>
      </c>
      <c r="P2744" s="87"/>
      <c r="Q2744" s="87"/>
      <c r="R2744" s="87"/>
      <c r="S2744" s="87"/>
      <c r="T2744" s="87"/>
      <c r="U2744" s="87"/>
      <c r="V2744" s="87">
        <v>8</v>
      </c>
      <c r="W2744" s="87"/>
      <c r="X2744" s="87">
        <v>5</v>
      </c>
      <c r="Y2744" s="87"/>
      <c r="Z2744" s="87"/>
      <c r="AA2744" s="87"/>
      <c r="AB2744" s="87"/>
      <c r="AC2744" s="87"/>
      <c r="AD2744" s="87"/>
      <c r="AE2744" s="87"/>
      <c r="AF2744" s="87"/>
      <c r="AG2744" s="87"/>
      <c r="AH2744" s="87">
        <v>41</v>
      </c>
      <c r="AI2744" s="87"/>
      <c r="AJ2744" s="87"/>
      <c r="AK2744" s="87"/>
      <c r="AL2744" s="87">
        <v>3</v>
      </c>
      <c r="AM2744" s="87"/>
      <c r="AN2744" s="87"/>
      <c r="AO2744" s="87">
        <v>3</v>
      </c>
      <c r="AP2744" s="87">
        <v>2</v>
      </c>
      <c r="AQ2744" s="87">
        <v>1</v>
      </c>
      <c r="AR2744" s="87">
        <v>14</v>
      </c>
      <c r="AS2744" s="87">
        <v>5</v>
      </c>
      <c r="AT2744" s="87">
        <v>8</v>
      </c>
      <c r="AU2744" s="87">
        <v>5</v>
      </c>
      <c r="AV2744" s="87">
        <v>6</v>
      </c>
      <c r="AW2744" s="88" t="str">
        <f>HYPERLINK("http://www.openstreetmap.org/?mlat=35.5394&amp;mlon=45.422&amp;zoom=12#map=12/35.5394/45.422","Maplink1")</f>
        <v>Maplink1</v>
      </c>
      <c r="AX2744" s="88" t="str">
        <f>HYPERLINK("https://www.google.iq/maps/search/+35.5394,45.422/@35.5394,45.422,14z?hl=en","Maplink2")</f>
        <v>Maplink2</v>
      </c>
      <c r="AY2744" s="88" t="str">
        <f>HYPERLINK("http://www.bing.com/maps/?lvl=14&amp;sty=h&amp;cp=35.5394~45.422&amp;sp=point.35.5394_45.422","Maplink3")</f>
        <v>Maplink3</v>
      </c>
      <c r="AZ2744" s="76"/>
    </row>
    <row r="2745" spans="1:52" x14ac:dyDescent="0.25">
      <c r="A2745" s="86">
        <v>6231</v>
      </c>
      <c r="B2745" s="87" t="s">
        <v>27</v>
      </c>
      <c r="C2745" s="87" t="s">
        <v>5030</v>
      </c>
      <c r="D2745" s="87" t="s">
        <v>5199</v>
      </c>
      <c r="E2745" s="87" t="s">
        <v>5200</v>
      </c>
      <c r="F2745" s="87">
        <v>35.363123000000002</v>
      </c>
      <c r="G2745" s="87">
        <v>45.326709999999999</v>
      </c>
      <c r="H2745" s="86">
        <v>4</v>
      </c>
      <c r="I2745" s="86">
        <v>24</v>
      </c>
      <c r="J2745" s="87"/>
      <c r="K2745" s="87"/>
      <c r="L2745" s="87">
        <v>1</v>
      </c>
      <c r="M2745" s="87"/>
      <c r="N2745" s="87"/>
      <c r="O2745" s="87">
        <v>1</v>
      </c>
      <c r="P2745" s="87"/>
      <c r="Q2745" s="87"/>
      <c r="R2745" s="87">
        <v>2</v>
      </c>
      <c r="S2745" s="87"/>
      <c r="T2745" s="87"/>
      <c r="U2745" s="87"/>
      <c r="V2745" s="87"/>
      <c r="W2745" s="87"/>
      <c r="X2745" s="87"/>
      <c r="Y2745" s="87"/>
      <c r="Z2745" s="87"/>
      <c r="AA2745" s="87"/>
      <c r="AB2745" s="87"/>
      <c r="AC2745" s="87"/>
      <c r="AD2745" s="87"/>
      <c r="AE2745" s="87"/>
      <c r="AF2745" s="87"/>
      <c r="AG2745" s="87"/>
      <c r="AH2745" s="87">
        <v>4</v>
      </c>
      <c r="AI2745" s="87"/>
      <c r="AJ2745" s="87"/>
      <c r="AK2745" s="87"/>
      <c r="AL2745" s="87"/>
      <c r="AM2745" s="87"/>
      <c r="AN2745" s="87"/>
      <c r="AO2745" s="87"/>
      <c r="AP2745" s="87"/>
      <c r="AQ2745" s="87">
        <v>1</v>
      </c>
      <c r="AR2745" s="87">
        <v>1</v>
      </c>
      <c r="AS2745" s="87"/>
      <c r="AT2745" s="87"/>
      <c r="AU2745" s="87">
        <v>2</v>
      </c>
      <c r="AV2745" s="87"/>
      <c r="AW2745" s="88" t="str">
        <f>HYPERLINK("http://www.openstreetmap.org/?mlat=35.3631&amp;mlon=45.3267&amp;zoom=12#map=12/35.3631/45.3267","Maplink1")</f>
        <v>Maplink1</v>
      </c>
      <c r="AX2745" s="88" t="str">
        <f>HYPERLINK("https://www.google.iq/maps/search/+35.3631,45.3267/@35.3631,45.3267,14z?hl=en","Maplink2")</f>
        <v>Maplink2</v>
      </c>
      <c r="AY2745" s="88" t="str">
        <f>HYPERLINK("http://www.bing.com/maps/?lvl=14&amp;sty=h&amp;cp=35.3631~45.3267&amp;sp=point.35.3631_45.3267","Maplink3")</f>
        <v>Maplink3</v>
      </c>
      <c r="AZ2745" s="76"/>
    </row>
    <row r="2746" spans="1:52" x14ac:dyDescent="0.25">
      <c r="A2746" s="86">
        <v>21036</v>
      </c>
      <c r="B2746" s="87" t="s">
        <v>27</v>
      </c>
      <c r="C2746" s="87" t="s">
        <v>5030</v>
      </c>
      <c r="D2746" s="87" t="s">
        <v>4769</v>
      </c>
      <c r="E2746" s="87" t="s">
        <v>4770</v>
      </c>
      <c r="F2746" s="87">
        <v>35.5897164</v>
      </c>
      <c r="G2746" s="87">
        <v>45.405379500000002</v>
      </c>
      <c r="H2746" s="86">
        <v>122</v>
      </c>
      <c r="I2746" s="86">
        <v>732</v>
      </c>
      <c r="J2746" s="87">
        <v>40</v>
      </c>
      <c r="K2746" s="87">
        <v>1</v>
      </c>
      <c r="L2746" s="87">
        <v>30</v>
      </c>
      <c r="M2746" s="87"/>
      <c r="N2746" s="87"/>
      <c r="O2746" s="87">
        <v>7</v>
      </c>
      <c r="P2746" s="87"/>
      <c r="Q2746" s="87"/>
      <c r="R2746" s="87">
        <v>31</v>
      </c>
      <c r="S2746" s="87"/>
      <c r="T2746" s="87"/>
      <c r="U2746" s="87"/>
      <c r="V2746" s="87">
        <v>5</v>
      </c>
      <c r="W2746" s="87"/>
      <c r="X2746" s="87">
        <v>8</v>
      </c>
      <c r="Y2746" s="87"/>
      <c r="Z2746" s="87"/>
      <c r="AA2746" s="87"/>
      <c r="AB2746" s="87"/>
      <c r="AC2746" s="87"/>
      <c r="AD2746" s="87"/>
      <c r="AE2746" s="87"/>
      <c r="AF2746" s="87"/>
      <c r="AG2746" s="87"/>
      <c r="AH2746" s="87">
        <v>122</v>
      </c>
      <c r="AI2746" s="87"/>
      <c r="AJ2746" s="87"/>
      <c r="AK2746" s="87"/>
      <c r="AL2746" s="87"/>
      <c r="AM2746" s="87"/>
      <c r="AN2746" s="87">
        <v>12</v>
      </c>
      <c r="AO2746" s="87">
        <v>22</v>
      </c>
      <c r="AP2746" s="87">
        <v>4</v>
      </c>
      <c r="AQ2746" s="87">
        <v>6</v>
      </c>
      <c r="AR2746" s="87">
        <v>9</v>
      </c>
      <c r="AS2746" s="87">
        <v>21</v>
      </c>
      <c r="AT2746" s="87">
        <v>3</v>
      </c>
      <c r="AU2746" s="87">
        <v>39</v>
      </c>
      <c r="AV2746" s="87">
        <v>6</v>
      </c>
      <c r="AW2746" s="88" t="str">
        <f>HYPERLINK("http://www.openstreetmap.org/?mlat=35.5897&amp;mlon=45.4054&amp;zoom=12#map=12/35.5897/45.4054","Maplink1")</f>
        <v>Maplink1</v>
      </c>
      <c r="AX2746" s="88" t="str">
        <f>HYPERLINK("https://www.google.iq/maps/search/+35.5897,45.4054/@35.5897,45.4054,14z?hl=en","Maplink2")</f>
        <v>Maplink2</v>
      </c>
      <c r="AY2746" s="88" t="str">
        <f>HYPERLINK("http://www.bing.com/maps/?lvl=14&amp;sty=h&amp;cp=35.5897~45.4054&amp;sp=point.35.5897_45.4054","Maplink3")</f>
        <v>Maplink3</v>
      </c>
      <c r="AZ2746" s="76"/>
    </row>
    <row r="2747" spans="1:52" x14ac:dyDescent="0.25">
      <c r="A2747" s="86">
        <v>33378</v>
      </c>
      <c r="B2747" s="87" t="s">
        <v>27</v>
      </c>
      <c r="C2747" s="87" t="s">
        <v>5030</v>
      </c>
      <c r="D2747" s="87" t="s">
        <v>5201</v>
      </c>
      <c r="E2747" s="87" t="s">
        <v>5202</v>
      </c>
      <c r="F2747" s="87">
        <v>35.5675374116</v>
      </c>
      <c r="G2747" s="87">
        <v>45.462542300000003</v>
      </c>
      <c r="H2747" s="86">
        <v>22</v>
      </c>
      <c r="I2747" s="86">
        <v>132</v>
      </c>
      <c r="J2747" s="87">
        <v>6</v>
      </c>
      <c r="K2747" s="87"/>
      <c r="L2747" s="87">
        <v>5</v>
      </c>
      <c r="M2747" s="87"/>
      <c r="N2747" s="87"/>
      <c r="O2747" s="87">
        <v>2</v>
      </c>
      <c r="P2747" s="87"/>
      <c r="Q2747" s="87"/>
      <c r="R2747" s="87"/>
      <c r="S2747" s="87"/>
      <c r="T2747" s="87"/>
      <c r="U2747" s="87"/>
      <c r="V2747" s="87"/>
      <c r="W2747" s="87"/>
      <c r="X2747" s="87">
        <v>9</v>
      </c>
      <c r="Y2747" s="87"/>
      <c r="Z2747" s="87"/>
      <c r="AA2747" s="87"/>
      <c r="AB2747" s="87"/>
      <c r="AC2747" s="87"/>
      <c r="AD2747" s="87"/>
      <c r="AE2747" s="87"/>
      <c r="AF2747" s="87"/>
      <c r="AG2747" s="87"/>
      <c r="AH2747" s="87">
        <v>22</v>
      </c>
      <c r="AI2747" s="87"/>
      <c r="AJ2747" s="87"/>
      <c r="AK2747" s="87"/>
      <c r="AL2747" s="87"/>
      <c r="AM2747" s="87"/>
      <c r="AN2747" s="87">
        <v>6</v>
      </c>
      <c r="AO2747" s="87">
        <v>8</v>
      </c>
      <c r="AP2747" s="87"/>
      <c r="AQ2747" s="87">
        <v>5</v>
      </c>
      <c r="AR2747" s="87">
        <v>3</v>
      </c>
      <c r="AS2747" s="87"/>
      <c r="AT2747" s="87"/>
      <c r="AU2747" s="87"/>
      <c r="AV2747" s="87"/>
      <c r="AW2747" s="88" t="str">
        <f>HYPERLINK("http://www.openstreetmap.org/?mlat=35.5675&amp;mlon=45.4625&amp;zoom=12#map=12/35.5675/45.4625","Maplink1")</f>
        <v>Maplink1</v>
      </c>
      <c r="AX2747" s="88" t="str">
        <f>HYPERLINK("https://www.google.iq/maps/search/+35.5675,45.4625/@35.5675,45.4625,14z?hl=en","Maplink2")</f>
        <v>Maplink2</v>
      </c>
      <c r="AY2747" s="88" t="str">
        <f>HYPERLINK("http://www.bing.com/maps/?lvl=14&amp;sty=h&amp;cp=35.5675~45.4625&amp;sp=point.35.5675_45.4625","Maplink3")</f>
        <v>Maplink3</v>
      </c>
      <c r="AZ2747" s="76"/>
    </row>
    <row r="2748" spans="1:52" x14ac:dyDescent="0.25">
      <c r="A2748" s="86">
        <v>31865</v>
      </c>
      <c r="B2748" s="87" t="s">
        <v>27</v>
      </c>
      <c r="C2748" s="87" t="s">
        <v>5030</v>
      </c>
      <c r="D2748" s="87" t="s">
        <v>5203</v>
      </c>
      <c r="E2748" s="87" t="s">
        <v>5204</v>
      </c>
      <c r="F2748" s="87">
        <v>35.457208799999997</v>
      </c>
      <c r="G2748" s="87">
        <v>45.396409499999997</v>
      </c>
      <c r="H2748" s="86">
        <v>11</v>
      </c>
      <c r="I2748" s="86">
        <v>66</v>
      </c>
      <c r="J2748" s="87">
        <v>1</v>
      </c>
      <c r="K2748" s="87">
        <v>2</v>
      </c>
      <c r="L2748" s="87"/>
      <c r="M2748" s="87"/>
      <c r="N2748" s="87"/>
      <c r="O2748" s="87">
        <v>4</v>
      </c>
      <c r="P2748" s="87"/>
      <c r="Q2748" s="87"/>
      <c r="R2748" s="87"/>
      <c r="S2748" s="87"/>
      <c r="T2748" s="87"/>
      <c r="U2748" s="87"/>
      <c r="V2748" s="87"/>
      <c r="W2748" s="87"/>
      <c r="X2748" s="87">
        <v>4</v>
      </c>
      <c r="Y2748" s="87"/>
      <c r="Z2748" s="87"/>
      <c r="AA2748" s="87"/>
      <c r="AB2748" s="87"/>
      <c r="AC2748" s="87"/>
      <c r="AD2748" s="87"/>
      <c r="AE2748" s="87"/>
      <c r="AF2748" s="87"/>
      <c r="AG2748" s="87"/>
      <c r="AH2748" s="87">
        <v>11</v>
      </c>
      <c r="AI2748" s="87"/>
      <c r="AJ2748" s="87"/>
      <c r="AK2748" s="87"/>
      <c r="AL2748" s="87"/>
      <c r="AM2748" s="87"/>
      <c r="AN2748" s="87"/>
      <c r="AO2748" s="87">
        <v>7</v>
      </c>
      <c r="AP2748" s="87"/>
      <c r="AQ2748" s="87"/>
      <c r="AR2748" s="87"/>
      <c r="AS2748" s="87"/>
      <c r="AT2748" s="87"/>
      <c r="AU2748" s="87">
        <v>2</v>
      </c>
      <c r="AV2748" s="87">
        <v>2</v>
      </c>
      <c r="AW2748" s="88" t="str">
        <f>HYPERLINK("http://www.openstreetmap.org/?mlat=35.4572&amp;mlon=45.3964&amp;zoom=12#map=12/35.4572/45.3964","Maplink1")</f>
        <v>Maplink1</v>
      </c>
      <c r="AX2748" s="88" t="str">
        <f>HYPERLINK("https://www.google.iq/maps/search/+35.4572,45.3964/@35.4572,45.3964,14z?hl=en","Maplink2")</f>
        <v>Maplink2</v>
      </c>
      <c r="AY2748" s="88" t="str">
        <f>HYPERLINK("http://www.bing.com/maps/?lvl=14&amp;sty=h&amp;cp=35.4572~45.3964&amp;sp=point.35.4572_45.3964","Maplink3")</f>
        <v>Maplink3</v>
      </c>
      <c r="AZ2748" s="76"/>
    </row>
    <row r="2749" spans="1:52" x14ac:dyDescent="0.25">
      <c r="A2749" s="86">
        <v>32072</v>
      </c>
      <c r="B2749" s="87" t="s">
        <v>27</v>
      </c>
      <c r="C2749" s="87" t="s">
        <v>5030</v>
      </c>
      <c r="D2749" s="87" t="s">
        <v>5205</v>
      </c>
      <c r="E2749" s="87" t="s">
        <v>5206</v>
      </c>
      <c r="F2749" s="87">
        <v>35.560255400000003</v>
      </c>
      <c r="G2749" s="87">
        <v>45.351750299999999</v>
      </c>
      <c r="H2749" s="86">
        <v>74</v>
      </c>
      <c r="I2749" s="86">
        <v>444</v>
      </c>
      <c r="J2749" s="87">
        <v>23</v>
      </c>
      <c r="K2749" s="87"/>
      <c r="L2749" s="87">
        <v>7</v>
      </c>
      <c r="M2749" s="87"/>
      <c r="N2749" s="87"/>
      <c r="O2749" s="87">
        <v>8</v>
      </c>
      <c r="P2749" s="87"/>
      <c r="Q2749" s="87"/>
      <c r="R2749" s="87">
        <v>16</v>
      </c>
      <c r="S2749" s="87"/>
      <c r="T2749" s="87"/>
      <c r="U2749" s="87"/>
      <c r="V2749" s="87">
        <v>3</v>
      </c>
      <c r="W2749" s="87"/>
      <c r="X2749" s="87">
        <v>17</v>
      </c>
      <c r="Y2749" s="87"/>
      <c r="Z2749" s="87"/>
      <c r="AA2749" s="87"/>
      <c r="AB2749" s="87"/>
      <c r="AC2749" s="87"/>
      <c r="AD2749" s="87"/>
      <c r="AE2749" s="87"/>
      <c r="AF2749" s="87"/>
      <c r="AG2749" s="87"/>
      <c r="AH2749" s="87">
        <v>74</v>
      </c>
      <c r="AI2749" s="87"/>
      <c r="AJ2749" s="87"/>
      <c r="AK2749" s="87"/>
      <c r="AL2749" s="87"/>
      <c r="AM2749" s="87"/>
      <c r="AN2749" s="87">
        <v>6</v>
      </c>
      <c r="AO2749" s="87">
        <v>16</v>
      </c>
      <c r="AP2749" s="87">
        <v>9</v>
      </c>
      <c r="AQ2749" s="87">
        <v>12</v>
      </c>
      <c r="AR2749" s="87"/>
      <c r="AS2749" s="87">
        <v>2</v>
      </c>
      <c r="AT2749" s="87">
        <v>3</v>
      </c>
      <c r="AU2749" s="87">
        <v>26</v>
      </c>
      <c r="AV2749" s="87"/>
      <c r="AW2749" s="88" t="str">
        <f>HYPERLINK("http://www.openstreetmap.org/?mlat=35.5603&amp;mlon=45.3518&amp;zoom=12#map=12/35.5603/45.3518","Maplink1")</f>
        <v>Maplink1</v>
      </c>
      <c r="AX2749" s="88" t="str">
        <f>HYPERLINK("https://www.google.iq/maps/search/+35.5603,45.3518/@35.5603,45.3518,14z?hl=en","Maplink2")</f>
        <v>Maplink2</v>
      </c>
      <c r="AY2749" s="88" t="str">
        <f>HYPERLINK("http://www.bing.com/maps/?lvl=14&amp;sty=h&amp;cp=35.5603~45.3518&amp;sp=point.35.5603_45.3518","Maplink3")</f>
        <v>Maplink3</v>
      </c>
      <c r="AZ2749" s="76"/>
    </row>
    <row r="2750" spans="1:52" x14ac:dyDescent="0.25">
      <c r="A2750" s="86">
        <v>24097</v>
      </c>
      <c r="B2750" s="87" t="s">
        <v>27</v>
      </c>
      <c r="C2750" s="87" t="s">
        <v>5030</v>
      </c>
      <c r="D2750" s="87" t="s">
        <v>5207</v>
      </c>
      <c r="E2750" s="87" t="s">
        <v>5208</v>
      </c>
      <c r="F2750" s="87">
        <v>35.560791999999999</v>
      </c>
      <c r="G2750" s="87">
        <v>45.485875800000002</v>
      </c>
      <c r="H2750" s="86">
        <v>229</v>
      </c>
      <c r="I2750" s="86">
        <v>1374</v>
      </c>
      <c r="J2750" s="87">
        <v>25</v>
      </c>
      <c r="K2750" s="87"/>
      <c r="L2750" s="87">
        <v>127</v>
      </c>
      <c r="M2750" s="87"/>
      <c r="N2750" s="87"/>
      <c r="O2750" s="87">
        <v>11</v>
      </c>
      <c r="P2750" s="87"/>
      <c r="Q2750" s="87"/>
      <c r="R2750" s="87">
        <v>1</v>
      </c>
      <c r="S2750" s="87"/>
      <c r="T2750" s="87"/>
      <c r="U2750" s="87"/>
      <c r="V2750" s="87">
        <v>36</v>
      </c>
      <c r="W2750" s="87"/>
      <c r="X2750" s="87">
        <v>29</v>
      </c>
      <c r="Y2750" s="87"/>
      <c r="Z2750" s="87"/>
      <c r="AA2750" s="87"/>
      <c r="AB2750" s="87"/>
      <c r="AC2750" s="87"/>
      <c r="AD2750" s="87"/>
      <c r="AE2750" s="87"/>
      <c r="AF2750" s="87"/>
      <c r="AG2750" s="87"/>
      <c r="AH2750" s="87">
        <v>179</v>
      </c>
      <c r="AI2750" s="87"/>
      <c r="AJ2750" s="87"/>
      <c r="AK2750" s="87"/>
      <c r="AL2750" s="87">
        <v>50</v>
      </c>
      <c r="AM2750" s="87"/>
      <c r="AN2750" s="87">
        <v>27</v>
      </c>
      <c r="AO2750" s="87">
        <v>30</v>
      </c>
      <c r="AP2750" s="87">
        <v>21</v>
      </c>
      <c r="AQ2750" s="87">
        <v>35</v>
      </c>
      <c r="AR2750" s="87">
        <v>33</v>
      </c>
      <c r="AS2750" s="87">
        <v>27</v>
      </c>
      <c r="AT2750" s="87">
        <v>44</v>
      </c>
      <c r="AU2750" s="87">
        <v>12</v>
      </c>
      <c r="AV2750" s="87"/>
      <c r="AW2750" s="88" t="str">
        <f>HYPERLINK("http://www.openstreetmap.org/?mlat=35.5608&amp;mlon=45.4859&amp;zoom=12#map=12/35.5608/45.4859","Maplink1")</f>
        <v>Maplink1</v>
      </c>
      <c r="AX2750" s="88" t="str">
        <f>HYPERLINK("https://www.google.iq/maps/search/+35.5608,45.4859/@35.5608,45.4859,14z?hl=en","Maplink2")</f>
        <v>Maplink2</v>
      </c>
      <c r="AY2750" s="88" t="str">
        <f>HYPERLINK("http://www.bing.com/maps/?lvl=14&amp;sty=h&amp;cp=35.5608~45.4859&amp;sp=point.35.5608_45.4859","Maplink3")</f>
        <v>Maplink3</v>
      </c>
      <c r="AZ2750" s="76"/>
    </row>
    <row r="2751" spans="1:52" x14ac:dyDescent="0.25">
      <c r="A2751" s="86">
        <v>31927</v>
      </c>
      <c r="B2751" s="87" t="s">
        <v>27</v>
      </c>
      <c r="C2751" s="87" t="s">
        <v>5030</v>
      </c>
      <c r="D2751" s="87" t="s">
        <v>5209</v>
      </c>
      <c r="E2751" s="87" t="s">
        <v>5210</v>
      </c>
      <c r="F2751" s="87">
        <v>35.564566300000003</v>
      </c>
      <c r="G2751" s="87">
        <v>45.445716500000003</v>
      </c>
      <c r="H2751" s="86">
        <v>16</v>
      </c>
      <c r="I2751" s="86">
        <v>96</v>
      </c>
      <c r="J2751" s="87">
        <v>2</v>
      </c>
      <c r="K2751" s="87"/>
      <c r="L2751" s="87">
        <v>2</v>
      </c>
      <c r="M2751" s="87"/>
      <c r="N2751" s="87"/>
      <c r="O2751" s="87">
        <v>3</v>
      </c>
      <c r="P2751" s="87"/>
      <c r="Q2751" s="87"/>
      <c r="R2751" s="87"/>
      <c r="S2751" s="87"/>
      <c r="T2751" s="87"/>
      <c r="U2751" s="87"/>
      <c r="V2751" s="87">
        <v>9</v>
      </c>
      <c r="W2751" s="87"/>
      <c r="X2751" s="87"/>
      <c r="Y2751" s="87"/>
      <c r="Z2751" s="87"/>
      <c r="AA2751" s="87"/>
      <c r="AB2751" s="87"/>
      <c r="AC2751" s="87"/>
      <c r="AD2751" s="87"/>
      <c r="AE2751" s="87"/>
      <c r="AF2751" s="87"/>
      <c r="AG2751" s="87"/>
      <c r="AH2751" s="87">
        <v>16</v>
      </c>
      <c r="AI2751" s="87"/>
      <c r="AJ2751" s="87"/>
      <c r="AK2751" s="87"/>
      <c r="AL2751" s="87"/>
      <c r="AM2751" s="87"/>
      <c r="AN2751" s="87">
        <v>2</v>
      </c>
      <c r="AO2751" s="87">
        <v>7</v>
      </c>
      <c r="AP2751" s="87"/>
      <c r="AQ2751" s="87">
        <v>4</v>
      </c>
      <c r="AR2751" s="87"/>
      <c r="AS2751" s="87"/>
      <c r="AT2751" s="87">
        <v>3</v>
      </c>
      <c r="AU2751" s="87"/>
      <c r="AV2751" s="87"/>
      <c r="AW2751" s="88" t="str">
        <f>HYPERLINK("http://www.openstreetmap.org/?mlat=35.5646&amp;mlon=45.4457&amp;zoom=12#map=12/35.5646/45.4457","Maplink1")</f>
        <v>Maplink1</v>
      </c>
      <c r="AX2751" s="88" t="str">
        <f>HYPERLINK("https://www.google.iq/maps/search/+35.5646,45.4457/@35.5646,45.4457,14z?hl=en","Maplink2")</f>
        <v>Maplink2</v>
      </c>
      <c r="AY2751" s="88" t="str">
        <f>HYPERLINK("http://www.bing.com/maps/?lvl=14&amp;sty=h&amp;cp=35.5646~45.4457&amp;sp=point.35.5646_45.4457","Maplink3")</f>
        <v>Maplink3</v>
      </c>
      <c r="AZ2751" s="76"/>
    </row>
    <row r="2752" spans="1:52" x14ac:dyDescent="0.25">
      <c r="A2752" s="86">
        <v>21319</v>
      </c>
      <c r="B2752" s="87" t="s">
        <v>27</v>
      </c>
      <c r="C2752" s="87" t="s">
        <v>5030</v>
      </c>
      <c r="D2752" s="87" t="s">
        <v>5211</v>
      </c>
      <c r="E2752" s="87" t="s">
        <v>5212</v>
      </c>
      <c r="F2752" s="87">
        <v>35.574022300000003</v>
      </c>
      <c r="G2752" s="87">
        <v>45.388062400000003</v>
      </c>
      <c r="H2752" s="86">
        <v>88</v>
      </c>
      <c r="I2752" s="86">
        <v>528</v>
      </c>
      <c r="J2752" s="87">
        <v>10</v>
      </c>
      <c r="K2752" s="87"/>
      <c r="L2752" s="87">
        <v>32</v>
      </c>
      <c r="M2752" s="87"/>
      <c r="N2752" s="87"/>
      <c r="O2752" s="87">
        <v>11</v>
      </c>
      <c r="P2752" s="87"/>
      <c r="Q2752" s="87"/>
      <c r="R2752" s="87">
        <v>17</v>
      </c>
      <c r="S2752" s="87"/>
      <c r="T2752" s="87"/>
      <c r="U2752" s="87"/>
      <c r="V2752" s="87">
        <v>11</v>
      </c>
      <c r="W2752" s="87"/>
      <c r="X2752" s="87">
        <v>7</v>
      </c>
      <c r="Y2752" s="87"/>
      <c r="Z2752" s="87"/>
      <c r="AA2752" s="87"/>
      <c r="AB2752" s="87"/>
      <c r="AC2752" s="87"/>
      <c r="AD2752" s="87"/>
      <c r="AE2752" s="87"/>
      <c r="AF2752" s="87"/>
      <c r="AG2752" s="87"/>
      <c r="AH2752" s="87">
        <v>88</v>
      </c>
      <c r="AI2752" s="87"/>
      <c r="AJ2752" s="87"/>
      <c r="AK2752" s="87"/>
      <c r="AL2752" s="87"/>
      <c r="AM2752" s="87"/>
      <c r="AN2752" s="87">
        <v>4</v>
      </c>
      <c r="AO2752" s="87">
        <v>4</v>
      </c>
      <c r="AP2752" s="87">
        <v>4</v>
      </c>
      <c r="AQ2752" s="87">
        <v>11</v>
      </c>
      <c r="AR2752" s="87">
        <v>12</v>
      </c>
      <c r="AS2752" s="87">
        <v>9</v>
      </c>
      <c r="AT2752" s="87">
        <v>11</v>
      </c>
      <c r="AU2752" s="87">
        <v>30</v>
      </c>
      <c r="AV2752" s="87">
        <v>3</v>
      </c>
      <c r="AW2752" s="88" t="str">
        <f>HYPERLINK("http://www.openstreetmap.org/?mlat=35.574&amp;mlon=45.3881&amp;zoom=12#map=12/35.574/45.3881","Maplink1")</f>
        <v>Maplink1</v>
      </c>
      <c r="AX2752" s="88" t="str">
        <f>HYPERLINK("https://www.google.iq/maps/search/+35.574,45.3881/@35.574,45.3881,14z?hl=en","Maplink2")</f>
        <v>Maplink2</v>
      </c>
      <c r="AY2752" s="88" t="str">
        <f>HYPERLINK("http://www.bing.com/maps/?lvl=14&amp;sty=h&amp;cp=35.574~45.3881&amp;sp=point.35.574_45.3881","Maplink3")</f>
        <v>Maplink3</v>
      </c>
      <c r="AZ2752" s="76"/>
    </row>
    <row r="2753" spans="1:52" x14ac:dyDescent="0.25">
      <c r="A2753" s="86">
        <v>25383</v>
      </c>
      <c r="B2753" s="87" t="s">
        <v>27</v>
      </c>
      <c r="C2753" s="87" t="s">
        <v>5030</v>
      </c>
      <c r="D2753" s="87" t="s">
        <v>5213</v>
      </c>
      <c r="E2753" s="87" t="s">
        <v>5214</v>
      </c>
      <c r="F2753" s="87">
        <v>35.524565500000001</v>
      </c>
      <c r="G2753" s="87">
        <v>45.439150300000001</v>
      </c>
      <c r="H2753" s="86">
        <v>20</v>
      </c>
      <c r="I2753" s="86">
        <v>120</v>
      </c>
      <c r="J2753" s="87">
        <v>12</v>
      </c>
      <c r="K2753" s="87">
        <v>1</v>
      </c>
      <c r="L2753" s="87">
        <v>3</v>
      </c>
      <c r="M2753" s="87"/>
      <c r="N2753" s="87"/>
      <c r="O2753" s="87">
        <v>2</v>
      </c>
      <c r="P2753" s="87"/>
      <c r="Q2753" s="87"/>
      <c r="R2753" s="87"/>
      <c r="S2753" s="87"/>
      <c r="T2753" s="87"/>
      <c r="U2753" s="87"/>
      <c r="V2753" s="87">
        <v>2</v>
      </c>
      <c r="W2753" s="87"/>
      <c r="X2753" s="87"/>
      <c r="Y2753" s="87"/>
      <c r="Z2753" s="87"/>
      <c r="AA2753" s="87"/>
      <c r="AB2753" s="87"/>
      <c r="AC2753" s="87"/>
      <c r="AD2753" s="87"/>
      <c r="AE2753" s="87"/>
      <c r="AF2753" s="87"/>
      <c r="AG2753" s="87"/>
      <c r="AH2753" s="87">
        <v>20</v>
      </c>
      <c r="AI2753" s="87"/>
      <c r="AJ2753" s="87"/>
      <c r="AK2753" s="87"/>
      <c r="AL2753" s="87"/>
      <c r="AM2753" s="87"/>
      <c r="AN2753" s="87">
        <v>2</v>
      </c>
      <c r="AO2753" s="87">
        <v>6</v>
      </c>
      <c r="AP2753" s="87">
        <v>2</v>
      </c>
      <c r="AQ2753" s="87">
        <v>4</v>
      </c>
      <c r="AR2753" s="87">
        <v>3</v>
      </c>
      <c r="AS2753" s="87">
        <v>3</v>
      </c>
      <c r="AT2753" s="87"/>
      <c r="AU2753" s="87"/>
      <c r="AV2753" s="87"/>
      <c r="AW2753" s="88" t="str">
        <f>HYPERLINK("http://www.openstreetmap.org/?mlat=35.5246&amp;mlon=45.4392&amp;zoom=12#map=12/35.5246/45.4392","Maplink1")</f>
        <v>Maplink1</v>
      </c>
      <c r="AX2753" s="88" t="str">
        <f>HYPERLINK("https://www.google.iq/maps/search/+35.5246,45.4392/@35.5246,45.4392,14z?hl=en","Maplink2")</f>
        <v>Maplink2</v>
      </c>
      <c r="AY2753" s="88" t="str">
        <f>HYPERLINK("http://www.bing.com/maps/?lvl=14&amp;sty=h&amp;cp=35.5246~45.4392&amp;sp=point.35.5246_45.4392","Maplink3")</f>
        <v>Maplink3</v>
      </c>
      <c r="AZ2753" s="76"/>
    </row>
    <row r="2754" spans="1:52" x14ac:dyDescent="0.25">
      <c r="A2754" s="86">
        <v>21254</v>
      </c>
      <c r="B2754" s="87" t="s">
        <v>27</v>
      </c>
      <c r="C2754" s="87" t="s">
        <v>5030</v>
      </c>
      <c r="D2754" s="87" t="s">
        <v>5215</v>
      </c>
      <c r="E2754" s="87" t="s">
        <v>5216</v>
      </c>
      <c r="F2754" s="87">
        <v>35.555422585800002</v>
      </c>
      <c r="G2754" s="87">
        <v>45.453211099999997</v>
      </c>
      <c r="H2754" s="86">
        <v>28</v>
      </c>
      <c r="I2754" s="86">
        <v>168</v>
      </c>
      <c r="J2754" s="87">
        <v>7</v>
      </c>
      <c r="K2754" s="87">
        <v>2</v>
      </c>
      <c r="L2754" s="87">
        <v>7</v>
      </c>
      <c r="M2754" s="87"/>
      <c r="N2754" s="87"/>
      <c r="O2754" s="87">
        <v>2</v>
      </c>
      <c r="P2754" s="87"/>
      <c r="Q2754" s="87"/>
      <c r="R2754" s="87">
        <v>1</v>
      </c>
      <c r="S2754" s="87"/>
      <c r="T2754" s="87"/>
      <c r="U2754" s="87"/>
      <c r="V2754" s="87"/>
      <c r="W2754" s="87"/>
      <c r="X2754" s="87">
        <v>9</v>
      </c>
      <c r="Y2754" s="87"/>
      <c r="Z2754" s="87"/>
      <c r="AA2754" s="87"/>
      <c r="AB2754" s="87"/>
      <c r="AC2754" s="87"/>
      <c r="AD2754" s="87"/>
      <c r="AE2754" s="87"/>
      <c r="AF2754" s="87"/>
      <c r="AG2754" s="87"/>
      <c r="AH2754" s="87">
        <v>28</v>
      </c>
      <c r="AI2754" s="87"/>
      <c r="AJ2754" s="87"/>
      <c r="AK2754" s="87"/>
      <c r="AL2754" s="87"/>
      <c r="AM2754" s="87"/>
      <c r="AN2754" s="87">
        <v>5</v>
      </c>
      <c r="AO2754" s="87">
        <v>7</v>
      </c>
      <c r="AP2754" s="87"/>
      <c r="AQ2754" s="87">
        <v>11</v>
      </c>
      <c r="AR2754" s="87"/>
      <c r="AS2754" s="87">
        <v>2</v>
      </c>
      <c r="AT2754" s="87">
        <v>2</v>
      </c>
      <c r="AU2754" s="87">
        <v>1</v>
      </c>
      <c r="AV2754" s="87"/>
      <c r="AW2754" s="88" t="str">
        <f>HYPERLINK("http://www.openstreetmap.org/?mlat=35.5554&amp;mlon=45.4532&amp;zoom=12#map=12/35.5554/45.4532","Maplink1")</f>
        <v>Maplink1</v>
      </c>
      <c r="AX2754" s="88" t="str">
        <f>HYPERLINK("https://www.google.iq/maps/search/+35.5554,45.4532/@35.5554,45.4532,14z?hl=en","Maplink2")</f>
        <v>Maplink2</v>
      </c>
      <c r="AY2754" s="88" t="str">
        <f>HYPERLINK("http://www.bing.com/maps/?lvl=14&amp;sty=h&amp;cp=35.5554~45.4532&amp;sp=point.35.5554_45.4532","Maplink3")</f>
        <v>Maplink3</v>
      </c>
      <c r="AZ2754" s="76"/>
    </row>
    <row r="2755" spans="1:52" x14ac:dyDescent="0.25">
      <c r="A2755" s="86">
        <v>31957</v>
      </c>
      <c r="B2755" s="87" t="s">
        <v>27</v>
      </c>
      <c r="C2755" s="87" t="s">
        <v>5030</v>
      </c>
      <c r="D2755" s="87" t="s">
        <v>5217</v>
      </c>
      <c r="E2755" s="87" t="s">
        <v>5218</v>
      </c>
      <c r="F2755" s="87">
        <v>35.524397200000003</v>
      </c>
      <c r="G2755" s="87">
        <v>45.469476</v>
      </c>
      <c r="H2755" s="86">
        <v>11</v>
      </c>
      <c r="I2755" s="86">
        <v>66</v>
      </c>
      <c r="J2755" s="87">
        <v>2</v>
      </c>
      <c r="K2755" s="87">
        <v>2</v>
      </c>
      <c r="L2755" s="87">
        <v>3</v>
      </c>
      <c r="M2755" s="87"/>
      <c r="N2755" s="87"/>
      <c r="O2755" s="87">
        <v>2</v>
      </c>
      <c r="P2755" s="87"/>
      <c r="Q2755" s="87"/>
      <c r="R2755" s="87"/>
      <c r="S2755" s="87"/>
      <c r="T2755" s="87"/>
      <c r="U2755" s="87"/>
      <c r="V2755" s="87">
        <v>1</v>
      </c>
      <c r="W2755" s="87"/>
      <c r="X2755" s="87">
        <v>1</v>
      </c>
      <c r="Y2755" s="87"/>
      <c r="Z2755" s="87"/>
      <c r="AA2755" s="87"/>
      <c r="AB2755" s="87"/>
      <c r="AC2755" s="87"/>
      <c r="AD2755" s="87"/>
      <c r="AE2755" s="87"/>
      <c r="AF2755" s="87"/>
      <c r="AG2755" s="87"/>
      <c r="AH2755" s="87">
        <v>11</v>
      </c>
      <c r="AI2755" s="87"/>
      <c r="AJ2755" s="87"/>
      <c r="AK2755" s="87"/>
      <c r="AL2755" s="87"/>
      <c r="AM2755" s="87"/>
      <c r="AN2755" s="87"/>
      <c r="AO2755" s="87"/>
      <c r="AP2755" s="87"/>
      <c r="AQ2755" s="87">
        <v>5</v>
      </c>
      <c r="AR2755" s="87">
        <v>1</v>
      </c>
      <c r="AS2755" s="87">
        <v>2</v>
      </c>
      <c r="AT2755" s="87">
        <v>3</v>
      </c>
      <c r="AU2755" s="87"/>
      <c r="AV2755" s="87"/>
      <c r="AW2755" s="88" t="str">
        <f>HYPERLINK("http://www.openstreetmap.org/?mlat=35.5244&amp;mlon=45.4695&amp;zoom=12#map=12/35.5244/45.4695","Maplink1")</f>
        <v>Maplink1</v>
      </c>
      <c r="AX2755" s="88" t="str">
        <f>HYPERLINK("https://www.google.iq/maps/search/+35.5244,45.4695/@35.5244,45.4695,14z?hl=en","Maplink2")</f>
        <v>Maplink2</v>
      </c>
      <c r="AY2755" s="88" t="str">
        <f>HYPERLINK("http://www.bing.com/maps/?lvl=14&amp;sty=h&amp;cp=35.5244~45.4695&amp;sp=point.35.5244_45.4695","Maplink3")</f>
        <v>Maplink3</v>
      </c>
      <c r="AZ2755" s="76"/>
    </row>
    <row r="2756" spans="1:52" x14ac:dyDescent="0.25">
      <c r="A2756" s="86">
        <v>25384</v>
      </c>
      <c r="B2756" s="87" t="s">
        <v>27</v>
      </c>
      <c r="C2756" s="87" t="s">
        <v>5030</v>
      </c>
      <c r="D2756" s="87" t="s">
        <v>5219</v>
      </c>
      <c r="E2756" s="87" t="s">
        <v>5220</v>
      </c>
      <c r="F2756" s="87">
        <v>35.5295323</v>
      </c>
      <c r="G2756" s="87">
        <v>45.437972799999997</v>
      </c>
      <c r="H2756" s="86">
        <v>100</v>
      </c>
      <c r="I2756" s="86">
        <v>600</v>
      </c>
      <c r="J2756" s="87">
        <v>36</v>
      </c>
      <c r="K2756" s="87">
        <v>2</v>
      </c>
      <c r="L2756" s="87">
        <v>19</v>
      </c>
      <c r="M2756" s="87"/>
      <c r="N2756" s="87"/>
      <c r="O2756" s="87">
        <v>3</v>
      </c>
      <c r="P2756" s="87"/>
      <c r="Q2756" s="87"/>
      <c r="R2756" s="87">
        <v>10</v>
      </c>
      <c r="S2756" s="87"/>
      <c r="T2756" s="87"/>
      <c r="U2756" s="87"/>
      <c r="V2756" s="87">
        <v>10</v>
      </c>
      <c r="W2756" s="87"/>
      <c r="X2756" s="87">
        <v>20</v>
      </c>
      <c r="Y2756" s="87"/>
      <c r="Z2756" s="87"/>
      <c r="AA2756" s="87"/>
      <c r="AB2756" s="87"/>
      <c r="AC2756" s="87"/>
      <c r="AD2756" s="87"/>
      <c r="AE2756" s="87"/>
      <c r="AF2756" s="87"/>
      <c r="AG2756" s="87"/>
      <c r="AH2756" s="87">
        <v>100</v>
      </c>
      <c r="AI2756" s="87"/>
      <c r="AJ2756" s="87"/>
      <c r="AK2756" s="87"/>
      <c r="AL2756" s="87"/>
      <c r="AM2756" s="87"/>
      <c r="AN2756" s="87">
        <v>5</v>
      </c>
      <c r="AO2756" s="87">
        <v>20</v>
      </c>
      <c r="AP2756" s="87">
        <v>8</v>
      </c>
      <c r="AQ2756" s="87">
        <v>6</v>
      </c>
      <c r="AR2756" s="87">
        <v>18</v>
      </c>
      <c r="AS2756" s="87">
        <v>12</v>
      </c>
      <c r="AT2756" s="87">
        <v>5</v>
      </c>
      <c r="AU2756" s="87">
        <v>25</v>
      </c>
      <c r="AV2756" s="87">
        <v>1</v>
      </c>
      <c r="AW2756" s="88" t="str">
        <f>HYPERLINK("http://www.openstreetmap.org/?mlat=35.5295&amp;mlon=45.438&amp;zoom=12#map=12/35.5295/45.438","Maplink1")</f>
        <v>Maplink1</v>
      </c>
      <c r="AX2756" s="88" t="str">
        <f>HYPERLINK("https://www.google.iq/maps/search/+35.5295,45.438/@35.5295,45.438,14z?hl=en","Maplink2")</f>
        <v>Maplink2</v>
      </c>
      <c r="AY2756" s="88" t="str">
        <f>HYPERLINK("http://www.bing.com/maps/?lvl=14&amp;sty=h&amp;cp=35.5295~45.438&amp;sp=point.35.5295_45.438","Maplink3")</f>
        <v>Maplink3</v>
      </c>
      <c r="AZ2756" s="76"/>
    </row>
    <row r="2757" spans="1:52" x14ac:dyDescent="0.25">
      <c r="A2757" s="86">
        <v>21061</v>
      </c>
      <c r="B2757" s="87" t="s">
        <v>27</v>
      </c>
      <c r="C2757" s="87" t="s">
        <v>5030</v>
      </c>
      <c r="D2757" s="87" t="s">
        <v>5221</v>
      </c>
      <c r="E2757" s="87" t="s">
        <v>5222</v>
      </c>
      <c r="F2757" s="87">
        <v>35.582038900000001</v>
      </c>
      <c r="G2757" s="87">
        <v>45.4576761</v>
      </c>
      <c r="H2757" s="86">
        <v>90</v>
      </c>
      <c r="I2757" s="86">
        <v>540</v>
      </c>
      <c r="J2757" s="87">
        <v>11</v>
      </c>
      <c r="K2757" s="87"/>
      <c r="L2757" s="87">
        <v>44</v>
      </c>
      <c r="M2757" s="87"/>
      <c r="N2757" s="87"/>
      <c r="O2757" s="87">
        <v>5</v>
      </c>
      <c r="P2757" s="87"/>
      <c r="Q2757" s="87"/>
      <c r="R2757" s="87"/>
      <c r="S2757" s="87"/>
      <c r="T2757" s="87"/>
      <c r="U2757" s="87"/>
      <c r="V2757" s="87">
        <v>19</v>
      </c>
      <c r="W2757" s="87"/>
      <c r="X2757" s="87">
        <v>11</v>
      </c>
      <c r="Y2757" s="87"/>
      <c r="Z2757" s="87"/>
      <c r="AA2757" s="87"/>
      <c r="AB2757" s="87"/>
      <c r="AC2757" s="87"/>
      <c r="AD2757" s="87"/>
      <c r="AE2757" s="87"/>
      <c r="AF2757" s="87"/>
      <c r="AG2757" s="87"/>
      <c r="AH2757" s="87">
        <v>58</v>
      </c>
      <c r="AI2757" s="87"/>
      <c r="AJ2757" s="87"/>
      <c r="AK2757" s="87"/>
      <c r="AL2757" s="87">
        <v>32</v>
      </c>
      <c r="AM2757" s="87"/>
      <c r="AN2757" s="87">
        <v>6</v>
      </c>
      <c r="AO2757" s="87">
        <v>7</v>
      </c>
      <c r="AP2757" s="87">
        <v>4</v>
      </c>
      <c r="AQ2757" s="87">
        <v>7</v>
      </c>
      <c r="AR2757" s="87">
        <v>13</v>
      </c>
      <c r="AS2757" s="87">
        <v>17</v>
      </c>
      <c r="AT2757" s="87">
        <v>16</v>
      </c>
      <c r="AU2757" s="87">
        <v>17</v>
      </c>
      <c r="AV2757" s="87">
        <v>3</v>
      </c>
      <c r="AW2757" s="88" t="str">
        <f>HYPERLINK("http://www.openstreetmap.org/?mlat=35.582&amp;mlon=45.4577&amp;zoom=12#map=12/35.582/45.4577","Maplink1")</f>
        <v>Maplink1</v>
      </c>
      <c r="AX2757" s="88" t="str">
        <f>HYPERLINK("https://www.google.iq/maps/search/+35.582,45.4577/@35.582,45.4577,14z?hl=en","Maplink2")</f>
        <v>Maplink2</v>
      </c>
      <c r="AY2757" s="88" t="str">
        <f>HYPERLINK("http://www.bing.com/maps/?lvl=14&amp;sty=h&amp;cp=35.582~45.4577&amp;sp=point.35.582_45.4577","Maplink3")</f>
        <v>Maplink3</v>
      </c>
      <c r="AZ2757" s="76"/>
    </row>
    <row r="2758" spans="1:52" x14ac:dyDescent="0.25">
      <c r="A2758" s="86">
        <v>31987</v>
      </c>
      <c r="B2758" s="87" t="s">
        <v>27</v>
      </c>
      <c r="C2758" s="87" t="s">
        <v>5030</v>
      </c>
      <c r="D2758" s="87" t="s">
        <v>5223</v>
      </c>
      <c r="E2758" s="87" t="s">
        <v>5224</v>
      </c>
      <c r="F2758" s="87">
        <v>35.570882900000001</v>
      </c>
      <c r="G2758" s="87">
        <v>45.401493799999997</v>
      </c>
      <c r="H2758" s="86">
        <v>41</v>
      </c>
      <c r="I2758" s="86">
        <v>246</v>
      </c>
      <c r="J2758" s="87">
        <v>14</v>
      </c>
      <c r="K2758" s="87"/>
      <c r="L2758" s="87">
        <v>19</v>
      </c>
      <c r="M2758" s="87"/>
      <c r="N2758" s="87"/>
      <c r="O2758" s="87"/>
      <c r="P2758" s="87"/>
      <c r="Q2758" s="87"/>
      <c r="R2758" s="87">
        <v>3</v>
      </c>
      <c r="S2758" s="87"/>
      <c r="T2758" s="87"/>
      <c r="U2758" s="87"/>
      <c r="V2758" s="87">
        <v>1</v>
      </c>
      <c r="W2758" s="87"/>
      <c r="X2758" s="87">
        <v>4</v>
      </c>
      <c r="Y2758" s="87"/>
      <c r="Z2758" s="87"/>
      <c r="AA2758" s="87"/>
      <c r="AB2758" s="87"/>
      <c r="AC2758" s="87"/>
      <c r="AD2758" s="87"/>
      <c r="AE2758" s="87"/>
      <c r="AF2758" s="87"/>
      <c r="AG2758" s="87"/>
      <c r="AH2758" s="87">
        <v>41</v>
      </c>
      <c r="AI2758" s="87"/>
      <c r="AJ2758" s="87"/>
      <c r="AK2758" s="87"/>
      <c r="AL2758" s="87"/>
      <c r="AM2758" s="87"/>
      <c r="AN2758" s="87"/>
      <c r="AO2758" s="87">
        <v>8</v>
      </c>
      <c r="AP2758" s="87"/>
      <c r="AQ2758" s="87">
        <v>11</v>
      </c>
      <c r="AR2758" s="87">
        <v>6</v>
      </c>
      <c r="AS2758" s="87">
        <v>7</v>
      </c>
      <c r="AT2758" s="87">
        <v>1</v>
      </c>
      <c r="AU2758" s="87">
        <v>8</v>
      </c>
      <c r="AV2758" s="87"/>
      <c r="AW2758" s="88" t="str">
        <f>HYPERLINK("http://www.openstreetmap.org/?mlat=35.5709&amp;mlon=45.4015&amp;zoom=12#map=12/35.5709/45.4015","Maplink1")</f>
        <v>Maplink1</v>
      </c>
      <c r="AX2758" s="88" t="str">
        <f>HYPERLINK("https://www.google.iq/maps/search/+35.5709,45.4015/@35.5709,45.4015,14z?hl=en","Maplink2")</f>
        <v>Maplink2</v>
      </c>
      <c r="AY2758" s="88" t="str">
        <f>HYPERLINK("http://www.bing.com/maps/?lvl=14&amp;sty=h&amp;cp=35.5709~45.4015&amp;sp=point.35.5709_45.4015","Maplink3")</f>
        <v>Maplink3</v>
      </c>
      <c r="AZ2758" s="76"/>
    </row>
    <row r="2759" spans="1:52" x14ac:dyDescent="0.25">
      <c r="A2759" s="86">
        <v>31982</v>
      </c>
      <c r="B2759" s="87" t="s">
        <v>27</v>
      </c>
      <c r="C2759" s="87" t="s">
        <v>5030</v>
      </c>
      <c r="D2759" s="87" t="s">
        <v>5225</v>
      </c>
      <c r="E2759" s="87" t="s">
        <v>5226</v>
      </c>
      <c r="F2759" s="87">
        <v>35.566208699999997</v>
      </c>
      <c r="G2759" s="87">
        <v>45.402464899999998</v>
      </c>
      <c r="H2759" s="86">
        <v>40</v>
      </c>
      <c r="I2759" s="86">
        <v>240</v>
      </c>
      <c r="J2759" s="87">
        <v>14</v>
      </c>
      <c r="K2759" s="87">
        <v>1</v>
      </c>
      <c r="L2759" s="87">
        <v>20</v>
      </c>
      <c r="M2759" s="87"/>
      <c r="N2759" s="87"/>
      <c r="O2759" s="87">
        <v>2</v>
      </c>
      <c r="P2759" s="87"/>
      <c r="Q2759" s="87"/>
      <c r="R2759" s="87"/>
      <c r="S2759" s="87"/>
      <c r="T2759" s="87"/>
      <c r="U2759" s="87"/>
      <c r="V2759" s="87">
        <v>2</v>
      </c>
      <c r="W2759" s="87"/>
      <c r="X2759" s="87">
        <v>1</v>
      </c>
      <c r="Y2759" s="87"/>
      <c r="Z2759" s="87"/>
      <c r="AA2759" s="87"/>
      <c r="AB2759" s="87"/>
      <c r="AC2759" s="87"/>
      <c r="AD2759" s="87"/>
      <c r="AE2759" s="87"/>
      <c r="AF2759" s="87"/>
      <c r="AG2759" s="87"/>
      <c r="AH2759" s="87">
        <v>40</v>
      </c>
      <c r="AI2759" s="87"/>
      <c r="AJ2759" s="87"/>
      <c r="AK2759" s="87"/>
      <c r="AL2759" s="87"/>
      <c r="AM2759" s="87"/>
      <c r="AN2759" s="87">
        <v>2</v>
      </c>
      <c r="AO2759" s="87">
        <v>10</v>
      </c>
      <c r="AP2759" s="87">
        <v>3</v>
      </c>
      <c r="AQ2759" s="87">
        <v>8</v>
      </c>
      <c r="AR2759" s="87">
        <v>7</v>
      </c>
      <c r="AS2759" s="87">
        <v>6</v>
      </c>
      <c r="AT2759" s="87"/>
      <c r="AU2759" s="87">
        <v>4</v>
      </c>
      <c r="AV2759" s="87"/>
      <c r="AW2759" s="88" t="str">
        <f>HYPERLINK("http://www.openstreetmap.org/?mlat=35.5662&amp;mlon=45.4025&amp;zoom=12#map=12/35.5662/45.4025","Maplink1")</f>
        <v>Maplink1</v>
      </c>
      <c r="AX2759" s="88" t="str">
        <f>HYPERLINK("https://www.google.iq/maps/search/+35.5662,45.4025/@35.5662,45.4025,14z?hl=en","Maplink2")</f>
        <v>Maplink2</v>
      </c>
      <c r="AY2759" s="88" t="str">
        <f>HYPERLINK("http://www.bing.com/maps/?lvl=14&amp;sty=h&amp;cp=35.5662~45.4025&amp;sp=point.35.5662_45.4025","Maplink3")</f>
        <v>Maplink3</v>
      </c>
      <c r="AZ2759" s="76"/>
    </row>
    <row r="2760" spans="1:52" x14ac:dyDescent="0.25">
      <c r="A2760" s="86">
        <v>33377</v>
      </c>
      <c r="B2760" s="87" t="s">
        <v>27</v>
      </c>
      <c r="C2760" s="87" t="s">
        <v>5030</v>
      </c>
      <c r="D2760" s="87" t="s">
        <v>5227</v>
      </c>
      <c r="E2760" s="87" t="s">
        <v>5228</v>
      </c>
      <c r="F2760" s="87">
        <v>35.571314621399999</v>
      </c>
      <c r="G2760" s="87">
        <v>45.462607800000001</v>
      </c>
      <c r="H2760" s="86">
        <v>99</v>
      </c>
      <c r="I2760" s="86">
        <v>594</v>
      </c>
      <c r="J2760" s="87">
        <v>25</v>
      </c>
      <c r="K2760" s="87">
        <v>8</v>
      </c>
      <c r="L2760" s="87">
        <v>20</v>
      </c>
      <c r="M2760" s="87"/>
      <c r="N2760" s="87"/>
      <c r="O2760" s="87">
        <v>18</v>
      </c>
      <c r="P2760" s="87"/>
      <c r="Q2760" s="87"/>
      <c r="R2760" s="87"/>
      <c r="S2760" s="87"/>
      <c r="T2760" s="87"/>
      <c r="U2760" s="87"/>
      <c r="V2760" s="87">
        <v>7</v>
      </c>
      <c r="W2760" s="87"/>
      <c r="X2760" s="87">
        <v>21</v>
      </c>
      <c r="Y2760" s="87"/>
      <c r="Z2760" s="87"/>
      <c r="AA2760" s="87"/>
      <c r="AB2760" s="87"/>
      <c r="AC2760" s="87"/>
      <c r="AD2760" s="87"/>
      <c r="AE2760" s="87"/>
      <c r="AF2760" s="87"/>
      <c r="AG2760" s="87"/>
      <c r="AH2760" s="87">
        <v>99</v>
      </c>
      <c r="AI2760" s="87"/>
      <c r="AJ2760" s="87"/>
      <c r="AK2760" s="87"/>
      <c r="AL2760" s="87"/>
      <c r="AM2760" s="87"/>
      <c r="AN2760" s="87">
        <v>11</v>
      </c>
      <c r="AO2760" s="87">
        <v>35</v>
      </c>
      <c r="AP2760" s="87">
        <v>8</v>
      </c>
      <c r="AQ2760" s="87">
        <v>18</v>
      </c>
      <c r="AR2760" s="87">
        <v>18</v>
      </c>
      <c r="AS2760" s="87">
        <v>5</v>
      </c>
      <c r="AT2760" s="87">
        <v>4</v>
      </c>
      <c r="AU2760" s="87"/>
      <c r="AV2760" s="87"/>
      <c r="AW2760" s="88" t="str">
        <f>HYPERLINK("http://www.openstreetmap.org/?mlat=35.5713&amp;mlon=45.4626&amp;zoom=12#map=12/35.5713/45.4626","Maplink1")</f>
        <v>Maplink1</v>
      </c>
      <c r="AX2760" s="88" t="str">
        <f>HYPERLINK("https://www.google.iq/maps/search/+35.5713,45.4626/@35.5713,45.4626,14z?hl=en","Maplink2")</f>
        <v>Maplink2</v>
      </c>
      <c r="AY2760" s="88" t="str">
        <f>HYPERLINK("http://www.bing.com/maps/?lvl=14&amp;sty=h&amp;cp=35.5713~45.4626&amp;sp=point.35.5713_45.4626","Maplink3")</f>
        <v>Maplink3</v>
      </c>
      <c r="AZ2760" s="76"/>
    </row>
    <row r="2761" spans="1:52" x14ac:dyDescent="0.25">
      <c r="A2761" s="86">
        <v>23718</v>
      </c>
      <c r="B2761" s="87" t="s">
        <v>27</v>
      </c>
      <c r="C2761" s="87" t="s">
        <v>5030</v>
      </c>
      <c r="D2761" s="87" t="s">
        <v>5229</v>
      </c>
      <c r="E2761" s="87" t="s">
        <v>5230</v>
      </c>
      <c r="F2761" s="87">
        <v>35.6151658</v>
      </c>
      <c r="G2761" s="87">
        <v>45.414519599999998</v>
      </c>
      <c r="H2761" s="86">
        <v>70</v>
      </c>
      <c r="I2761" s="86">
        <v>420</v>
      </c>
      <c r="J2761" s="87">
        <v>20</v>
      </c>
      <c r="K2761" s="87"/>
      <c r="L2761" s="87">
        <v>19</v>
      </c>
      <c r="M2761" s="87"/>
      <c r="N2761" s="87"/>
      <c r="O2761" s="87">
        <v>3</v>
      </c>
      <c r="P2761" s="87"/>
      <c r="Q2761" s="87"/>
      <c r="R2761" s="87">
        <v>8</v>
      </c>
      <c r="S2761" s="87"/>
      <c r="T2761" s="87"/>
      <c r="U2761" s="87"/>
      <c r="V2761" s="87">
        <v>3</v>
      </c>
      <c r="W2761" s="87"/>
      <c r="X2761" s="87">
        <v>17</v>
      </c>
      <c r="Y2761" s="87"/>
      <c r="Z2761" s="87"/>
      <c r="AA2761" s="87"/>
      <c r="AB2761" s="87"/>
      <c r="AC2761" s="87"/>
      <c r="AD2761" s="87"/>
      <c r="AE2761" s="87"/>
      <c r="AF2761" s="87"/>
      <c r="AG2761" s="87"/>
      <c r="AH2761" s="87">
        <v>70</v>
      </c>
      <c r="AI2761" s="87"/>
      <c r="AJ2761" s="87"/>
      <c r="AK2761" s="87"/>
      <c r="AL2761" s="87"/>
      <c r="AM2761" s="87"/>
      <c r="AN2761" s="87">
        <v>7</v>
      </c>
      <c r="AO2761" s="87">
        <v>16</v>
      </c>
      <c r="AP2761" s="87"/>
      <c r="AQ2761" s="87">
        <v>7</v>
      </c>
      <c r="AR2761" s="87"/>
      <c r="AS2761" s="87">
        <v>19</v>
      </c>
      <c r="AT2761" s="87"/>
      <c r="AU2761" s="87">
        <v>19</v>
      </c>
      <c r="AV2761" s="87">
        <v>2</v>
      </c>
      <c r="AW2761" s="88" t="str">
        <f>HYPERLINK("http://www.openstreetmap.org/?mlat=35.6152&amp;mlon=45.4145&amp;zoom=12#map=12/35.6152/45.4145","Maplink1")</f>
        <v>Maplink1</v>
      </c>
      <c r="AX2761" s="88" t="str">
        <f>HYPERLINK("https://www.google.iq/maps/search/+35.6152,45.4145/@35.6152,45.4145,14z?hl=en","Maplink2")</f>
        <v>Maplink2</v>
      </c>
      <c r="AY2761" s="88" t="str">
        <f>HYPERLINK("http://www.bing.com/maps/?lvl=14&amp;sty=h&amp;cp=35.6152~45.4145&amp;sp=point.35.6152_45.4145","Maplink3")</f>
        <v>Maplink3</v>
      </c>
      <c r="AZ2761" s="76"/>
    </row>
    <row r="2762" spans="1:52" x14ac:dyDescent="0.25">
      <c r="A2762" s="86">
        <v>23870</v>
      </c>
      <c r="B2762" s="87" t="s">
        <v>27</v>
      </c>
      <c r="C2762" s="87" t="s">
        <v>5030</v>
      </c>
      <c r="D2762" s="87" t="s">
        <v>5231</v>
      </c>
      <c r="E2762" s="87" t="s">
        <v>5232</v>
      </c>
      <c r="F2762" s="87">
        <v>35.579491400000002</v>
      </c>
      <c r="G2762" s="87">
        <v>45.448945999999999</v>
      </c>
      <c r="H2762" s="86">
        <v>25</v>
      </c>
      <c r="I2762" s="86">
        <v>150</v>
      </c>
      <c r="J2762" s="87">
        <v>11</v>
      </c>
      <c r="K2762" s="87"/>
      <c r="L2762" s="87">
        <v>5</v>
      </c>
      <c r="M2762" s="87"/>
      <c r="N2762" s="87"/>
      <c r="O2762" s="87">
        <v>1</v>
      </c>
      <c r="P2762" s="87"/>
      <c r="Q2762" s="87"/>
      <c r="R2762" s="87"/>
      <c r="S2762" s="87"/>
      <c r="T2762" s="87"/>
      <c r="U2762" s="87"/>
      <c r="V2762" s="87">
        <v>2</v>
      </c>
      <c r="W2762" s="87"/>
      <c r="X2762" s="87">
        <v>6</v>
      </c>
      <c r="Y2762" s="87"/>
      <c r="Z2762" s="87"/>
      <c r="AA2762" s="87"/>
      <c r="AB2762" s="87"/>
      <c r="AC2762" s="87"/>
      <c r="AD2762" s="87"/>
      <c r="AE2762" s="87"/>
      <c r="AF2762" s="87"/>
      <c r="AG2762" s="87"/>
      <c r="AH2762" s="87">
        <v>25</v>
      </c>
      <c r="AI2762" s="87"/>
      <c r="AJ2762" s="87"/>
      <c r="AK2762" s="87"/>
      <c r="AL2762" s="87"/>
      <c r="AM2762" s="87"/>
      <c r="AN2762" s="87">
        <v>3</v>
      </c>
      <c r="AO2762" s="87">
        <v>1</v>
      </c>
      <c r="AP2762" s="87"/>
      <c r="AQ2762" s="87">
        <v>5</v>
      </c>
      <c r="AR2762" s="87">
        <v>3</v>
      </c>
      <c r="AS2762" s="87">
        <v>7</v>
      </c>
      <c r="AT2762" s="87">
        <v>3</v>
      </c>
      <c r="AU2762" s="87">
        <v>2</v>
      </c>
      <c r="AV2762" s="87">
        <v>1</v>
      </c>
      <c r="AW2762" s="88" t="str">
        <f>HYPERLINK("http://www.openstreetmap.org/?mlat=35.5795&amp;mlon=45.4489&amp;zoom=12#map=12/35.5795/45.4489","Maplink1")</f>
        <v>Maplink1</v>
      </c>
      <c r="AX2762" s="88" t="str">
        <f>HYPERLINK("https://www.google.iq/maps/search/+35.5795,45.4489/@35.5795,45.4489,14z?hl=en","Maplink2")</f>
        <v>Maplink2</v>
      </c>
      <c r="AY2762" s="88" t="str">
        <f>HYPERLINK("http://www.bing.com/maps/?lvl=14&amp;sty=h&amp;cp=35.5795~45.4489&amp;sp=point.35.5795_45.4489","Maplink3")</f>
        <v>Maplink3</v>
      </c>
      <c r="AZ2762" s="76"/>
    </row>
    <row r="2763" spans="1:52" x14ac:dyDescent="0.25">
      <c r="A2763" s="86">
        <v>31991</v>
      </c>
      <c r="B2763" s="87" t="s">
        <v>27</v>
      </c>
      <c r="C2763" s="87" t="s">
        <v>5030</v>
      </c>
      <c r="D2763" s="87" t="s">
        <v>5233</v>
      </c>
      <c r="E2763" s="87" t="s">
        <v>5234</v>
      </c>
      <c r="F2763" s="87">
        <v>35.589013000000001</v>
      </c>
      <c r="G2763" s="87">
        <v>45.415391100000001</v>
      </c>
      <c r="H2763" s="86">
        <v>83</v>
      </c>
      <c r="I2763" s="86">
        <v>498</v>
      </c>
      <c r="J2763" s="87">
        <v>31</v>
      </c>
      <c r="K2763" s="87">
        <v>8</v>
      </c>
      <c r="L2763" s="87">
        <v>17</v>
      </c>
      <c r="M2763" s="87"/>
      <c r="N2763" s="87"/>
      <c r="O2763" s="87">
        <v>10</v>
      </c>
      <c r="P2763" s="87"/>
      <c r="Q2763" s="87"/>
      <c r="R2763" s="87"/>
      <c r="S2763" s="87"/>
      <c r="T2763" s="87"/>
      <c r="U2763" s="87"/>
      <c r="V2763" s="87">
        <v>8</v>
      </c>
      <c r="W2763" s="87"/>
      <c r="X2763" s="87">
        <v>9</v>
      </c>
      <c r="Y2763" s="87"/>
      <c r="Z2763" s="87"/>
      <c r="AA2763" s="87"/>
      <c r="AB2763" s="87"/>
      <c r="AC2763" s="87"/>
      <c r="AD2763" s="87"/>
      <c r="AE2763" s="87"/>
      <c r="AF2763" s="87"/>
      <c r="AG2763" s="87"/>
      <c r="AH2763" s="87">
        <v>83</v>
      </c>
      <c r="AI2763" s="87"/>
      <c r="AJ2763" s="87"/>
      <c r="AK2763" s="87"/>
      <c r="AL2763" s="87"/>
      <c r="AM2763" s="87"/>
      <c r="AN2763" s="87">
        <v>2</v>
      </c>
      <c r="AO2763" s="87">
        <v>24</v>
      </c>
      <c r="AP2763" s="87"/>
      <c r="AQ2763" s="87">
        <v>27</v>
      </c>
      <c r="AR2763" s="87">
        <v>11</v>
      </c>
      <c r="AS2763" s="87">
        <v>15</v>
      </c>
      <c r="AT2763" s="87">
        <v>4</v>
      </c>
      <c r="AU2763" s="87"/>
      <c r="AV2763" s="87"/>
      <c r="AW2763" s="88" t="str">
        <f>HYPERLINK("http://www.openstreetmap.org/?mlat=35.589&amp;mlon=45.4154&amp;zoom=12#map=12/35.589/45.4154","Maplink1")</f>
        <v>Maplink1</v>
      </c>
      <c r="AX2763" s="88" t="str">
        <f>HYPERLINK("https://www.google.iq/maps/search/+35.589,45.4154/@35.589,45.4154,14z?hl=en","Maplink2")</f>
        <v>Maplink2</v>
      </c>
      <c r="AY2763" s="88" t="str">
        <f>HYPERLINK("http://www.bing.com/maps/?lvl=14&amp;sty=h&amp;cp=35.589~45.4154&amp;sp=point.35.589_45.4154","Maplink3")</f>
        <v>Maplink3</v>
      </c>
      <c r="AZ2763" s="76"/>
    </row>
    <row r="2764" spans="1:52" x14ac:dyDescent="0.25">
      <c r="A2764" s="86">
        <v>31954</v>
      </c>
      <c r="B2764" s="87" t="s">
        <v>27</v>
      </c>
      <c r="C2764" s="87" t="s">
        <v>5030</v>
      </c>
      <c r="D2764" s="87" t="s">
        <v>5235</v>
      </c>
      <c r="E2764" s="87" t="s">
        <v>5236</v>
      </c>
      <c r="F2764" s="87">
        <v>35.542950599999998</v>
      </c>
      <c r="G2764" s="87">
        <v>45.456982099999998</v>
      </c>
      <c r="H2764" s="86">
        <v>27</v>
      </c>
      <c r="I2764" s="86">
        <v>162</v>
      </c>
      <c r="J2764" s="87">
        <v>3</v>
      </c>
      <c r="K2764" s="87">
        <v>1</v>
      </c>
      <c r="L2764" s="87">
        <v>12</v>
      </c>
      <c r="M2764" s="87"/>
      <c r="N2764" s="87"/>
      <c r="O2764" s="87">
        <v>8</v>
      </c>
      <c r="P2764" s="87"/>
      <c r="Q2764" s="87"/>
      <c r="R2764" s="87"/>
      <c r="S2764" s="87"/>
      <c r="T2764" s="87"/>
      <c r="U2764" s="87"/>
      <c r="V2764" s="87"/>
      <c r="W2764" s="87"/>
      <c r="X2764" s="87">
        <v>3</v>
      </c>
      <c r="Y2764" s="87"/>
      <c r="Z2764" s="87"/>
      <c r="AA2764" s="87"/>
      <c r="AB2764" s="87"/>
      <c r="AC2764" s="87"/>
      <c r="AD2764" s="87"/>
      <c r="AE2764" s="87"/>
      <c r="AF2764" s="87"/>
      <c r="AG2764" s="87"/>
      <c r="AH2764" s="87">
        <v>27</v>
      </c>
      <c r="AI2764" s="87"/>
      <c r="AJ2764" s="87"/>
      <c r="AK2764" s="87"/>
      <c r="AL2764" s="87"/>
      <c r="AM2764" s="87"/>
      <c r="AN2764" s="87"/>
      <c r="AO2764" s="87">
        <v>1</v>
      </c>
      <c r="AP2764" s="87">
        <v>3</v>
      </c>
      <c r="AQ2764" s="87">
        <v>11</v>
      </c>
      <c r="AR2764" s="87">
        <v>2</v>
      </c>
      <c r="AS2764" s="87">
        <v>3</v>
      </c>
      <c r="AT2764" s="87">
        <v>6</v>
      </c>
      <c r="AU2764" s="87">
        <v>1</v>
      </c>
      <c r="AV2764" s="87"/>
      <c r="AW2764" s="88" t="str">
        <f>HYPERLINK("http://www.openstreetmap.org/?mlat=35.543&amp;mlon=45.457&amp;zoom=12#map=12/35.543/45.457","Maplink1")</f>
        <v>Maplink1</v>
      </c>
      <c r="AX2764" s="88" t="str">
        <f>HYPERLINK("https://www.google.iq/maps/search/+35.543,45.457/@35.543,45.457,14z?hl=en","Maplink2")</f>
        <v>Maplink2</v>
      </c>
      <c r="AY2764" s="88" t="str">
        <f>HYPERLINK("http://www.bing.com/maps/?lvl=14&amp;sty=h&amp;cp=35.543~45.457&amp;sp=point.35.543_45.457","Maplink3")</f>
        <v>Maplink3</v>
      </c>
      <c r="AZ2764" s="76"/>
    </row>
    <row r="2765" spans="1:52" x14ac:dyDescent="0.25">
      <c r="A2765" s="86">
        <v>4486</v>
      </c>
      <c r="B2765" s="87" t="s">
        <v>27</v>
      </c>
      <c r="C2765" s="87" t="s">
        <v>5030</v>
      </c>
      <c r="D2765" s="87" t="s">
        <v>5237</v>
      </c>
      <c r="E2765" s="87" t="s">
        <v>5238</v>
      </c>
      <c r="F2765" s="87">
        <v>35.4999197</v>
      </c>
      <c r="G2765" s="87">
        <v>45.438570900000002</v>
      </c>
      <c r="H2765" s="86">
        <v>52</v>
      </c>
      <c r="I2765" s="86">
        <v>312</v>
      </c>
      <c r="J2765" s="87">
        <v>10</v>
      </c>
      <c r="K2765" s="87"/>
      <c r="L2765" s="87">
        <v>10</v>
      </c>
      <c r="M2765" s="87"/>
      <c r="N2765" s="87"/>
      <c r="O2765" s="87">
        <v>14</v>
      </c>
      <c r="P2765" s="87"/>
      <c r="Q2765" s="87"/>
      <c r="R2765" s="87"/>
      <c r="S2765" s="87"/>
      <c r="T2765" s="87"/>
      <c r="U2765" s="87"/>
      <c r="V2765" s="87">
        <v>16</v>
      </c>
      <c r="W2765" s="87"/>
      <c r="X2765" s="87">
        <v>2</v>
      </c>
      <c r="Y2765" s="87"/>
      <c r="Z2765" s="87"/>
      <c r="AA2765" s="87"/>
      <c r="AB2765" s="87"/>
      <c r="AC2765" s="87"/>
      <c r="AD2765" s="87"/>
      <c r="AE2765" s="87"/>
      <c r="AF2765" s="87"/>
      <c r="AG2765" s="87"/>
      <c r="AH2765" s="87">
        <v>52</v>
      </c>
      <c r="AI2765" s="87"/>
      <c r="AJ2765" s="87"/>
      <c r="AK2765" s="87"/>
      <c r="AL2765" s="87"/>
      <c r="AM2765" s="87"/>
      <c r="AN2765" s="87"/>
      <c r="AO2765" s="87">
        <v>16</v>
      </c>
      <c r="AP2765" s="87">
        <v>4</v>
      </c>
      <c r="AQ2765" s="87">
        <v>8</v>
      </c>
      <c r="AR2765" s="87">
        <v>1</v>
      </c>
      <c r="AS2765" s="87">
        <v>16</v>
      </c>
      <c r="AT2765" s="87">
        <v>1</v>
      </c>
      <c r="AU2765" s="87">
        <v>3</v>
      </c>
      <c r="AV2765" s="87">
        <v>3</v>
      </c>
      <c r="AW2765" s="88" t="str">
        <f>HYPERLINK("http://www.openstreetmap.org/?mlat=35.4999&amp;mlon=45.4386&amp;zoom=12#map=12/35.4999/45.4386","Maplink1")</f>
        <v>Maplink1</v>
      </c>
      <c r="AX2765" s="88" t="str">
        <f>HYPERLINK("https://www.google.iq/maps/search/+35.4999,45.4386/@35.4999,45.4386,14z?hl=en","Maplink2")</f>
        <v>Maplink2</v>
      </c>
      <c r="AY2765" s="88" t="str">
        <f>HYPERLINK("http://www.bing.com/maps/?lvl=14&amp;sty=h&amp;cp=35.4999~45.4386&amp;sp=point.35.4999_45.4386","Maplink3")</f>
        <v>Maplink3</v>
      </c>
      <c r="AZ2765" s="76"/>
    </row>
    <row r="2766" spans="1:52" x14ac:dyDescent="0.25">
      <c r="A2766" s="86">
        <v>21205</v>
      </c>
      <c r="B2766" s="87" t="s">
        <v>27</v>
      </c>
      <c r="C2766" s="87" t="s">
        <v>5030</v>
      </c>
      <c r="D2766" s="87" t="s">
        <v>5239</v>
      </c>
      <c r="E2766" s="87" t="s">
        <v>5240</v>
      </c>
      <c r="F2766" s="87">
        <v>35.558291122900002</v>
      </c>
      <c r="G2766" s="87">
        <v>45.464627499999999</v>
      </c>
      <c r="H2766" s="86">
        <v>92</v>
      </c>
      <c r="I2766" s="86">
        <v>552</v>
      </c>
      <c r="J2766" s="87">
        <v>4</v>
      </c>
      <c r="K2766" s="87">
        <v>40</v>
      </c>
      <c r="L2766" s="87">
        <v>25</v>
      </c>
      <c r="M2766" s="87"/>
      <c r="N2766" s="87"/>
      <c r="O2766" s="87">
        <v>5</v>
      </c>
      <c r="P2766" s="87"/>
      <c r="Q2766" s="87"/>
      <c r="R2766" s="87"/>
      <c r="S2766" s="87"/>
      <c r="T2766" s="87"/>
      <c r="U2766" s="87"/>
      <c r="V2766" s="87">
        <v>7</v>
      </c>
      <c r="W2766" s="87"/>
      <c r="X2766" s="87">
        <v>11</v>
      </c>
      <c r="Y2766" s="87"/>
      <c r="Z2766" s="87"/>
      <c r="AA2766" s="87"/>
      <c r="AB2766" s="87"/>
      <c r="AC2766" s="87"/>
      <c r="AD2766" s="87"/>
      <c r="AE2766" s="87"/>
      <c r="AF2766" s="87"/>
      <c r="AG2766" s="87"/>
      <c r="AH2766" s="87">
        <v>92</v>
      </c>
      <c r="AI2766" s="87"/>
      <c r="AJ2766" s="87"/>
      <c r="AK2766" s="87"/>
      <c r="AL2766" s="87"/>
      <c r="AM2766" s="87"/>
      <c r="AN2766" s="87">
        <v>15</v>
      </c>
      <c r="AO2766" s="87">
        <v>23</v>
      </c>
      <c r="AP2766" s="87">
        <v>11</v>
      </c>
      <c r="AQ2766" s="87">
        <v>31</v>
      </c>
      <c r="AR2766" s="87"/>
      <c r="AS2766" s="87">
        <v>7</v>
      </c>
      <c r="AT2766" s="87"/>
      <c r="AU2766" s="87">
        <v>5</v>
      </c>
      <c r="AV2766" s="87"/>
      <c r="AW2766" s="88" t="str">
        <f>HYPERLINK("http://www.openstreetmap.org/?mlat=35.5583&amp;mlon=45.4646&amp;zoom=12#map=12/35.5583/45.4646","Maplink1")</f>
        <v>Maplink1</v>
      </c>
      <c r="AX2766" s="88" t="str">
        <f>HYPERLINK("https://www.google.iq/maps/search/+35.5583,45.4646/@35.5583,45.4646,14z?hl=en","Maplink2")</f>
        <v>Maplink2</v>
      </c>
      <c r="AY2766" s="88" t="str">
        <f>HYPERLINK("http://www.bing.com/maps/?lvl=14&amp;sty=h&amp;cp=35.5583~45.4646&amp;sp=point.35.5583_45.4646","Maplink3")</f>
        <v>Maplink3</v>
      </c>
      <c r="AZ2766" s="76"/>
    </row>
    <row r="2767" spans="1:52" x14ac:dyDescent="0.25">
      <c r="A2767" s="86">
        <v>25302</v>
      </c>
      <c r="B2767" s="87" t="s">
        <v>27</v>
      </c>
      <c r="C2767" s="87" t="s">
        <v>5030</v>
      </c>
      <c r="D2767" s="87" t="s">
        <v>5241</v>
      </c>
      <c r="E2767" s="87" t="s">
        <v>5242</v>
      </c>
      <c r="F2767" s="87">
        <v>35.562970183300003</v>
      </c>
      <c r="G2767" s="87">
        <v>45.453470500000002</v>
      </c>
      <c r="H2767" s="86">
        <v>24</v>
      </c>
      <c r="I2767" s="86">
        <v>144</v>
      </c>
      <c r="J2767" s="87">
        <v>9</v>
      </c>
      <c r="K2767" s="87">
        <v>1</v>
      </c>
      <c r="L2767" s="87">
        <v>4</v>
      </c>
      <c r="M2767" s="87"/>
      <c r="N2767" s="87"/>
      <c r="O2767" s="87"/>
      <c r="P2767" s="87"/>
      <c r="Q2767" s="87"/>
      <c r="R2767" s="87"/>
      <c r="S2767" s="87"/>
      <c r="T2767" s="87"/>
      <c r="U2767" s="87"/>
      <c r="V2767" s="87">
        <v>2</v>
      </c>
      <c r="W2767" s="87"/>
      <c r="X2767" s="87">
        <v>8</v>
      </c>
      <c r="Y2767" s="87"/>
      <c r="Z2767" s="87"/>
      <c r="AA2767" s="87"/>
      <c r="AB2767" s="87"/>
      <c r="AC2767" s="87"/>
      <c r="AD2767" s="87"/>
      <c r="AE2767" s="87"/>
      <c r="AF2767" s="87"/>
      <c r="AG2767" s="87"/>
      <c r="AH2767" s="87">
        <v>24</v>
      </c>
      <c r="AI2767" s="87"/>
      <c r="AJ2767" s="87"/>
      <c r="AK2767" s="87"/>
      <c r="AL2767" s="87"/>
      <c r="AM2767" s="87"/>
      <c r="AN2767" s="87">
        <v>3</v>
      </c>
      <c r="AO2767" s="87">
        <v>7</v>
      </c>
      <c r="AP2767" s="87">
        <v>2</v>
      </c>
      <c r="AQ2767" s="87">
        <v>7</v>
      </c>
      <c r="AR2767" s="87"/>
      <c r="AS2767" s="87">
        <v>2</v>
      </c>
      <c r="AT2767" s="87">
        <v>3</v>
      </c>
      <c r="AU2767" s="87"/>
      <c r="AV2767" s="87"/>
      <c r="AW2767" s="88" t="str">
        <f>HYPERLINK("http://www.openstreetmap.org/?mlat=35.563&amp;mlon=45.4535&amp;zoom=12#map=12/35.563/45.4535","Maplink1")</f>
        <v>Maplink1</v>
      </c>
      <c r="AX2767" s="88" t="str">
        <f>HYPERLINK("https://www.google.iq/maps/search/+35.563,45.4535/@35.563,45.4535,14z?hl=en","Maplink2")</f>
        <v>Maplink2</v>
      </c>
      <c r="AY2767" s="88" t="str">
        <f>HYPERLINK("http://www.bing.com/maps/?lvl=14&amp;sty=h&amp;cp=35.563~45.4535&amp;sp=point.35.563_45.4535","Maplink3")</f>
        <v>Maplink3</v>
      </c>
      <c r="AZ2767" s="76"/>
    </row>
    <row r="2768" spans="1:52" x14ac:dyDescent="0.25">
      <c r="A2768" s="86">
        <v>31926</v>
      </c>
      <c r="B2768" s="87" t="s">
        <v>27</v>
      </c>
      <c r="C2768" s="87" t="s">
        <v>5030</v>
      </c>
      <c r="D2768" s="87" t="s">
        <v>5243</v>
      </c>
      <c r="E2768" s="87" t="s">
        <v>5244</v>
      </c>
      <c r="F2768" s="87">
        <v>35.535979300000001</v>
      </c>
      <c r="G2768" s="87">
        <v>45.421760999999996</v>
      </c>
      <c r="H2768" s="86">
        <v>19</v>
      </c>
      <c r="I2768" s="86">
        <v>114</v>
      </c>
      <c r="J2768" s="87">
        <v>11</v>
      </c>
      <c r="K2768" s="87">
        <v>1</v>
      </c>
      <c r="L2768" s="87">
        <v>5</v>
      </c>
      <c r="M2768" s="87"/>
      <c r="N2768" s="87"/>
      <c r="O2768" s="87">
        <v>1</v>
      </c>
      <c r="P2768" s="87"/>
      <c r="Q2768" s="87"/>
      <c r="R2768" s="87"/>
      <c r="S2768" s="87"/>
      <c r="T2768" s="87"/>
      <c r="U2768" s="87"/>
      <c r="V2768" s="87"/>
      <c r="W2768" s="87"/>
      <c r="X2768" s="87">
        <v>1</v>
      </c>
      <c r="Y2768" s="87"/>
      <c r="Z2768" s="87"/>
      <c r="AA2768" s="87"/>
      <c r="AB2768" s="87"/>
      <c r="AC2768" s="87"/>
      <c r="AD2768" s="87"/>
      <c r="AE2768" s="87"/>
      <c r="AF2768" s="87"/>
      <c r="AG2768" s="87"/>
      <c r="AH2768" s="87">
        <v>19</v>
      </c>
      <c r="AI2768" s="87"/>
      <c r="AJ2768" s="87"/>
      <c r="AK2768" s="87"/>
      <c r="AL2768" s="87"/>
      <c r="AM2768" s="87"/>
      <c r="AN2768" s="87">
        <v>1</v>
      </c>
      <c r="AO2768" s="87">
        <v>1</v>
      </c>
      <c r="AP2768" s="87"/>
      <c r="AQ2768" s="87">
        <v>2</v>
      </c>
      <c r="AR2768" s="87">
        <v>9</v>
      </c>
      <c r="AS2768" s="87">
        <v>3</v>
      </c>
      <c r="AT2768" s="87">
        <v>2</v>
      </c>
      <c r="AU2768" s="87">
        <v>1</v>
      </c>
      <c r="AV2768" s="87"/>
      <c r="AW2768" s="88" t="str">
        <f>HYPERLINK("http://www.openstreetmap.org/?mlat=35.536&amp;mlon=45.4218&amp;zoom=12#map=12/35.536/45.4218","Maplink1")</f>
        <v>Maplink1</v>
      </c>
      <c r="AX2768" s="88" t="str">
        <f>HYPERLINK("https://www.google.iq/maps/search/+35.536,45.4218/@35.536,45.4218,14z?hl=en","Maplink2")</f>
        <v>Maplink2</v>
      </c>
      <c r="AY2768" s="88" t="str">
        <f>HYPERLINK("http://www.bing.com/maps/?lvl=14&amp;sty=h&amp;cp=35.536~45.4218&amp;sp=point.35.536_45.4218","Maplink3")</f>
        <v>Maplink3</v>
      </c>
      <c r="AZ2768" s="76"/>
    </row>
    <row r="2769" spans="1:52" x14ac:dyDescent="0.25">
      <c r="A2769" s="86">
        <v>5766</v>
      </c>
      <c r="B2769" s="87" t="s">
        <v>27</v>
      </c>
      <c r="C2769" s="87" t="s">
        <v>5030</v>
      </c>
      <c r="D2769" s="87" t="s">
        <v>5245</v>
      </c>
      <c r="E2769" s="87" t="s">
        <v>5246</v>
      </c>
      <c r="F2769" s="87">
        <v>35.600717500000002</v>
      </c>
      <c r="G2769" s="87">
        <v>45.432693700000002</v>
      </c>
      <c r="H2769" s="86">
        <v>15</v>
      </c>
      <c r="I2769" s="86">
        <v>90</v>
      </c>
      <c r="J2769" s="87">
        <v>4</v>
      </c>
      <c r="K2769" s="87"/>
      <c r="L2769" s="87">
        <v>2</v>
      </c>
      <c r="M2769" s="87"/>
      <c r="N2769" s="87"/>
      <c r="O2769" s="87">
        <v>2</v>
      </c>
      <c r="P2769" s="87"/>
      <c r="Q2769" s="87"/>
      <c r="R2769" s="87"/>
      <c r="S2769" s="87"/>
      <c r="T2769" s="87"/>
      <c r="U2769" s="87"/>
      <c r="V2769" s="87">
        <v>5</v>
      </c>
      <c r="W2769" s="87"/>
      <c r="X2769" s="87">
        <v>2</v>
      </c>
      <c r="Y2769" s="87"/>
      <c r="Z2769" s="87"/>
      <c r="AA2769" s="87"/>
      <c r="AB2769" s="87"/>
      <c r="AC2769" s="87"/>
      <c r="AD2769" s="87"/>
      <c r="AE2769" s="87"/>
      <c r="AF2769" s="87"/>
      <c r="AG2769" s="87"/>
      <c r="AH2769" s="87">
        <v>14</v>
      </c>
      <c r="AI2769" s="87"/>
      <c r="AJ2769" s="87"/>
      <c r="AK2769" s="87"/>
      <c r="AL2769" s="87">
        <v>1</v>
      </c>
      <c r="AM2769" s="87"/>
      <c r="AN2769" s="87"/>
      <c r="AO2769" s="87">
        <v>4</v>
      </c>
      <c r="AP2769" s="87">
        <v>5</v>
      </c>
      <c r="AQ2769" s="87">
        <v>2</v>
      </c>
      <c r="AR2769" s="87"/>
      <c r="AS2769" s="87">
        <v>4</v>
      </c>
      <c r="AT2769" s="87"/>
      <c r="AU2769" s="87"/>
      <c r="AV2769" s="87"/>
      <c r="AW2769" s="88" t="str">
        <f>HYPERLINK("http://www.openstreetmap.org/?mlat=35.6007&amp;mlon=45.4327&amp;zoom=12#map=12/35.6007/45.4327","Maplink1")</f>
        <v>Maplink1</v>
      </c>
      <c r="AX2769" s="88" t="str">
        <f>HYPERLINK("https://www.google.iq/maps/search/+35.6007,45.4327/@35.6007,45.4327,14z?hl=en","Maplink2")</f>
        <v>Maplink2</v>
      </c>
      <c r="AY2769" s="88" t="str">
        <f>HYPERLINK("http://www.bing.com/maps/?lvl=14&amp;sty=h&amp;cp=35.6007~45.4327&amp;sp=point.35.6007_45.4327","Maplink3")</f>
        <v>Maplink3</v>
      </c>
      <c r="AZ2769" s="76"/>
    </row>
    <row r="2770" spans="1:52" x14ac:dyDescent="0.25">
      <c r="A2770" s="86">
        <v>32094</v>
      </c>
      <c r="B2770" s="87" t="s">
        <v>27</v>
      </c>
      <c r="C2770" s="87" t="s">
        <v>5030</v>
      </c>
      <c r="D2770" s="87" t="s">
        <v>5247</v>
      </c>
      <c r="E2770" s="87" t="s">
        <v>5248</v>
      </c>
      <c r="F2770" s="87">
        <v>35.645307099999997</v>
      </c>
      <c r="G2770" s="87">
        <v>45.2219585</v>
      </c>
      <c r="H2770" s="86">
        <v>11</v>
      </c>
      <c r="I2770" s="86">
        <v>66</v>
      </c>
      <c r="J2770" s="87"/>
      <c r="K2770" s="87">
        <v>2</v>
      </c>
      <c r="L2770" s="87"/>
      <c r="M2770" s="87"/>
      <c r="N2770" s="87"/>
      <c r="O2770" s="87"/>
      <c r="P2770" s="87"/>
      <c r="Q2770" s="87"/>
      <c r="R2770" s="87"/>
      <c r="S2770" s="87"/>
      <c r="T2770" s="87"/>
      <c r="U2770" s="87"/>
      <c r="V2770" s="87">
        <v>9</v>
      </c>
      <c r="W2770" s="87"/>
      <c r="X2770" s="87"/>
      <c r="Y2770" s="87"/>
      <c r="Z2770" s="87"/>
      <c r="AA2770" s="87"/>
      <c r="AB2770" s="87"/>
      <c r="AC2770" s="87"/>
      <c r="AD2770" s="87"/>
      <c r="AE2770" s="87"/>
      <c r="AF2770" s="87"/>
      <c r="AG2770" s="87"/>
      <c r="AH2770" s="87">
        <v>11</v>
      </c>
      <c r="AI2770" s="87"/>
      <c r="AJ2770" s="87"/>
      <c r="AK2770" s="87"/>
      <c r="AL2770" s="87"/>
      <c r="AM2770" s="87"/>
      <c r="AN2770" s="87"/>
      <c r="AO2770" s="87">
        <v>2</v>
      </c>
      <c r="AP2770" s="87">
        <v>9</v>
      </c>
      <c r="AQ2770" s="87"/>
      <c r="AR2770" s="87"/>
      <c r="AS2770" s="87"/>
      <c r="AT2770" s="87"/>
      <c r="AU2770" s="87"/>
      <c r="AV2770" s="87"/>
      <c r="AW2770" s="88" t="str">
        <f>HYPERLINK("http://www.openstreetmap.org/?mlat=35.6453&amp;mlon=45.222&amp;zoom=12#map=12/35.6453/45.222","Maplink1")</f>
        <v>Maplink1</v>
      </c>
      <c r="AX2770" s="88" t="str">
        <f>HYPERLINK("https://www.google.iq/maps/search/+35.6453,45.222/@35.6453,45.222,14z?hl=en","Maplink2")</f>
        <v>Maplink2</v>
      </c>
      <c r="AY2770" s="88" t="str">
        <f>HYPERLINK("http://www.bing.com/maps/?lvl=14&amp;sty=h&amp;cp=35.6453~45.222&amp;sp=point.35.6453_45.222","Maplink3")</f>
        <v>Maplink3</v>
      </c>
      <c r="AZ2770" s="76"/>
    </row>
    <row r="2771" spans="1:52" x14ac:dyDescent="0.25">
      <c r="A2771" s="86">
        <v>24254</v>
      </c>
      <c r="B2771" s="87" t="s">
        <v>27</v>
      </c>
      <c r="C2771" s="87" t="s">
        <v>5030</v>
      </c>
      <c r="D2771" s="87" t="s">
        <v>5249</v>
      </c>
      <c r="E2771" s="87" t="s">
        <v>5250</v>
      </c>
      <c r="F2771" s="87">
        <v>35.594844500000001</v>
      </c>
      <c r="G2771" s="87">
        <v>45.256459</v>
      </c>
      <c r="H2771" s="86">
        <v>76</v>
      </c>
      <c r="I2771" s="86">
        <v>456</v>
      </c>
      <c r="J2771" s="87">
        <v>15</v>
      </c>
      <c r="K2771" s="87">
        <v>2</v>
      </c>
      <c r="L2771" s="87">
        <v>6</v>
      </c>
      <c r="M2771" s="87"/>
      <c r="N2771" s="87"/>
      <c r="O2771" s="87">
        <v>5</v>
      </c>
      <c r="P2771" s="87"/>
      <c r="Q2771" s="87"/>
      <c r="R2771" s="87">
        <v>10</v>
      </c>
      <c r="S2771" s="87"/>
      <c r="T2771" s="87"/>
      <c r="U2771" s="87"/>
      <c r="V2771" s="87">
        <v>23</v>
      </c>
      <c r="W2771" s="87"/>
      <c r="X2771" s="87">
        <v>15</v>
      </c>
      <c r="Y2771" s="87"/>
      <c r="Z2771" s="87"/>
      <c r="AA2771" s="87"/>
      <c r="AB2771" s="87"/>
      <c r="AC2771" s="87"/>
      <c r="AD2771" s="87"/>
      <c r="AE2771" s="87">
        <v>8</v>
      </c>
      <c r="AF2771" s="87"/>
      <c r="AG2771" s="87"/>
      <c r="AH2771" s="87">
        <v>66</v>
      </c>
      <c r="AI2771" s="87"/>
      <c r="AJ2771" s="87"/>
      <c r="AK2771" s="87"/>
      <c r="AL2771" s="87">
        <v>2</v>
      </c>
      <c r="AM2771" s="87"/>
      <c r="AN2771" s="87">
        <v>6</v>
      </c>
      <c r="AO2771" s="87">
        <v>13</v>
      </c>
      <c r="AP2771" s="87">
        <v>31</v>
      </c>
      <c r="AQ2771" s="87">
        <v>5</v>
      </c>
      <c r="AR2771" s="87">
        <v>4</v>
      </c>
      <c r="AS2771" s="87">
        <v>1</v>
      </c>
      <c r="AT2771" s="87"/>
      <c r="AU2771" s="87">
        <v>16</v>
      </c>
      <c r="AV2771" s="87"/>
      <c r="AW2771" s="88" t="str">
        <f>HYPERLINK("http://www.openstreetmap.org/?mlat=35.5948&amp;mlon=45.2565&amp;zoom=12#map=12/35.5948/45.2565","Maplink1")</f>
        <v>Maplink1</v>
      </c>
      <c r="AX2771" s="88" t="str">
        <f>HYPERLINK("https://www.google.iq/maps/search/+35.5948,45.2565/@35.5948,45.2565,14z?hl=en","Maplink2")</f>
        <v>Maplink2</v>
      </c>
      <c r="AY2771" s="88" t="str">
        <f>HYPERLINK("http://www.bing.com/maps/?lvl=14&amp;sty=h&amp;cp=35.5948~45.2565&amp;sp=point.35.5948_45.2565","Maplink3")</f>
        <v>Maplink3</v>
      </c>
      <c r="AZ2771" s="76"/>
    </row>
    <row r="2772" spans="1:52" x14ac:dyDescent="0.25">
      <c r="A2772" s="86">
        <v>5771</v>
      </c>
      <c r="B2772" s="87" t="s">
        <v>27</v>
      </c>
      <c r="C2772" s="87" t="s">
        <v>5030</v>
      </c>
      <c r="D2772" s="87" t="s">
        <v>5251</v>
      </c>
      <c r="E2772" s="87" t="s">
        <v>5252</v>
      </c>
      <c r="F2772" s="87">
        <v>35.537168200000004</v>
      </c>
      <c r="G2772" s="87">
        <v>45.3879406</v>
      </c>
      <c r="H2772" s="86">
        <v>59</v>
      </c>
      <c r="I2772" s="86">
        <v>354</v>
      </c>
      <c r="J2772" s="87">
        <v>8</v>
      </c>
      <c r="K2772" s="87"/>
      <c r="L2772" s="87">
        <v>12</v>
      </c>
      <c r="M2772" s="87"/>
      <c r="N2772" s="87"/>
      <c r="O2772" s="87">
        <v>8</v>
      </c>
      <c r="P2772" s="87"/>
      <c r="Q2772" s="87"/>
      <c r="R2772" s="87">
        <v>4</v>
      </c>
      <c r="S2772" s="87"/>
      <c r="T2772" s="87"/>
      <c r="U2772" s="87"/>
      <c r="V2772" s="87">
        <v>9</v>
      </c>
      <c r="W2772" s="87"/>
      <c r="X2772" s="87">
        <v>18</v>
      </c>
      <c r="Y2772" s="87"/>
      <c r="Z2772" s="87"/>
      <c r="AA2772" s="87"/>
      <c r="AB2772" s="87"/>
      <c r="AC2772" s="87"/>
      <c r="AD2772" s="87"/>
      <c r="AE2772" s="87"/>
      <c r="AF2772" s="87"/>
      <c r="AG2772" s="87"/>
      <c r="AH2772" s="87">
        <v>58</v>
      </c>
      <c r="AI2772" s="87"/>
      <c r="AJ2772" s="87"/>
      <c r="AK2772" s="87"/>
      <c r="AL2772" s="87">
        <v>1</v>
      </c>
      <c r="AM2772" s="87"/>
      <c r="AN2772" s="87">
        <v>1</v>
      </c>
      <c r="AO2772" s="87">
        <v>2</v>
      </c>
      <c r="AP2772" s="87">
        <v>5</v>
      </c>
      <c r="AQ2772" s="87">
        <v>1</v>
      </c>
      <c r="AR2772" s="87"/>
      <c r="AS2772" s="87">
        <v>11</v>
      </c>
      <c r="AT2772" s="87">
        <v>18</v>
      </c>
      <c r="AU2772" s="87">
        <v>21</v>
      </c>
      <c r="AV2772" s="87"/>
      <c r="AW2772" s="88" t="str">
        <f>HYPERLINK("http://www.openstreetmap.org/?mlat=35.5372&amp;mlon=45.3879&amp;zoom=12#map=12/35.5372/45.3879","Maplink1")</f>
        <v>Maplink1</v>
      </c>
      <c r="AX2772" s="88" t="str">
        <f>HYPERLINK("https://www.google.iq/maps/search/+35.5372,45.3879/@35.5372,45.3879,14z?hl=en","Maplink2")</f>
        <v>Maplink2</v>
      </c>
      <c r="AY2772" s="88" t="str">
        <f>HYPERLINK("http://www.bing.com/maps/?lvl=14&amp;sty=h&amp;cp=35.5372~45.3879&amp;sp=point.35.5372_45.3879","Maplink3")</f>
        <v>Maplink3</v>
      </c>
      <c r="AZ2772" s="76"/>
    </row>
    <row r="2773" spans="1:52" x14ac:dyDescent="0.25">
      <c r="A2773" s="86">
        <v>31956</v>
      </c>
      <c r="B2773" s="87" t="s">
        <v>27</v>
      </c>
      <c r="C2773" s="87" t="s">
        <v>5030</v>
      </c>
      <c r="D2773" s="87" t="s">
        <v>5253</v>
      </c>
      <c r="E2773" s="87" t="s">
        <v>5254</v>
      </c>
      <c r="F2773" s="87">
        <v>35.547932899999999</v>
      </c>
      <c r="G2773" s="87">
        <v>45.476235699999997</v>
      </c>
      <c r="H2773" s="86">
        <v>37</v>
      </c>
      <c r="I2773" s="86">
        <v>222</v>
      </c>
      <c r="J2773" s="87">
        <v>9</v>
      </c>
      <c r="K2773" s="87"/>
      <c r="L2773" s="87">
        <v>11</v>
      </c>
      <c r="M2773" s="87"/>
      <c r="N2773" s="87"/>
      <c r="O2773" s="87">
        <v>4</v>
      </c>
      <c r="P2773" s="87"/>
      <c r="Q2773" s="87"/>
      <c r="R2773" s="87"/>
      <c r="S2773" s="87"/>
      <c r="T2773" s="87"/>
      <c r="U2773" s="87"/>
      <c r="V2773" s="87">
        <v>5</v>
      </c>
      <c r="W2773" s="87"/>
      <c r="X2773" s="87">
        <v>8</v>
      </c>
      <c r="Y2773" s="87"/>
      <c r="Z2773" s="87"/>
      <c r="AA2773" s="87"/>
      <c r="AB2773" s="87"/>
      <c r="AC2773" s="87"/>
      <c r="AD2773" s="87"/>
      <c r="AE2773" s="87"/>
      <c r="AF2773" s="87"/>
      <c r="AG2773" s="87"/>
      <c r="AH2773" s="87">
        <v>37</v>
      </c>
      <c r="AI2773" s="87"/>
      <c r="AJ2773" s="87"/>
      <c r="AK2773" s="87"/>
      <c r="AL2773" s="87"/>
      <c r="AM2773" s="87"/>
      <c r="AN2773" s="87">
        <v>4</v>
      </c>
      <c r="AO2773" s="87">
        <v>2</v>
      </c>
      <c r="AP2773" s="87">
        <v>16</v>
      </c>
      <c r="AQ2773" s="87">
        <v>3</v>
      </c>
      <c r="AR2773" s="87">
        <v>3</v>
      </c>
      <c r="AS2773" s="87">
        <v>6</v>
      </c>
      <c r="AT2773" s="87">
        <v>3</v>
      </c>
      <c r="AU2773" s="87"/>
      <c r="AV2773" s="87"/>
      <c r="AW2773" s="88" t="str">
        <f>HYPERLINK("http://www.openstreetmap.org/?mlat=35.5479&amp;mlon=45.4762&amp;zoom=12#map=12/35.5479/45.4762","Maplink1")</f>
        <v>Maplink1</v>
      </c>
      <c r="AX2773" s="88" t="str">
        <f>HYPERLINK("https://www.google.iq/maps/search/+35.5479,45.4762/@35.5479,45.4762,14z?hl=en","Maplink2")</f>
        <v>Maplink2</v>
      </c>
      <c r="AY2773" s="88" t="str">
        <f>HYPERLINK("http://www.bing.com/maps/?lvl=14&amp;sty=h&amp;cp=35.5479~45.4762&amp;sp=point.35.5479_45.4762","Maplink3")</f>
        <v>Maplink3</v>
      </c>
      <c r="AZ2773" s="76"/>
    </row>
    <row r="2774" spans="1:52" x14ac:dyDescent="0.25">
      <c r="A2774" s="86">
        <v>4821</v>
      </c>
      <c r="B2774" s="87" t="s">
        <v>27</v>
      </c>
      <c r="C2774" s="87" t="s">
        <v>5030</v>
      </c>
      <c r="D2774" s="87" t="s">
        <v>5255</v>
      </c>
      <c r="E2774" s="87" t="s">
        <v>5256</v>
      </c>
      <c r="F2774" s="87">
        <v>35.633839199999997</v>
      </c>
      <c r="G2774" s="87">
        <v>45.404470500000002</v>
      </c>
      <c r="H2774" s="86">
        <v>10</v>
      </c>
      <c r="I2774" s="86">
        <v>60</v>
      </c>
      <c r="J2774" s="87">
        <v>1</v>
      </c>
      <c r="K2774" s="87"/>
      <c r="L2774" s="87">
        <v>1</v>
      </c>
      <c r="M2774" s="87"/>
      <c r="N2774" s="87"/>
      <c r="O2774" s="87">
        <v>2</v>
      </c>
      <c r="P2774" s="87"/>
      <c r="Q2774" s="87"/>
      <c r="R2774" s="87"/>
      <c r="S2774" s="87"/>
      <c r="T2774" s="87"/>
      <c r="U2774" s="87"/>
      <c r="V2774" s="87">
        <v>3</v>
      </c>
      <c r="W2774" s="87"/>
      <c r="X2774" s="87">
        <v>3</v>
      </c>
      <c r="Y2774" s="87"/>
      <c r="Z2774" s="87"/>
      <c r="AA2774" s="87"/>
      <c r="AB2774" s="87"/>
      <c r="AC2774" s="87"/>
      <c r="AD2774" s="87"/>
      <c r="AE2774" s="87"/>
      <c r="AF2774" s="87"/>
      <c r="AG2774" s="87"/>
      <c r="AH2774" s="87">
        <v>10</v>
      </c>
      <c r="AI2774" s="87"/>
      <c r="AJ2774" s="87"/>
      <c r="AK2774" s="87"/>
      <c r="AL2774" s="87"/>
      <c r="AM2774" s="87"/>
      <c r="AN2774" s="87"/>
      <c r="AO2774" s="87">
        <v>4</v>
      </c>
      <c r="AP2774" s="87">
        <v>3</v>
      </c>
      <c r="AQ2774" s="87">
        <v>1</v>
      </c>
      <c r="AR2774" s="87">
        <v>1</v>
      </c>
      <c r="AS2774" s="87">
        <v>1</v>
      </c>
      <c r="AT2774" s="87"/>
      <c r="AU2774" s="87"/>
      <c r="AV2774" s="87"/>
      <c r="AW2774" s="88" t="str">
        <f>HYPERLINK("http://www.openstreetmap.org/?mlat=35.6338&amp;mlon=45.4045&amp;zoom=12#map=12/35.6338/45.4045","Maplink1")</f>
        <v>Maplink1</v>
      </c>
      <c r="AX2774" s="88" t="str">
        <f>HYPERLINK("https://www.google.iq/maps/search/+35.6338,45.4045/@35.6338,45.4045,14z?hl=en","Maplink2")</f>
        <v>Maplink2</v>
      </c>
      <c r="AY2774" s="88" t="str">
        <f>HYPERLINK("http://www.bing.com/maps/?lvl=14&amp;sty=h&amp;cp=35.6338~45.4045&amp;sp=point.35.6338_45.4045","Maplink3")</f>
        <v>Maplink3</v>
      </c>
      <c r="AZ2774" s="76"/>
    </row>
    <row r="2775" spans="1:52" x14ac:dyDescent="0.25">
      <c r="A2775" s="86">
        <v>5882</v>
      </c>
      <c r="B2775" s="87" t="s">
        <v>27</v>
      </c>
      <c r="C2775" s="87" t="s">
        <v>5030</v>
      </c>
      <c r="D2775" s="87" t="s">
        <v>5257</v>
      </c>
      <c r="E2775" s="87" t="s">
        <v>5258</v>
      </c>
      <c r="F2775" s="87">
        <v>35.524756099999998</v>
      </c>
      <c r="G2775" s="87">
        <v>45.385884300000001</v>
      </c>
      <c r="H2775" s="86">
        <v>44</v>
      </c>
      <c r="I2775" s="86">
        <v>264</v>
      </c>
      <c r="J2775" s="87">
        <v>3</v>
      </c>
      <c r="K2775" s="87">
        <v>4</v>
      </c>
      <c r="L2775" s="87">
        <v>14</v>
      </c>
      <c r="M2775" s="87"/>
      <c r="N2775" s="87"/>
      <c r="O2775" s="87">
        <v>8</v>
      </c>
      <c r="P2775" s="87"/>
      <c r="Q2775" s="87"/>
      <c r="R2775" s="87">
        <v>4</v>
      </c>
      <c r="S2775" s="87"/>
      <c r="T2775" s="87"/>
      <c r="U2775" s="87"/>
      <c r="V2775" s="87">
        <v>3</v>
      </c>
      <c r="W2775" s="87"/>
      <c r="X2775" s="87">
        <v>8</v>
      </c>
      <c r="Y2775" s="87"/>
      <c r="Z2775" s="87"/>
      <c r="AA2775" s="87"/>
      <c r="AB2775" s="87"/>
      <c r="AC2775" s="87"/>
      <c r="AD2775" s="87"/>
      <c r="AE2775" s="87"/>
      <c r="AF2775" s="87"/>
      <c r="AG2775" s="87"/>
      <c r="AH2775" s="87">
        <v>44</v>
      </c>
      <c r="AI2775" s="87"/>
      <c r="AJ2775" s="87"/>
      <c r="AK2775" s="87"/>
      <c r="AL2775" s="87"/>
      <c r="AM2775" s="87"/>
      <c r="AN2775" s="87"/>
      <c r="AO2775" s="87">
        <v>1</v>
      </c>
      <c r="AP2775" s="87">
        <v>1</v>
      </c>
      <c r="AQ2775" s="87">
        <v>10</v>
      </c>
      <c r="AR2775" s="87">
        <v>2</v>
      </c>
      <c r="AS2775" s="87">
        <v>8</v>
      </c>
      <c r="AT2775" s="87">
        <v>6</v>
      </c>
      <c r="AU2775" s="87">
        <v>13</v>
      </c>
      <c r="AV2775" s="87">
        <v>3</v>
      </c>
      <c r="AW2775" s="88" t="str">
        <f>HYPERLINK("http://www.openstreetmap.org/?mlat=35.5248&amp;mlon=45.3859&amp;zoom=12#map=12/35.5248/45.3859","Maplink1")</f>
        <v>Maplink1</v>
      </c>
      <c r="AX2775" s="88" t="str">
        <f>HYPERLINK("https://www.google.iq/maps/search/+35.5248,45.3859/@35.5248,45.3859,14z?hl=en","Maplink2")</f>
        <v>Maplink2</v>
      </c>
      <c r="AY2775" s="88" t="str">
        <f>HYPERLINK("http://www.bing.com/maps/?lvl=14&amp;sty=h&amp;cp=35.5248~45.3859&amp;sp=point.35.5248_45.3859","Maplink3")</f>
        <v>Maplink3</v>
      </c>
      <c r="AZ2775" s="76"/>
    </row>
    <row r="2776" spans="1:52" x14ac:dyDescent="0.25">
      <c r="A2776" s="86">
        <v>4479</v>
      </c>
      <c r="B2776" s="87" t="s">
        <v>27</v>
      </c>
      <c r="C2776" s="87" t="s">
        <v>5030</v>
      </c>
      <c r="D2776" s="87" t="s">
        <v>5259</v>
      </c>
      <c r="E2776" s="87" t="s">
        <v>5260</v>
      </c>
      <c r="F2776" s="87">
        <v>35.669545800000002</v>
      </c>
      <c r="G2776" s="87">
        <v>45.401350800000003</v>
      </c>
      <c r="H2776" s="86">
        <v>11</v>
      </c>
      <c r="I2776" s="86">
        <v>66</v>
      </c>
      <c r="J2776" s="87"/>
      <c r="K2776" s="87"/>
      <c r="L2776" s="87">
        <v>1</v>
      </c>
      <c r="M2776" s="87"/>
      <c r="N2776" s="87"/>
      <c r="O2776" s="87">
        <v>3</v>
      </c>
      <c r="P2776" s="87"/>
      <c r="Q2776" s="87"/>
      <c r="R2776" s="87"/>
      <c r="S2776" s="87"/>
      <c r="T2776" s="87"/>
      <c r="U2776" s="87"/>
      <c r="V2776" s="87">
        <v>7</v>
      </c>
      <c r="W2776" s="87"/>
      <c r="X2776" s="87"/>
      <c r="Y2776" s="87"/>
      <c r="Z2776" s="87"/>
      <c r="AA2776" s="87"/>
      <c r="AB2776" s="87"/>
      <c r="AC2776" s="87"/>
      <c r="AD2776" s="87"/>
      <c r="AE2776" s="87"/>
      <c r="AF2776" s="87"/>
      <c r="AG2776" s="87"/>
      <c r="AH2776" s="87">
        <v>11</v>
      </c>
      <c r="AI2776" s="87"/>
      <c r="AJ2776" s="87"/>
      <c r="AK2776" s="87"/>
      <c r="AL2776" s="87"/>
      <c r="AM2776" s="87"/>
      <c r="AN2776" s="87"/>
      <c r="AO2776" s="87">
        <v>2</v>
      </c>
      <c r="AP2776" s="87">
        <v>7</v>
      </c>
      <c r="AQ2776" s="87"/>
      <c r="AR2776" s="87"/>
      <c r="AS2776" s="87"/>
      <c r="AT2776" s="87">
        <v>1</v>
      </c>
      <c r="AU2776" s="87">
        <v>1</v>
      </c>
      <c r="AV2776" s="87"/>
      <c r="AW2776" s="88" t="str">
        <f>HYPERLINK("http://www.openstreetmap.org/?mlat=35.6695&amp;mlon=45.4014&amp;zoom=12#map=12/35.6695/45.4014","Maplink1")</f>
        <v>Maplink1</v>
      </c>
      <c r="AX2776" s="88" t="str">
        <f>HYPERLINK("https://www.google.iq/maps/search/+35.6695,45.4014/@35.6695,45.4014,14z?hl=en","Maplink2")</f>
        <v>Maplink2</v>
      </c>
      <c r="AY2776" s="88" t="str">
        <f>HYPERLINK("http://www.bing.com/maps/?lvl=14&amp;sty=h&amp;cp=35.6695~45.4014&amp;sp=point.35.6695_45.4014","Maplink3")</f>
        <v>Maplink3</v>
      </c>
      <c r="AZ2776" s="76"/>
    </row>
    <row r="2777" spans="1:52" x14ac:dyDescent="0.25">
      <c r="A2777" s="86">
        <v>25303</v>
      </c>
      <c r="B2777" s="87" t="s">
        <v>27</v>
      </c>
      <c r="C2777" s="87" t="s">
        <v>5030</v>
      </c>
      <c r="D2777" s="87" t="s">
        <v>5261</v>
      </c>
      <c r="E2777" s="87" t="s">
        <v>5262</v>
      </c>
      <c r="F2777" s="87">
        <v>35.559877</v>
      </c>
      <c r="G2777" s="87">
        <v>45.438159400000004</v>
      </c>
      <c r="H2777" s="86">
        <v>84</v>
      </c>
      <c r="I2777" s="86">
        <v>504</v>
      </c>
      <c r="J2777" s="87">
        <v>29</v>
      </c>
      <c r="K2777" s="87"/>
      <c r="L2777" s="87">
        <v>22</v>
      </c>
      <c r="M2777" s="87"/>
      <c r="N2777" s="87"/>
      <c r="O2777" s="87">
        <v>4</v>
      </c>
      <c r="P2777" s="87"/>
      <c r="Q2777" s="87"/>
      <c r="R2777" s="87"/>
      <c r="S2777" s="87"/>
      <c r="T2777" s="87"/>
      <c r="U2777" s="87"/>
      <c r="V2777" s="87">
        <v>15</v>
      </c>
      <c r="W2777" s="87"/>
      <c r="X2777" s="87">
        <v>14</v>
      </c>
      <c r="Y2777" s="87"/>
      <c r="Z2777" s="87"/>
      <c r="AA2777" s="87"/>
      <c r="AB2777" s="87"/>
      <c r="AC2777" s="87"/>
      <c r="AD2777" s="87">
        <v>20</v>
      </c>
      <c r="AE2777" s="87"/>
      <c r="AF2777" s="87"/>
      <c r="AG2777" s="87"/>
      <c r="AH2777" s="87">
        <v>64</v>
      </c>
      <c r="AI2777" s="87"/>
      <c r="AJ2777" s="87"/>
      <c r="AK2777" s="87"/>
      <c r="AL2777" s="87"/>
      <c r="AM2777" s="87"/>
      <c r="AN2777" s="87">
        <v>1</v>
      </c>
      <c r="AO2777" s="87">
        <v>17</v>
      </c>
      <c r="AP2777" s="87">
        <v>2</v>
      </c>
      <c r="AQ2777" s="87">
        <v>19</v>
      </c>
      <c r="AR2777" s="87">
        <v>11</v>
      </c>
      <c r="AS2777" s="87">
        <v>11</v>
      </c>
      <c r="AT2777" s="87">
        <v>3</v>
      </c>
      <c r="AU2777" s="87">
        <v>13</v>
      </c>
      <c r="AV2777" s="87">
        <v>7</v>
      </c>
      <c r="AW2777" s="88" t="str">
        <f>HYPERLINK("http://www.openstreetmap.org/?mlat=35.5599&amp;mlon=45.4382&amp;zoom=12#map=12/35.5599/45.4382","Maplink1")</f>
        <v>Maplink1</v>
      </c>
      <c r="AX2777" s="88" t="str">
        <f>HYPERLINK("https://www.google.iq/maps/search/+35.5599,45.4382/@35.5599,45.4382,14z?hl=en","Maplink2")</f>
        <v>Maplink2</v>
      </c>
      <c r="AY2777" s="88" t="str">
        <f>HYPERLINK("http://www.bing.com/maps/?lvl=14&amp;sty=h&amp;cp=35.5599~45.4382&amp;sp=point.35.5599_45.4382","Maplink3")</f>
        <v>Maplink3</v>
      </c>
      <c r="AZ2777" s="76"/>
    </row>
    <row r="2778" spans="1:52" x14ac:dyDescent="0.25">
      <c r="A2778" s="86">
        <v>4599</v>
      </c>
      <c r="B2778" s="87" t="s">
        <v>27</v>
      </c>
      <c r="C2778" s="87" t="s">
        <v>5030</v>
      </c>
      <c r="D2778" s="87" t="s">
        <v>5263</v>
      </c>
      <c r="E2778" s="87" t="s">
        <v>5264</v>
      </c>
      <c r="F2778" s="87">
        <v>35.655087199999997</v>
      </c>
      <c r="G2778" s="87">
        <v>44.999535299999998</v>
      </c>
      <c r="H2778" s="86">
        <v>68</v>
      </c>
      <c r="I2778" s="86">
        <v>408</v>
      </c>
      <c r="J2778" s="87">
        <v>10</v>
      </c>
      <c r="K2778" s="87">
        <v>5</v>
      </c>
      <c r="L2778" s="87">
        <v>24</v>
      </c>
      <c r="M2778" s="87"/>
      <c r="N2778" s="87"/>
      <c r="O2778" s="87">
        <v>5</v>
      </c>
      <c r="P2778" s="87"/>
      <c r="Q2778" s="87"/>
      <c r="R2778" s="87"/>
      <c r="S2778" s="87"/>
      <c r="T2778" s="87"/>
      <c r="U2778" s="87"/>
      <c r="V2778" s="87">
        <v>7</v>
      </c>
      <c r="W2778" s="87"/>
      <c r="X2778" s="87">
        <v>17</v>
      </c>
      <c r="Y2778" s="87"/>
      <c r="Z2778" s="87"/>
      <c r="AA2778" s="87"/>
      <c r="AB2778" s="87"/>
      <c r="AC2778" s="87"/>
      <c r="AD2778" s="87"/>
      <c r="AE2778" s="87"/>
      <c r="AF2778" s="87"/>
      <c r="AG2778" s="87"/>
      <c r="AH2778" s="87">
        <v>68</v>
      </c>
      <c r="AI2778" s="87"/>
      <c r="AJ2778" s="87"/>
      <c r="AK2778" s="87"/>
      <c r="AL2778" s="87"/>
      <c r="AM2778" s="87"/>
      <c r="AN2778" s="87">
        <v>4</v>
      </c>
      <c r="AO2778" s="87">
        <v>18</v>
      </c>
      <c r="AP2778" s="87">
        <v>11</v>
      </c>
      <c r="AQ2778" s="87">
        <v>7</v>
      </c>
      <c r="AR2778" s="87">
        <v>4</v>
      </c>
      <c r="AS2778" s="87"/>
      <c r="AT2778" s="87">
        <v>11</v>
      </c>
      <c r="AU2778" s="87">
        <v>4</v>
      </c>
      <c r="AV2778" s="87">
        <v>9</v>
      </c>
      <c r="AW2778" s="88" t="str">
        <f>HYPERLINK("http://www.openstreetmap.org/?mlat=35.6551&amp;mlon=44.9995&amp;zoom=12#map=12/35.6551/44.9995","Maplink1")</f>
        <v>Maplink1</v>
      </c>
      <c r="AX2778" s="88" t="str">
        <f>HYPERLINK("https://www.google.iq/maps/search/+35.6551,44.9995/@35.6551,44.9995,14z?hl=en","Maplink2")</f>
        <v>Maplink2</v>
      </c>
      <c r="AY2778" s="88" t="str">
        <f>HYPERLINK("http://www.bing.com/maps/?lvl=14&amp;sty=h&amp;cp=35.6551~44.9995&amp;sp=point.35.6551_44.9995","Maplink3")</f>
        <v>Maplink3</v>
      </c>
      <c r="AZ2778" s="76"/>
    </row>
    <row r="2779" spans="1:52" x14ac:dyDescent="0.25">
      <c r="A2779" s="86">
        <v>32055</v>
      </c>
      <c r="B2779" s="87" t="s">
        <v>27</v>
      </c>
      <c r="C2779" s="87" t="s">
        <v>5030</v>
      </c>
      <c r="D2779" s="87" t="s">
        <v>5265</v>
      </c>
      <c r="E2779" s="87" t="s">
        <v>5266</v>
      </c>
      <c r="F2779" s="87">
        <v>35.587736100000001</v>
      </c>
      <c r="G2779" s="87">
        <v>45.392476700000003</v>
      </c>
      <c r="H2779" s="86">
        <v>232</v>
      </c>
      <c r="I2779" s="86">
        <v>1392</v>
      </c>
      <c r="J2779" s="87">
        <v>69</v>
      </c>
      <c r="K2779" s="87">
        <v>5</v>
      </c>
      <c r="L2779" s="87">
        <v>71</v>
      </c>
      <c r="M2779" s="87"/>
      <c r="N2779" s="87"/>
      <c r="O2779" s="87">
        <v>24</v>
      </c>
      <c r="P2779" s="87"/>
      <c r="Q2779" s="87"/>
      <c r="R2779" s="87">
        <v>17</v>
      </c>
      <c r="S2779" s="87"/>
      <c r="T2779" s="87"/>
      <c r="U2779" s="87"/>
      <c r="V2779" s="87">
        <v>11</v>
      </c>
      <c r="W2779" s="87"/>
      <c r="X2779" s="87">
        <v>35</v>
      </c>
      <c r="Y2779" s="87"/>
      <c r="Z2779" s="87"/>
      <c r="AA2779" s="87"/>
      <c r="AB2779" s="87"/>
      <c r="AC2779" s="87"/>
      <c r="AD2779" s="87"/>
      <c r="AE2779" s="87"/>
      <c r="AF2779" s="87"/>
      <c r="AG2779" s="87"/>
      <c r="AH2779" s="87">
        <v>232</v>
      </c>
      <c r="AI2779" s="87"/>
      <c r="AJ2779" s="87"/>
      <c r="AK2779" s="87"/>
      <c r="AL2779" s="87"/>
      <c r="AM2779" s="87"/>
      <c r="AN2779" s="87">
        <v>13</v>
      </c>
      <c r="AO2779" s="87">
        <v>35</v>
      </c>
      <c r="AP2779" s="87">
        <v>16</v>
      </c>
      <c r="AQ2779" s="87">
        <v>44</v>
      </c>
      <c r="AR2779" s="87">
        <v>26</v>
      </c>
      <c r="AS2779" s="87">
        <v>4</v>
      </c>
      <c r="AT2779" s="87">
        <v>28</v>
      </c>
      <c r="AU2779" s="87">
        <v>57</v>
      </c>
      <c r="AV2779" s="87">
        <v>9</v>
      </c>
      <c r="AW2779" s="88" t="str">
        <f>HYPERLINK("http://www.openstreetmap.org/?mlat=35.5877&amp;mlon=45.3925&amp;zoom=12#map=12/35.5877/45.3925","Maplink1")</f>
        <v>Maplink1</v>
      </c>
      <c r="AX2779" s="88" t="str">
        <f>HYPERLINK("https://www.google.iq/maps/search/+35.5877,45.3925/@35.5877,45.3925,14z?hl=en","Maplink2")</f>
        <v>Maplink2</v>
      </c>
      <c r="AY2779" s="88" t="str">
        <f>HYPERLINK("http://www.bing.com/maps/?lvl=14&amp;sty=h&amp;cp=35.5877~45.3925&amp;sp=point.35.5877_45.3925","Maplink3")</f>
        <v>Maplink3</v>
      </c>
      <c r="AZ2779" s="76"/>
    </row>
    <row r="2780" spans="1:52" x14ac:dyDescent="0.25">
      <c r="A2780" s="86">
        <v>31972</v>
      </c>
      <c r="B2780" s="87" t="s">
        <v>27</v>
      </c>
      <c r="C2780" s="87" t="s">
        <v>5030</v>
      </c>
      <c r="D2780" s="87" t="s">
        <v>5267</v>
      </c>
      <c r="E2780" s="87" t="s">
        <v>5268</v>
      </c>
      <c r="F2780" s="87">
        <v>35.534490099999999</v>
      </c>
      <c r="G2780" s="87">
        <v>45.454301600000001</v>
      </c>
      <c r="H2780" s="86">
        <v>49</v>
      </c>
      <c r="I2780" s="86">
        <v>294</v>
      </c>
      <c r="J2780" s="87">
        <v>12</v>
      </c>
      <c r="K2780" s="87">
        <v>3</v>
      </c>
      <c r="L2780" s="87">
        <v>4</v>
      </c>
      <c r="M2780" s="87"/>
      <c r="N2780" s="87"/>
      <c r="O2780" s="87">
        <v>7</v>
      </c>
      <c r="P2780" s="87"/>
      <c r="Q2780" s="87"/>
      <c r="R2780" s="87"/>
      <c r="S2780" s="87"/>
      <c r="T2780" s="87"/>
      <c r="U2780" s="87"/>
      <c r="V2780" s="87">
        <v>4</v>
      </c>
      <c r="W2780" s="87"/>
      <c r="X2780" s="87">
        <v>19</v>
      </c>
      <c r="Y2780" s="87"/>
      <c r="Z2780" s="87"/>
      <c r="AA2780" s="87"/>
      <c r="AB2780" s="87"/>
      <c r="AC2780" s="87"/>
      <c r="AD2780" s="87"/>
      <c r="AE2780" s="87"/>
      <c r="AF2780" s="87"/>
      <c r="AG2780" s="87"/>
      <c r="AH2780" s="87">
        <v>49</v>
      </c>
      <c r="AI2780" s="87"/>
      <c r="AJ2780" s="87"/>
      <c r="AK2780" s="87"/>
      <c r="AL2780" s="87"/>
      <c r="AM2780" s="87"/>
      <c r="AN2780" s="87">
        <v>7</v>
      </c>
      <c r="AO2780" s="87">
        <v>12</v>
      </c>
      <c r="AP2780" s="87">
        <v>1</v>
      </c>
      <c r="AQ2780" s="87">
        <v>15</v>
      </c>
      <c r="AR2780" s="87">
        <v>12</v>
      </c>
      <c r="AS2780" s="87"/>
      <c r="AT2780" s="87"/>
      <c r="AU2780" s="87">
        <v>1</v>
      </c>
      <c r="AV2780" s="87">
        <v>1</v>
      </c>
      <c r="AW2780" s="88" t="str">
        <f>HYPERLINK("http://www.openstreetmap.org/?mlat=35.5345&amp;mlon=45.4543&amp;zoom=12#map=12/35.5345/45.4543","Maplink1")</f>
        <v>Maplink1</v>
      </c>
      <c r="AX2780" s="88" t="str">
        <f>HYPERLINK("https://www.google.iq/maps/search/+35.5345,45.4543/@35.5345,45.4543,14z?hl=en","Maplink2")</f>
        <v>Maplink2</v>
      </c>
      <c r="AY2780" s="88" t="str">
        <f>HYPERLINK("http://www.bing.com/maps/?lvl=14&amp;sty=h&amp;cp=35.5345~45.4543&amp;sp=point.35.5345_45.4543","Maplink3")</f>
        <v>Maplink3</v>
      </c>
      <c r="AZ2780" s="76"/>
    </row>
    <row r="2781" spans="1:52" x14ac:dyDescent="0.25">
      <c r="A2781" s="86">
        <v>21059</v>
      </c>
      <c r="B2781" s="87" t="s">
        <v>27</v>
      </c>
      <c r="C2781" s="87" t="s">
        <v>5030</v>
      </c>
      <c r="D2781" s="87" t="s">
        <v>5269</v>
      </c>
      <c r="E2781" s="87" t="s">
        <v>5270</v>
      </c>
      <c r="F2781" s="87">
        <v>35.577315599999999</v>
      </c>
      <c r="G2781" s="87">
        <v>45.431914999999996</v>
      </c>
      <c r="H2781" s="86">
        <v>63</v>
      </c>
      <c r="I2781" s="86">
        <v>378</v>
      </c>
      <c r="J2781" s="87">
        <v>28</v>
      </c>
      <c r="K2781" s="87">
        <v>2</v>
      </c>
      <c r="L2781" s="87">
        <v>22</v>
      </c>
      <c r="M2781" s="87"/>
      <c r="N2781" s="87"/>
      <c r="O2781" s="87">
        <v>2</v>
      </c>
      <c r="P2781" s="87"/>
      <c r="Q2781" s="87"/>
      <c r="R2781" s="87"/>
      <c r="S2781" s="87"/>
      <c r="T2781" s="87"/>
      <c r="U2781" s="87"/>
      <c r="V2781" s="87">
        <v>1</v>
      </c>
      <c r="W2781" s="87"/>
      <c r="X2781" s="87">
        <v>8</v>
      </c>
      <c r="Y2781" s="87"/>
      <c r="Z2781" s="87"/>
      <c r="AA2781" s="87"/>
      <c r="AB2781" s="87"/>
      <c r="AC2781" s="87"/>
      <c r="AD2781" s="87"/>
      <c r="AE2781" s="87"/>
      <c r="AF2781" s="87"/>
      <c r="AG2781" s="87"/>
      <c r="AH2781" s="87">
        <v>63</v>
      </c>
      <c r="AI2781" s="87"/>
      <c r="AJ2781" s="87"/>
      <c r="AK2781" s="87"/>
      <c r="AL2781" s="87"/>
      <c r="AM2781" s="87"/>
      <c r="AN2781" s="87">
        <v>2</v>
      </c>
      <c r="AO2781" s="87">
        <v>5</v>
      </c>
      <c r="AP2781" s="87"/>
      <c r="AQ2781" s="87">
        <v>7</v>
      </c>
      <c r="AR2781" s="87">
        <v>7</v>
      </c>
      <c r="AS2781" s="87">
        <v>18</v>
      </c>
      <c r="AT2781" s="87">
        <v>11</v>
      </c>
      <c r="AU2781" s="87">
        <v>12</v>
      </c>
      <c r="AV2781" s="87">
        <v>1</v>
      </c>
      <c r="AW2781" s="88" t="str">
        <f>HYPERLINK("http://www.openstreetmap.org/?mlat=35.5773&amp;mlon=45.4319&amp;zoom=12#map=12/35.5773/45.4319","Maplink1")</f>
        <v>Maplink1</v>
      </c>
      <c r="AX2781" s="88" t="str">
        <f>HYPERLINK("https://www.google.iq/maps/search/+35.5773,45.4319/@35.5773,45.4319,14z?hl=en","Maplink2")</f>
        <v>Maplink2</v>
      </c>
      <c r="AY2781" s="88" t="str">
        <f>HYPERLINK("http://www.bing.com/maps/?lvl=14&amp;sty=h&amp;cp=35.5773~45.4319&amp;sp=point.35.5773_45.4319","Maplink3")</f>
        <v>Maplink3</v>
      </c>
      <c r="AZ2781" s="76"/>
    </row>
    <row r="2782" spans="1:52" x14ac:dyDescent="0.25">
      <c r="A2782" s="86">
        <v>33356</v>
      </c>
      <c r="B2782" s="87" t="s">
        <v>27</v>
      </c>
      <c r="C2782" s="87" t="s">
        <v>5030</v>
      </c>
      <c r="D2782" s="87" t="s">
        <v>5271</v>
      </c>
      <c r="E2782" s="87" t="s">
        <v>5272</v>
      </c>
      <c r="F2782" s="87">
        <v>35.578155899999999</v>
      </c>
      <c r="G2782" s="87">
        <v>45.424267800000003</v>
      </c>
      <c r="H2782" s="86">
        <v>10</v>
      </c>
      <c r="I2782" s="86">
        <v>60</v>
      </c>
      <c r="J2782" s="87">
        <v>3</v>
      </c>
      <c r="K2782" s="87"/>
      <c r="L2782" s="87">
        <v>5</v>
      </c>
      <c r="M2782" s="87"/>
      <c r="N2782" s="87"/>
      <c r="O2782" s="87">
        <v>1</v>
      </c>
      <c r="P2782" s="87"/>
      <c r="Q2782" s="87"/>
      <c r="R2782" s="87"/>
      <c r="S2782" s="87"/>
      <c r="T2782" s="87"/>
      <c r="U2782" s="87"/>
      <c r="V2782" s="87">
        <v>1</v>
      </c>
      <c r="W2782" s="87"/>
      <c r="X2782" s="87"/>
      <c r="Y2782" s="87"/>
      <c r="Z2782" s="87"/>
      <c r="AA2782" s="87"/>
      <c r="AB2782" s="87"/>
      <c r="AC2782" s="87"/>
      <c r="AD2782" s="87"/>
      <c r="AE2782" s="87"/>
      <c r="AF2782" s="87"/>
      <c r="AG2782" s="87"/>
      <c r="AH2782" s="87">
        <v>10</v>
      </c>
      <c r="AI2782" s="87"/>
      <c r="AJ2782" s="87"/>
      <c r="AK2782" s="87"/>
      <c r="AL2782" s="87"/>
      <c r="AM2782" s="87"/>
      <c r="AN2782" s="87">
        <v>2</v>
      </c>
      <c r="AO2782" s="87">
        <v>3</v>
      </c>
      <c r="AP2782" s="87"/>
      <c r="AQ2782" s="87"/>
      <c r="AR2782" s="87">
        <v>1</v>
      </c>
      <c r="AS2782" s="87">
        <v>1</v>
      </c>
      <c r="AT2782" s="87">
        <v>3</v>
      </c>
      <c r="AU2782" s="87"/>
      <c r="AV2782" s="87"/>
      <c r="AW2782" s="88" t="str">
        <f>HYPERLINK("http://www.openstreetmap.org/?mlat=35.5782&amp;mlon=45.4243&amp;zoom=12#map=12/35.5782/45.4243","Maplink1")</f>
        <v>Maplink1</v>
      </c>
      <c r="AX2782" s="88" t="str">
        <f>HYPERLINK("https://www.google.iq/maps/search/+35.5782,45.4243/@35.5782,45.4243,14z?hl=en","Maplink2")</f>
        <v>Maplink2</v>
      </c>
      <c r="AY2782" s="88" t="str">
        <f>HYPERLINK("http://www.bing.com/maps/?lvl=14&amp;sty=h&amp;cp=35.5782~45.4243&amp;sp=point.35.5782_45.4243","Maplink3")</f>
        <v>Maplink3</v>
      </c>
      <c r="AZ2782" s="76"/>
    </row>
    <row r="2783" spans="1:52" x14ac:dyDescent="0.25">
      <c r="A2783" s="86">
        <v>4471</v>
      </c>
      <c r="B2783" s="87" t="s">
        <v>27</v>
      </c>
      <c r="C2783" s="87" t="s">
        <v>5030</v>
      </c>
      <c r="D2783" s="87" t="s">
        <v>5273</v>
      </c>
      <c r="E2783" s="87" t="s">
        <v>5274</v>
      </c>
      <c r="F2783" s="87">
        <v>35.571368399999997</v>
      </c>
      <c r="G2783" s="87">
        <v>45.273325100000001</v>
      </c>
      <c r="H2783" s="86">
        <v>34</v>
      </c>
      <c r="I2783" s="86">
        <v>204</v>
      </c>
      <c r="J2783" s="87"/>
      <c r="K2783" s="87">
        <v>1</v>
      </c>
      <c r="L2783" s="87"/>
      <c r="M2783" s="87"/>
      <c r="N2783" s="87"/>
      <c r="O2783" s="87"/>
      <c r="P2783" s="87"/>
      <c r="Q2783" s="87"/>
      <c r="R2783" s="87">
        <v>3</v>
      </c>
      <c r="S2783" s="87"/>
      <c r="T2783" s="87"/>
      <c r="U2783" s="87"/>
      <c r="V2783" s="87">
        <v>28</v>
      </c>
      <c r="W2783" s="87"/>
      <c r="X2783" s="87">
        <v>2</v>
      </c>
      <c r="Y2783" s="87"/>
      <c r="Z2783" s="87"/>
      <c r="AA2783" s="87"/>
      <c r="AB2783" s="87"/>
      <c r="AC2783" s="87"/>
      <c r="AD2783" s="87"/>
      <c r="AE2783" s="87"/>
      <c r="AF2783" s="87"/>
      <c r="AG2783" s="87"/>
      <c r="AH2783" s="87">
        <v>34</v>
      </c>
      <c r="AI2783" s="87"/>
      <c r="AJ2783" s="87"/>
      <c r="AK2783" s="87"/>
      <c r="AL2783" s="87"/>
      <c r="AM2783" s="87"/>
      <c r="AN2783" s="87"/>
      <c r="AO2783" s="87">
        <v>1</v>
      </c>
      <c r="AP2783" s="87">
        <v>28</v>
      </c>
      <c r="AQ2783" s="87"/>
      <c r="AR2783" s="87"/>
      <c r="AS2783" s="87"/>
      <c r="AT2783" s="87"/>
      <c r="AU2783" s="87">
        <v>5</v>
      </c>
      <c r="AV2783" s="87"/>
      <c r="AW2783" s="88" t="str">
        <f>HYPERLINK("http://www.openstreetmap.org/?mlat=35.5714&amp;mlon=45.2733&amp;zoom=12#map=12/35.5714/45.2733","Maplink1")</f>
        <v>Maplink1</v>
      </c>
      <c r="AX2783" s="88" t="str">
        <f>HYPERLINK("https://www.google.iq/maps/search/+35.5714,45.2733/@35.5714,45.2733,14z?hl=en","Maplink2")</f>
        <v>Maplink2</v>
      </c>
      <c r="AY2783" s="88" t="str">
        <f>HYPERLINK("http://www.bing.com/maps/?lvl=14&amp;sty=h&amp;cp=35.5714~45.2733&amp;sp=point.35.5714_45.2733","Maplink3")</f>
        <v>Maplink3</v>
      </c>
      <c r="AZ2783" s="76"/>
    </row>
    <row r="2784" spans="1:52" x14ac:dyDescent="0.25">
      <c r="A2784" s="86">
        <v>32008</v>
      </c>
      <c r="B2784" s="87" t="s">
        <v>27</v>
      </c>
      <c r="C2784" s="87" t="s">
        <v>5030</v>
      </c>
      <c r="D2784" s="87" t="s">
        <v>5275</v>
      </c>
      <c r="E2784" s="87" t="s">
        <v>5276</v>
      </c>
      <c r="F2784" s="87">
        <v>35.589314299999998</v>
      </c>
      <c r="G2784" s="87">
        <v>45.3994122</v>
      </c>
      <c r="H2784" s="86">
        <v>52</v>
      </c>
      <c r="I2784" s="86">
        <v>312</v>
      </c>
      <c r="J2784" s="87">
        <v>17</v>
      </c>
      <c r="K2784" s="87">
        <v>2</v>
      </c>
      <c r="L2784" s="87">
        <v>10</v>
      </c>
      <c r="M2784" s="87"/>
      <c r="N2784" s="87"/>
      <c r="O2784" s="87">
        <v>1</v>
      </c>
      <c r="P2784" s="87"/>
      <c r="Q2784" s="87"/>
      <c r="R2784" s="87">
        <v>8</v>
      </c>
      <c r="S2784" s="87"/>
      <c r="T2784" s="87"/>
      <c r="U2784" s="87"/>
      <c r="V2784" s="87">
        <v>3</v>
      </c>
      <c r="W2784" s="87"/>
      <c r="X2784" s="87">
        <v>11</v>
      </c>
      <c r="Y2784" s="87"/>
      <c r="Z2784" s="87"/>
      <c r="AA2784" s="87"/>
      <c r="AB2784" s="87"/>
      <c r="AC2784" s="87"/>
      <c r="AD2784" s="87"/>
      <c r="AE2784" s="87"/>
      <c r="AF2784" s="87"/>
      <c r="AG2784" s="87"/>
      <c r="AH2784" s="87">
        <v>52</v>
      </c>
      <c r="AI2784" s="87"/>
      <c r="AJ2784" s="87"/>
      <c r="AK2784" s="87"/>
      <c r="AL2784" s="87"/>
      <c r="AM2784" s="87"/>
      <c r="AN2784" s="87">
        <v>8</v>
      </c>
      <c r="AO2784" s="87">
        <v>10</v>
      </c>
      <c r="AP2784" s="87"/>
      <c r="AQ2784" s="87">
        <v>4</v>
      </c>
      <c r="AR2784" s="87">
        <v>9</v>
      </c>
      <c r="AS2784" s="87">
        <v>3</v>
      </c>
      <c r="AT2784" s="87"/>
      <c r="AU2784" s="87">
        <v>18</v>
      </c>
      <c r="AV2784" s="87"/>
      <c r="AW2784" s="88" t="str">
        <f>HYPERLINK("http://www.openstreetmap.org/?mlat=35.5893&amp;mlon=45.3994&amp;zoom=12#map=12/35.5893/45.3994","Maplink1")</f>
        <v>Maplink1</v>
      </c>
      <c r="AX2784" s="88" t="str">
        <f>HYPERLINK("https://www.google.iq/maps/search/+35.5893,45.3994/@35.5893,45.3994,14z?hl=en","Maplink2")</f>
        <v>Maplink2</v>
      </c>
      <c r="AY2784" s="88" t="str">
        <f>HYPERLINK("http://www.bing.com/maps/?lvl=14&amp;sty=h&amp;cp=35.5893~45.3994&amp;sp=point.35.5893_45.3994","Maplink3")</f>
        <v>Maplink3</v>
      </c>
      <c r="AZ2784" s="76"/>
    </row>
    <row r="2785" spans="1:52" x14ac:dyDescent="0.25">
      <c r="A2785" s="86">
        <v>21243</v>
      </c>
      <c r="B2785" s="87" t="s">
        <v>27</v>
      </c>
      <c r="C2785" s="87" t="s">
        <v>5030</v>
      </c>
      <c r="D2785" s="87" t="s">
        <v>5277</v>
      </c>
      <c r="E2785" s="87" t="s">
        <v>5278</v>
      </c>
      <c r="F2785" s="87">
        <v>35.545172399999998</v>
      </c>
      <c r="G2785" s="87">
        <v>45.443978600000001</v>
      </c>
      <c r="H2785" s="86">
        <v>256</v>
      </c>
      <c r="I2785" s="86">
        <v>1536</v>
      </c>
      <c r="J2785" s="87">
        <v>111</v>
      </c>
      <c r="K2785" s="87">
        <v>23</v>
      </c>
      <c r="L2785" s="87">
        <v>36</v>
      </c>
      <c r="M2785" s="87"/>
      <c r="N2785" s="87"/>
      <c r="O2785" s="87">
        <v>23</v>
      </c>
      <c r="P2785" s="87"/>
      <c r="Q2785" s="87"/>
      <c r="R2785" s="87">
        <v>4</v>
      </c>
      <c r="S2785" s="87"/>
      <c r="T2785" s="87"/>
      <c r="U2785" s="87"/>
      <c r="V2785" s="87">
        <v>19</v>
      </c>
      <c r="W2785" s="87"/>
      <c r="X2785" s="87">
        <v>40</v>
      </c>
      <c r="Y2785" s="87"/>
      <c r="Z2785" s="87"/>
      <c r="AA2785" s="87"/>
      <c r="AB2785" s="87"/>
      <c r="AC2785" s="87"/>
      <c r="AD2785" s="87"/>
      <c r="AE2785" s="87"/>
      <c r="AF2785" s="87"/>
      <c r="AG2785" s="87"/>
      <c r="AH2785" s="87">
        <v>255</v>
      </c>
      <c r="AI2785" s="87"/>
      <c r="AJ2785" s="87"/>
      <c r="AK2785" s="87"/>
      <c r="AL2785" s="87">
        <v>1</v>
      </c>
      <c r="AM2785" s="87"/>
      <c r="AN2785" s="87">
        <v>18</v>
      </c>
      <c r="AO2785" s="87">
        <v>40</v>
      </c>
      <c r="AP2785" s="87">
        <v>39</v>
      </c>
      <c r="AQ2785" s="87">
        <v>60</v>
      </c>
      <c r="AR2785" s="87">
        <v>41</v>
      </c>
      <c r="AS2785" s="87">
        <v>33</v>
      </c>
      <c r="AT2785" s="87">
        <v>6</v>
      </c>
      <c r="AU2785" s="87">
        <v>17</v>
      </c>
      <c r="AV2785" s="87">
        <v>2</v>
      </c>
      <c r="AW2785" s="88" t="str">
        <f>HYPERLINK("http://www.openstreetmap.org/?mlat=35.5452&amp;mlon=45.444&amp;zoom=12#map=12/35.5452/45.444","Maplink1")</f>
        <v>Maplink1</v>
      </c>
      <c r="AX2785" s="88" t="str">
        <f>HYPERLINK("https://www.google.iq/maps/search/+35.5452,45.444/@35.5452,45.444,14z?hl=en","Maplink2")</f>
        <v>Maplink2</v>
      </c>
      <c r="AY2785" s="88" t="str">
        <f>HYPERLINK("http://www.bing.com/maps/?lvl=14&amp;sty=h&amp;cp=35.5452~45.444&amp;sp=point.35.5452_45.444","Maplink3")</f>
        <v>Maplink3</v>
      </c>
      <c r="AZ2785" s="76"/>
    </row>
    <row r="2786" spans="1:52" x14ac:dyDescent="0.25">
      <c r="A2786" s="86">
        <v>25570</v>
      </c>
      <c r="B2786" s="87" t="s">
        <v>27</v>
      </c>
      <c r="C2786" s="87" t="s">
        <v>5030</v>
      </c>
      <c r="D2786" s="87" t="s">
        <v>5279</v>
      </c>
      <c r="E2786" s="87" t="s">
        <v>5280</v>
      </c>
      <c r="F2786" s="87">
        <v>35.583911299999997</v>
      </c>
      <c r="G2786" s="87">
        <v>45.316023199999997</v>
      </c>
      <c r="H2786" s="86">
        <v>52</v>
      </c>
      <c r="I2786" s="86">
        <v>312</v>
      </c>
      <c r="J2786" s="87">
        <v>6</v>
      </c>
      <c r="K2786" s="87"/>
      <c r="L2786" s="87">
        <v>3</v>
      </c>
      <c r="M2786" s="87"/>
      <c r="N2786" s="87"/>
      <c r="O2786" s="87">
        <v>10</v>
      </c>
      <c r="P2786" s="87"/>
      <c r="Q2786" s="87"/>
      <c r="R2786" s="87">
        <v>8</v>
      </c>
      <c r="S2786" s="87"/>
      <c r="T2786" s="87"/>
      <c r="U2786" s="87"/>
      <c r="V2786" s="87">
        <v>11</v>
      </c>
      <c r="W2786" s="87"/>
      <c r="X2786" s="87">
        <v>14</v>
      </c>
      <c r="Y2786" s="87"/>
      <c r="Z2786" s="87"/>
      <c r="AA2786" s="87"/>
      <c r="AB2786" s="87"/>
      <c r="AC2786" s="87"/>
      <c r="AD2786" s="87"/>
      <c r="AE2786" s="87"/>
      <c r="AF2786" s="87"/>
      <c r="AG2786" s="87"/>
      <c r="AH2786" s="87">
        <v>50</v>
      </c>
      <c r="AI2786" s="87"/>
      <c r="AJ2786" s="87"/>
      <c r="AK2786" s="87"/>
      <c r="AL2786" s="87">
        <v>2</v>
      </c>
      <c r="AM2786" s="87"/>
      <c r="AN2786" s="87">
        <v>2</v>
      </c>
      <c r="AO2786" s="87">
        <v>15</v>
      </c>
      <c r="AP2786" s="87">
        <v>14</v>
      </c>
      <c r="AQ2786" s="87">
        <v>4</v>
      </c>
      <c r="AR2786" s="87">
        <v>4</v>
      </c>
      <c r="AS2786" s="87">
        <v>1</v>
      </c>
      <c r="AT2786" s="87"/>
      <c r="AU2786" s="87">
        <v>12</v>
      </c>
      <c r="AV2786" s="87"/>
      <c r="AW2786" s="88" t="str">
        <f>HYPERLINK("http://www.openstreetmap.org/?mlat=35.5839&amp;mlon=45.316&amp;zoom=12#map=12/35.5839/45.316","Maplink1")</f>
        <v>Maplink1</v>
      </c>
      <c r="AX2786" s="88" t="str">
        <f>HYPERLINK("https://www.google.iq/maps/search/+35.5839,45.316/@35.5839,45.316,14z?hl=en","Maplink2")</f>
        <v>Maplink2</v>
      </c>
      <c r="AY2786" s="88" t="str">
        <f>HYPERLINK("http://www.bing.com/maps/?lvl=14&amp;sty=h&amp;cp=35.5839~45.316&amp;sp=point.35.5839_45.316","Maplink3")</f>
        <v>Maplink3</v>
      </c>
      <c r="AZ2786" s="76"/>
    </row>
    <row r="2787" spans="1:52" x14ac:dyDescent="0.25">
      <c r="A2787" s="86">
        <v>5785</v>
      </c>
      <c r="B2787" s="87" t="s">
        <v>27</v>
      </c>
      <c r="C2787" s="87" t="s">
        <v>5030</v>
      </c>
      <c r="D2787" s="87" t="s">
        <v>5281</v>
      </c>
      <c r="E2787" s="87" t="s">
        <v>5282</v>
      </c>
      <c r="F2787" s="87">
        <v>35.542834200000001</v>
      </c>
      <c r="G2787" s="87">
        <v>45.3803433</v>
      </c>
      <c r="H2787" s="86">
        <v>76</v>
      </c>
      <c r="I2787" s="86">
        <v>456</v>
      </c>
      <c r="J2787" s="87">
        <v>26</v>
      </c>
      <c r="K2787" s="87">
        <v>6</v>
      </c>
      <c r="L2787" s="87">
        <v>4</v>
      </c>
      <c r="M2787" s="87"/>
      <c r="N2787" s="87"/>
      <c r="O2787" s="87">
        <v>3</v>
      </c>
      <c r="P2787" s="87"/>
      <c r="Q2787" s="87"/>
      <c r="R2787" s="87">
        <v>4</v>
      </c>
      <c r="S2787" s="87"/>
      <c r="T2787" s="87"/>
      <c r="U2787" s="87"/>
      <c r="V2787" s="87">
        <v>8</v>
      </c>
      <c r="W2787" s="87"/>
      <c r="X2787" s="87">
        <v>25</v>
      </c>
      <c r="Y2787" s="87"/>
      <c r="Z2787" s="87"/>
      <c r="AA2787" s="87"/>
      <c r="AB2787" s="87"/>
      <c r="AC2787" s="87"/>
      <c r="AD2787" s="87"/>
      <c r="AE2787" s="87"/>
      <c r="AF2787" s="87"/>
      <c r="AG2787" s="87"/>
      <c r="AH2787" s="87">
        <v>76</v>
      </c>
      <c r="AI2787" s="87"/>
      <c r="AJ2787" s="87"/>
      <c r="AK2787" s="87"/>
      <c r="AL2787" s="87"/>
      <c r="AM2787" s="87"/>
      <c r="AN2787" s="87">
        <v>1</v>
      </c>
      <c r="AO2787" s="87">
        <v>5</v>
      </c>
      <c r="AP2787" s="87">
        <v>2</v>
      </c>
      <c r="AQ2787" s="87">
        <v>6</v>
      </c>
      <c r="AR2787" s="87">
        <v>11</v>
      </c>
      <c r="AS2787" s="87">
        <v>8</v>
      </c>
      <c r="AT2787" s="87">
        <v>15</v>
      </c>
      <c r="AU2787" s="87">
        <v>28</v>
      </c>
      <c r="AV2787" s="87"/>
      <c r="AW2787" s="88" t="str">
        <f>HYPERLINK("http://www.openstreetmap.org/?mlat=35.5428&amp;mlon=45.3803&amp;zoom=12#map=12/35.5428/45.3803","Maplink1")</f>
        <v>Maplink1</v>
      </c>
      <c r="AX2787" s="88" t="str">
        <f>HYPERLINK("https://www.google.iq/maps/search/+35.5428,45.3803/@35.5428,45.3803,14z?hl=en","Maplink2")</f>
        <v>Maplink2</v>
      </c>
      <c r="AY2787" s="88" t="str">
        <f>HYPERLINK("http://www.bing.com/maps/?lvl=14&amp;sty=h&amp;cp=35.5428~45.3803&amp;sp=point.35.5428_45.3803","Maplink3")</f>
        <v>Maplink3</v>
      </c>
      <c r="AZ2787" s="76"/>
    </row>
    <row r="2788" spans="1:52" x14ac:dyDescent="0.25">
      <c r="A2788" s="86">
        <v>5112</v>
      </c>
      <c r="B2788" s="87" t="s">
        <v>27</v>
      </c>
      <c r="C2788" s="87" t="s">
        <v>5030</v>
      </c>
      <c r="D2788" s="87" t="s">
        <v>5283</v>
      </c>
      <c r="E2788" s="87" t="s">
        <v>5284</v>
      </c>
      <c r="F2788" s="87">
        <v>35.620532099999998</v>
      </c>
      <c r="G2788" s="87">
        <v>45.412426000000004</v>
      </c>
      <c r="H2788" s="86">
        <v>12</v>
      </c>
      <c r="I2788" s="86">
        <v>72</v>
      </c>
      <c r="J2788" s="87"/>
      <c r="K2788" s="87">
        <v>4</v>
      </c>
      <c r="L2788" s="87"/>
      <c r="M2788" s="87"/>
      <c r="N2788" s="87"/>
      <c r="O2788" s="87">
        <v>3</v>
      </c>
      <c r="P2788" s="87"/>
      <c r="Q2788" s="87"/>
      <c r="R2788" s="87"/>
      <c r="S2788" s="87"/>
      <c r="T2788" s="87"/>
      <c r="U2788" s="87"/>
      <c r="V2788" s="87">
        <v>3</v>
      </c>
      <c r="W2788" s="87"/>
      <c r="X2788" s="87">
        <v>2</v>
      </c>
      <c r="Y2788" s="87"/>
      <c r="Z2788" s="87"/>
      <c r="AA2788" s="87"/>
      <c r="AB2788" s="87"/>
      <c r="AC2788" s="87"/>
      <c r="AD2788" s="87"/>
      <c r="AE2788" s="87"/>
      <c r="AF2788" s="87"/>
      <c r="AG2788" s="87"/>
      <c r="AH2788" s="87">
        <v>12</v>
      </c>
      <c r="AI2788" s="87"/>
      <c r="AJ2788" s="87"/>
      <c r="AK2788" s="87"/>
      <c r="AL2788" s="87"/>
      <c r="AM2788" s="87"/>
      <c r="AN2788" s="87">
        <v>2</v>
      </c>
      <c r="AO2788" s="87">
        <v>4</v>
      </c>
      <c r="AP2788" s="87">
        <v>3</v>
      </c>
      <c r="AQ2788" s="87">
        <v>1</v>
      </c>
      <c r="AR2788" s="87"/>
      <c r="AS2788" s="87">
        <v>2</v>
      </c>
      <c r="AT2788" s="87"/>
      <c r="AU2788" s="87"/>
      <c r="AV2788" s="87"/>
      <c r="AW2788" s="88" t="str">
        <f>HYPERLINK("http://www.openstreetmap.org/?mlat=35.6205&amp;mlon=45.4124&amp;zoom=12#map=12/35.6205/45.4124","Maplink1")</f>
        <v>Maplink1</v>
      </c>
      <c r="AX2788" s="88" t="str">
        <f>HYPERLINK("https://www.google.iq/maps/search/+35.6205,45.4124/@35.6205,45.4124,14z?hl=en","Maplink2")</f>
        <v>Maplink2</v>
      </c>
      <c r="AY2788" s="88" t="str">
        <f>HYPERLINK("http://www.bing.com/maps/?lvl=14&amp;sty=h&amp;cp=35.6205~45.4124&amp;sp=point.35.6205_45.4124","Maplink3")</f>
        <v>Maplink3</v>
      </c>
      <c r="AZ2788" s="76"/>
    </row>
    <row r="2789" spans="1:52" x14ac:dyDescent="0.25">
      <c r="A2789" s="86">
        <v>31988</v>
      </c>
      <c r="B2789" s="87" t="s">
        <v>27</v>
      </c>
      <c r="C2789" s="87" t="s">
        <v>5030</v>
      </c>
      <c r="D2789" s="87" t="s">
        <v>5285</v>
      </c>
      <c r="E2789" s="87" t="s">
        <v>5286</v>
      </c>
      <c r="F2789" s="87">
        <v>35.582733599999997</v>
      </c>
      <c r="G2789" s="87">
        <v>45.4378381</v>
      </c>
      <c r="H2789" s="86">
        <v>61</v>
      </c>
      <c r="I2789" s="86">
        <v>366</v>
      </c>
      <c r="J2789" s="87">
        <v>10</v>
      </c>
      <c r="K2789" s="87"/>
      <c r="L2789" s="87">
        <v>37</v>
      </c>
      <c r="M2789" s="87"/>
      <c r="N2789" s="87"/>
      <c r="O2789" s="87">
        <v>3</v>
      </c>
      <c r="P2789" s="87"/>
      <c r="Q2789" s="87"/>
      <c r="R2789" s="87"/>
      <c r="S2789" s="87"/>
      <c r="T2789" s="87"/>
      <c r="U2789" s="87"/>
      <c r="V2789" s="87">
        <v>3</v>
      </c>
      <c r="W2789" s="87"/>
      <c r="X2789" s="87">
        <v>8</v>
      </c>
      <c r="Y2789" s="87"/>
      <c r="Z2789" s="87"/>
      <c r="AA2789" s="87"/>
      <c r="AB2789" s="87"/>
      <c r="AC2789" s="87"/>
      <c r="AD2789" s="87"/>
      <c r="AE2789" s="87"/>
      <c r="AF2789" s="87"/>
      <c r="AG2789" s="87"/>
      <c r="AH2789" s="87">
        <v>31</v>
      </c>
      <c r="AI2789" s="87"/>
      <c r="AJ2789" s="87"/>
      <c r="AK2789" s="87"/>
      <c r="AL2789" s="87">
        <v>30</v>
      </c>
      <c r="AM2789" s="87"/>
      <c r="AN2789" s="87">
        <v>5</v>
      </c>
      <c r="AO2789" s="87">
        <v>15</v>
      </c>
      <c r="AP2789" s="87"/>
      <c r="AQ2789" s="87">
        <v>19</v>
      </c>
      <c r="AR2789" s="87">
        <v>13</v>
      </c>
      <c r="AS2789" s="87"/>
      <c r="AT2789" s="87">
        <v>2</v>
      </c>
      <c r="AU2789" s="87"/>
      <c r="AV2789" s="87">
        <v>7</v>
      </c>
      <c r="AW2789" s="88" t="str">
        <f>HYPERLINK("http://www.openstreetmap.org/?mlat=35.5827&amp;mlon=45.4378&amp;zoom=12#map=12/35.5827/45.4378","Maplink1")</f>
        <v>Maplink1</v>
      </c>
      <c r="AX2789" s="88" t="str">
        <f>HYPERLINK("https://www.google.iq/maps/search/+35.5827,45.4378/@35.5827,45.4378,14z?hl=en","Maplink2")</f>
        <v>Maplink2</v>
      </c>
      <c r="AY2789" s="88" t="str">
        <f>HYPERLINK("http://www.bing.com/maps/?lvl=14&amp;sty=h&amp;cp=35.5827~45.4378&amp;sp=point.35.5827_45.4378","Maplink3")</f>
        <v>Maplink3</v>
      </c>
      <c r="AZ2789" s="76"/>
    </row>
    <row r="2790" spans="1:52" x14ac:dyDescent="0.25">
      <c r="A2790" s="86">
        <v>4467</v>
      </c>
      <c r="B2790" s="87" t="s">
        <v>27</v>
      </c>
      <c r="C2790" s="87" t="s">
        <v>5030</v>
      </c>
      <c r="D2790" s="87" t="s">
        <v>5287</v>
      </c>
      <c r="E2790" s="87" t="s">
        <v>5288</v>
      </c>
      <c r="F2790" s="87">
        <v>35.242382800000001</v>
      </c>
      <c r="G2790" s="87">
        <v>45.4645285</v>
      </c>
      <c r="H2790" s="86">
        <v>5</v>
      </c>
      <c r="I2790" s="86">
        <v>30</v>
      </c>
      <c r="J2790" s="87">
        <v>2</v>
      </c>
      <c r="K2790" s="87"/>
      <c r="L2790" s="87">
        <v>1</v>
      </c>
      <c r="M2790" s="87"/>
      <c r="N2790" s="87"/>
      <c r="O2790" s="87"/>
      <c r="P2790" s="87"/>
      <c r="Q2790" s="87"/>
      <c r="R2790" s="87">
        <v>1</v>
      </c>
      <c r="S2790" s="87"/>
      <c r="T2790" s="87"/>
      <c r="U2790" s="87"/>
      <c r="V2790" s="87">
        <v>1</v>
      </c>
      <c r="W2790" s="87"/>
      <c r="X2790" s="87"/>
      <c r="Y2790" s="87"/>
      <c r="Z2790" s="87"/>
      <c r="AA2790" s="87"/>
      <c r="AB2790" s="87"/>
      <c r="AC2790" s="87"/>
      <c r="AD2790" s="87"/>
      <c r="AE2790" s="87"/>
      <c r="AF2790" s="87"/>
      <c r="AG2790" s="87"/>
      <c r="AH2790" s="87">
        <v>5</v>
      </c>
      <c r="AI2790" s="87"/>
      <c r="AJ2790" s="87"/>
      <c r="AK2790" s="87"/>
      <c r="AL2790" s="87"/>
      <c r="AM2790" s="87"/>
      <c r="AN2790" s="87"/>
      <c r="AO2790" s="87"/>
      <c r="AP2790" s="87">
        <v>1</v>
      </c>
      <c r="AQ2790" s="87">
        <v>2</v>
      </c>
      <c r="AR2790" s="87">
        <v>2</v>
      </c>
      <c r="AS2790" s="87"/>
      <c r="AT2790" s="87"/>
      <c r="AU2790" s="87"/>
      <c r="AV2790" s="87"/>
      <c r="AW2790" s="88" t="str">
        <f>HYPERLINK("http://www.openstreetmap.org/?mlat=35.2424&amp;mlon=45.4645&amp;zoom=12#map=12/35.2424/45.4645","Maplink1")</f>
        <v>Maplink1</v>
      </c>
      <c r="AX2790" s="88" t="str">
        <f>HYPERLINK("https://www.google.iq/maps/search/+35.2424,45.4645/@35.2424,45.4645,14z?hl=en","Maplink2")</f>
        <v>Maplink2</v>
      </c>
      <c r="AY2790" s="88" t="str">
        <f>HYPERLINK("http://www.bing.com/maps/?lvl=14&amp;sty=h&amp;cp=35.2424~45.4645&amp;sp=point.35.2424_45.4645","Maplink3")</f>
        <v>Maplink3</v>
      </c>
      <c r="AZ2790" s="76"/>
    </row>
    <row r="2791" spans="1:52" x14ac:dyDescent="0.25">
      <c r="A2791" s="86">
        <v>24899</v>
      </c>
      <c r="B2791" s="87" t="s">
        <v>27</v>
      </c>
      <c r="C2791" s="87" t="s">
        <v>5030</v>
      </c>
      <c r="D2791" s="87" t="s">
        <v>5289</v>
      </c>
      <c r="E2791" s="87" t="s">
        <v>5290</v>
      </c>
      <c r="F2791" s="87">
        <v>35.549005700000002</v>
      </c>
      <c r="G2791" s="87">
        <v>45.3686516</v>
      </c>
      <c r="H2791" s="86">
        <v>91</v>
      </c>
      <c r="I2791" s="86">
        <v>546</v>
      </c>
      <c r="J2791" s="87">
        <v>7</v>
      </c>
      <c r="K2791" s="87">
        <v>5</v>
      </c>
      <c r="L2791" s="87">
        <v>19</v>
      </c>
      <c r="M2791" s="87"/>
      <c r="N2791" s="87"/>
      <c r="O2791" s="87">
        <v>17</v>
      </c>
      <c r="P2791" s="87"/>
      <c r="Q2791" s="87"/>
      <c r="R2791" s="87">
        <v>25</v>
      </c>
      <c r="S2791" s="87"/>
      <c r="T2791" s="87"/>
      <c r="U2791" s="87"/>
      <c r="V2791" s="87">
        <v>2</v>
      </c>
      <c r="W2791" s="87"/>
      <c r="X2791" s="87">
        <v>16</v>
      </c>
      <c r="Y2791" s="87"/>
      <c r="Z2791" s="87"/>
      <c r="AA2791" s="87"/>
      <c r="AB2791" s="87"/>
      <c r="AC2791" s="87"/>
      <c r="AD2791" s="87"/>
      <c r="AE2791" s="87"/>
      <c r="AF2791" s="87"/>
      <c r="AG2791" s="87"/>
      <c r="AH2791" s="87">
        <v>91</v>
      </c>
      <c r="AI2791" s="87"/>
      <c r="AJ2791" s="87"/>
      <c r="AK2791" s="87"/>
      <c r="AL2791" s="87"/>
      <c r="AM2791" s="87"/>
      <c r="AN2791" s="87">
        <v>11</v>
      </c>
      <c r="AO2791" s="87">
        <v>19</v>
      </c>
      <c r="AP2791" s="87">
        <v>9</v>
      </c>
      <c r="AQ2791" s="87">
        <v>13</v>
      </c>
      <c r="AR2791" s="87">
        <v>3</v>
      </c>
      <c r="AS2791" s="87"/>
      <c r="AT2791" s="87"/>
      <c r="AU2791" s="87">
        <v>36</v>
      </c>
      <c r="AV2791" s="87"/>
      <c r="AW2791" s="88" t="str">
        <f>HYPERLINK("http://www.openstreetmap.org/?mlat=35.549&amp;mlon=45.3687&amp;zoom=12#map=12/35.549/45.3687","Maplink1")</f>
        <v>Maplink1</v>
      </c>
      <c r="AX2791" s="88" t="str">
        <f>HYPERLINK("https://www.google.iq/maps/search/+35.549,45.3687/@35.549,45.3687,14z?hl=en","Maplink2")</f>
        <v>Maplink2</v>
      </c>
      <c r="AY2791" s="88" t="str">
        <f>HYPERLINK("http://www.bing.com/maps/?lvl=14&amp;sty=h&amp;cp=35.549~45.3687&amp;sp=point.35.549_45.3687","Maplink3")</f>
        <v>Maplink3</v>
      </c>
      <c r="AZ2791" s="76"/>
    </row>
    <row r="2792" spans="1:52" x14ac:dyDescent="0.25">
      <c r="A2792" s="86">
        <v>24260</v>
      </c>
      <c r="B2792" s="87" t="s">
        <v>27</v>
      </c>
      <c r="C2792" s="87" t="s">
        <v>5030</v>
      </c>
      <c r="D2792" s="87" t="s">
        <v>5291</v>
      </c>
      <c r="E2792" s="87" t="s">
        <v>5292</v>
      </c>
      <c r="F2792" s="87">
        <v>35.537738599999997</v>
      </c>
      <c r="G2792" s="87">
        <v>45.410511499999998</v>
      </c>
      <c r="H2792" s="86">
        <v>228</v>
      </c>
      <c r="I2792" s="86">
        <v>1368</v>
      </c>
      <c r="J2792" s="87">
        <v>52</v>
      </c>
      <c r="K2792" s="87"/>
      <c r="L2792" s="87">
        <v>123</v>
      </c>
      <c r="M2792" s="87"/>
      <c r="N2792" s="87"/>
      <c r="O2792" s="87">
        <v>14</v>
      </c>
      <c r="P2792" s="87"/>
      <c r="Q2792" s="87"/>
      <c r="R2792" s="87"/>
      <c r="S2792" s="87"/>
      <c r="T2792" s="87"/>
      <c r="U2792" s="87"/>
      <c r="V2792" s="87">
        <v>13</v>
      </c>
      <c r="W2792" s="87"/>
      <c r="X2792" s="87">
        <v>26</v>
      </c>
      <c r="Y2792" s="87"/>
      <c r="Z2792" s="87"/>
      <c r="AA2792" s="87"/>
      <c r="AB2792" s="87"/>
      <c r="AC2792" s="87"/>
      <c r="AD2792" s="87"/>
      <c r="AE2792" s="87"/>
      <c r="AF2792" s="87"/>
      <c r="AG2792" s="87"/>
      <c r="AH2792" s="87">
        <v>223</v>
      </c>
      <c r="AI2792" s="87"/>
      <c r="AJ2792" s="87"/>
      <c r="AK2792" s="87"/>
      <c r="AL2792" s="87">
        <v>5</v>
      </c>
      <c r="AM2792" s="87"/>
      <c r="AN2792" s="87"/>
      <c r="AO2792" s="87">
        <v>4</v>
      </c>
      <c r="AP2792" s="87">
        <v>4</v>
      </c>
      <c r="AQ2792" s="87">
        <v>25</v>
      </c>
      <c r="AR2792" s="87">
        <v>41</v>
      </c>
      <c r="AS2792" s="87">
        <v>52</v>
      </c>
      <c r="AT2792" s="87">
        <v>52</v>
      </c>
      <c r="AU2792" s="87">
        <v>43</v>
      </c>
      <c r="AV2792" s="87">
        <v>7</v>
      </c>
      <c r="AW2792" s="88" t="str">
        <f>HYPERLINK("http://www.openstreetmap.org/?mlat=35.5377&amp;mlon=45.4105&amp;zoom=12#map=12/35.5377/45.4105","Maplink1")</f>
        <v>Maplink1</v>
      </c>
      <c r="AX2792" s="88" t="str">
        <f>HYPERLINK("https://www.google.iq/maps/search/+35.5377,45.4105/@35.5377,45.4105,14z?hl=en","Maplink2")</f>
        <v>Maplink2</v>
      </c>
      <c r="AY2792" s="88" t="str">
        <f>HYPERLINK("http://www.bing.com/maps/?lvl=14&amp;sty=h&amp;cp=35.5377~45.4105&amp;sp=point.35.5377_45.4105","Maplink3")</f>
        <v>Maplink3</v>
      </c>
      <c r="AZ2792" s="76"/>
    </row>
    <row r="2793" spans="1:52" x14ac:dyDescent="0.25">
      <c r="A2793" s="86">
        <v>32076</v>
      </c>
      <c r="B2793" s="87" t="s">
        <v>27</v>
      </c>
      <c r="C2793" s="87" t="s">
        <v>5030</v>
      </c>
      <c r="D2793" s="87" t="s">
        <v>5293</v>
      </c>
      <c r="E2793" s="87" t="s">
        <v>5294</v>
      </c>
      <c r="F2793" s="87">
        <v>35.550124500000003</v>
      </c>
      <c r="G2793" s="87">
        <v>45.347944400000003</v>
      </c>
      <c r="H2793" s="86">
        <v>142</v>
      </c>
      <c r="I2793" s="86">
        <v>852</v>
      </c>
      <c r="J2793" s="87">
        <v>7</v>
      </c>
      <c r="K2793" s="87"/>
      <c r="L2793" s="87">
        <v>25</v>
      </c>
      <c r="M2793" s="87"/>
      <c r="N2793" s="87"/>
      <c r="O2793" s="87">
        <v>2</v>
      </c>
      <c r="P2793" s="87"/>
      <c r="Q2793" s="87"/>
      <c r="R2793" s="87">
        <v>82</v>
      </c>
      <c r="S2793" s="87"/>
      <c r="T2793" s="87"/>
      <c r="U2793" s="87"/>
      <c r="V2793" s="87">
        <v>7</v>
      </c>
      <c r="W2793" s="87"/>
      <c r="X2793" s="87">
        <v>19</v>
      </c>
      <c r="Y2793" s="87"/>
      <c r="Z2793" s="87"/>
      <c r="AA2793" s="87"/>
      <c r="AB2793" s="87"/>
      <c r="AC2793" s="87"/>
      <c r="AD2793" s="87"/>
      <c r="AE2793" s="87"/>
      <c r="AF2793" s="87"/>
      <c r="AG2793" s="87"/>
      <c r="AH2793" s="87">
        <v>142</v>
      </c>
      <c r="AI2793" s="87"/>
      <c r="AJ2793" s="87"/>
      <c r="AK2793" s="87"/>
      <c r="AL2793" s="87"/>
      <c r="AM2793" s="87"/>
      <c r="AN2793" s="87">
        <v>6</v>
      </c>
      <c r="AO2793" s="87">
        <v>17</v>
      </c>
      <c r="AP2793" s="87">
        <v>4</v>
      </c>
      <c r="AQ2793" s="87">
        <v>10</v>
      </c>
      <c r="AR2793" s="87">
        <v>4</v>
      </c>
      <c r="AS2793" s="87">
        <v>2</v>
      </c>
      <c r="AT2793" s="87">
        <v>2</v>
      </c>
      <c r="AU2793" s="87">
        <v>97</v>
      </c>
      <c r="AV2793" s="87"/>
      <c r="AW2793" s="88" t="str">
        <f>HYPERLINK("http://www.openstreetmap.org/?mlat=35.5501&amp;mlon=45.3479&amp;zoom=12#map=12/35.5501/45.3479","Maplink1")</f>
        <v>Maplink1</v>
      </c>
      <c r="AX2793" s="88" t="str">
        <f>HYPERLINK("https://www.google.iq/maps/search/+35.5501,45.3479/@35.5501,45.3479,14z?hl=en","Maplink2")</f>
        <v>Maplink2</v>
      </c>
      <c r="AY2793" s="88" t="str">
        <f>HYPERLINK("http://www.bing.com/maps/?lvl=14&amp;sty=h&amp;cp=35.5501~45.3479&amp;sp=point.35.5501_45.3479","Maplink3")</f>
        <v>Maplink3</v>
      </c>
      <c r="AZ2793" s="76"/>
    </row>
    <row r="2794" spans="1:52" x14ac:dyDescent="0.25">
      <c r="A2794" s="86">
        <v>23719</v>
      </c>
      <c r="B2794" s="87" t="s">
        <v>27</v>
      </c>
      <c r="C2794" s="87" t="s">
        <v>5030</v>
      </c>
      <c r="D2794" s="87" t="s">
        <v>5295</v>
      </c>
      <c r="E2794" s="87" t="s">
        <v>5296</v>
      </c>
      <c r="F2794" s="87">
        <v>35.5931365</v>
      </c>
      <c r="G2794" s="87">
        <v>45.442231200000002</v>
      </c>
      <c r="H2794" s="86">
        <v>65</v>
      </c>
      <c r="I2794" s="86">
        <v>390</v>
      </c>
      <c r="J2794" s="87">
        <v>12</v>
      </c>
      <c r="K2794" s="87"/>
      <c r="L2794" s="87">
        <v>18</v>
      </c>
      <c r="M2794" s="87"/>
      <c r="N2794" s="87"/>
      <c r="O2794" s="87">
        <v>5</v>
      </c>
      <c r="P2794" s="87"/>
      <c r="Q2794" s="87"/>
      <c r="R2794" s="87">
        <v>6</v>
      </c>
      <c r="S2794" s="87"/>
      <c r="T2794" s="87"/>
      <c r="U2794" s="87"/>
      <c r="V2794" s="87">
        <v>9</v>
      </c>
      <c r="W2794" s="87"/>
      <c r="X2794" s="87">
        <v>15</v>
      </c>
      <c r="Y2794" s="87"/>
      <c r="Z2794" s="87"/>
      <c r="AA2794" s="87"/>
      <c r="AB2794" s="87"/>
      <c r="AC2794" s="87"/>
      <c r="AD2794" s="87"/>
      <c r="AE2794" s="87"/>
      <c r="AF2794" s="87"/>
      <c r="AG2794" s="87"/>
      <c r="AH2794" s="87">
        <v>62</v>
      </c>
      <c r="AI2794" s="87"/>
      <c r="AJ2794" s="87"/>
      <c r="AK2794" s="87"/>
      <c r="AL2794" s="87">
        <v>3</v>
      </c>
      <c r="AM2794" s="87"/>
      <c r="AN2794" s="87">
        <v>2</v>
      </c>
      <c r="AO2794" s="87">
        <v>13</v>
      </c>
      <c r="AP2794" s="87">
        <v>2</v>
      </c>
      <c r="AQ2794" s="87">
        <v>13</v>
      </c>
      <c r="AR2794" s="87">
        <v>10</v>
      </c>
      <c r="AS2794" s="87">
        <v>6</v>
      </c>
      <c r="AT2794" s="87">
        <v>2</v>
      </c>
      <c r="AU2794" s="87">
        <v>17</v>
      </c>
      <c r="AV2794" s="87"/>
      <c r="AW2794" s="88" t="str">
        <f>HYPERLINK("http://www.openstreetmap.org/?mlat=35.5931&amp;mlon=45.4422&amp;zoom=12#map=12/35.5931/45.4422","Maplink1")</f>
        <v>Maplink1</v>
      </c>
      <c r="AX2794" s="88" t="str">
        <f>HYPERLINK("https://www.google.iq/maps/search/+35.5931,45.4422/@35.5931,45.4422,14z?hl=en","Maplink2")</f>
        <v>Maplink2</v>
      </c>
      <c r="AY2794" s="88" t="str">
        <f>HYPERLINK("http://www.bing.com/maps/?lvl=14&amp;sty=h&amp;cp=35.5931~45.4422&amp;sp=point.35.5931_45.4422","Maplink3")</f>
        <v>Maplink3</v>
      </c>
      <c r="AZ2794" s="76"/>
    </row>
    <row r="2795" spans="1:52" x14ac:dyDescent="0.25">
      <c r="A2795" s="86">
        <v>24817</v>
      </c>
      <c r="B2795" s="87" t="s">
        <v>27</v>
      </c>
      <c r="C2795" s="87" t="s">
        <v>5030</v>
      </c>
      <c r="D2795" s="87" t="s">
        <v>5297</v>
      </c>
      <c r="E2795" s="87" t="s">
        <v>5298</v>
      </c>
      <c r="F2795" s="87">
        <v>35.533590500000003</v>
      </c>
      <c r="G2795" s="87">
        <v>45.417699900000002</v>
      </c>
      <c r="H2795" s="86">
        <v>29</v>
      </c>
      <c r="I2795" s="86">
        <v>174</v>
      </c>
      <c r="J2795" s="87">
        <v>8</v>
      </c>
      <c r="K2795" s="87">
        <v>1</v>
      </c>
      <c r="L2795" s="87">
        <v>15</v>
      </c>
      <c r="M2795" s="87"/>
      <c r="N2795" s="87"/>
      <c r="O2795" s="87">
        <v>2</v>
      </c>
      <c r="P2795" s="87"/>
      <c r="Q2795" s="87"/>
      <c r="R2795" s="87"/>
      <c r="S2795" s="87"/>
      <c r="T2795" s="87"/>
      <c r="U2795" s="87"/>
      <c r="V2795" s="87">
        <v>3</v>
      </c>
      <c r="W2795" s="87"/>
      <c r="X2795" s="87"/>
      <c r="Y2795" s="87"/>
      <c r="Z2795" s="87"/>
      <c r="AA2795" s="87"/>
      <c r="AB2795" s="87"/>
      <c r="AC2795" s="87"/>
      <c r="AD2795" s="87"/>
      <c r="AE2795" s="87"/>
      <c r="AF2795" s="87"/>
      <c r="AG2795" s="87"/>
      <c r="AH2795" s="87">
        <v>29</v>
      </c>
      <c r="AI2795" s="87"/>
      <c r="AJ2795" s="87"/>
      <c r="AK2795" s="87"/>
      <c r="AL2795" s="87"/>
      <c r="AM2795" s="87"/>
      <c r="AN2795" s="87">
        <v>1</v>
      </c>
      <c r="AO2795" s="87">
        <v>2</v>
      </c>
      <c r="AP2795" s="87"/>
      <c r="AQ2795" s="87">
        <v>2</v>
      </c>
      <c r="AR2795" s="87">
        <v>6</v>
      </c>
      <c r="AS2795" s="87">
        <v>6</v>
      </c>
      <c r="AT2795" s="87">
        <v>6</v>
      </c>
      <c r="AU2795" s="87">
        <v>6</v>
      </c>
      <c r="AV2795" s="87"/>
      <c r="AW2795" s="88" t="str">
        <f>HYPERLINK("http://www.openstreetmap.org/?mlat=35.5336&amp;mlon=45.4177&amp;zoom=12#map=12/35.5336/45.4177","Maplink1")</f>
        <v>Maplink1</v>
      </c>
      <c r="AX2795" s="88" t="str">
        <f>HYPERLINK("https://www.google.iq/maps/search/+35.5336,45.4177/@35.5336,45.4177,14z?hl=en","Maplink2")</f>
        <v>Maplink2</v>
      </c>
      <c r="AY2795" s="88" t="str">
        <f>HYPERLINK("http://www.bing.com/maps/?lvl=14&amp;sty=h&amp;cp=35.5336~45.4177&amp;sp=point.35.5336_45.4177","Maplink3")</f>
        <v>Maplink3</v>
      </c>
      <c r="AZ2795" s="76"/>
    </row>
    <row r="2796" spans="1:52" x14ac:dyDescent="0.25">
      <c r="A2796" s="86">
        <v>32075</v>
      </c>
      <c r="B2796" s="87" t="s">
        <v>27</v>
      </c>
      <c r="C2796" s="87" t="s">
        <v>5030</v>
      </c>
      <c r="D2796" s="87" t="s">
        <v>5299</v>
      </c>
      <c r="E2796" s="87" t="s">
        <v>5300</v>
      </c>
      <c r="F2796" s="87">
        <v>35.5530288</v>
      </c>
      <c r="G2796" s="87">
        <v>45.3443513</v>
      </c>
      <c r="H2796" s="86">
        <v>119</v>
      </c>
      <c r="I2796" s="86">
        <v>714</v>
      </c>
      <c r="J2796" s="87">
        <v>17</v>
      </c>
      <c r="K2796" s="87">
        <v>1</v>
      </c>
      <c r="L2796" s="87">
        <v>24</v>
      </c>
      <c r="M2796" s="87"/>
      <c r="N2796" s="87"/>
      <c r="O2796" s="87">
        <v>7</v>
      </c>
      <c r="P2796" s="87"/>
      <c r="Q2796" s="87"/>
      <c r="R2796" s="87">
        <v>52</v>
      </c>
      <c r="S2796" s="87"/>
      <c r="T2796" s="87"/>
      <c r="U2796" s="87"/>
      <c r="V2796" s="87">
        <v>2</v>
      </c>
      <c r="W2796" s="87"/>
      <c r="X2796" s="87">
        <v>16</v>
      </c>
      <c r="Y2796" s="87"/>
      <c r="Z2796" s="87"/>
      <c r="AA2796" s="87"/>
      <c r="AB2796" s="87"/>
      <c r="AC2796" s="87"/>
      <c r="AD2796" s="87"/>
      <c r="AE2796" s="87"/>
      <c r="AF2796" s="87"/>
      <c r="AG2796" s="87"/>
      <c r="AH2796" s="87">
        <v>119</v>
      </c>
      <c r="AI2796" s="87"/>
      <c r="AJ2796" s="87"/>
      <c r="AK2796" s="87"/>
      <c r="AL2796" s="87"/>
      <c r="AM2796" s="87"/>
      <c r="AN2796" s="87">
        <v>8</v>
      </c>
      <c r="AO2796" s="87">
        <v>16</v>
      </c>
      <c r="AP2796" s="87">
        <v>12</v>
      </c>
      <c r="AQ2796" s="87">
        <v>8</v>
      </c>
      <c r="AR2796" s="87">
        <v>6</v>
      </c>
      <c r="AS2796" s="87">
        <v>5</v>
      </c>
      <c r="AT2796" s="87">
        <v>2</v>
      </c>
      <c r="AU2796" s="87">
        <v>62</v>
      </c>
      <c r="AV2796" s="87"/>
      <c r="AW2796" s="88" t="str">
        <f>HYPERLINK("http://www.openstreetmap.org/?mlat=35.553&amp;mlon=45.3444&amp;zoom=12#map=12/35.553/45.3444","Maplink1")</f>
        <v>Maplink1</v>
      </c>
      <c r="AX2796" s="88" t="str">
        <f>HYPERLINK("https://www.google.iq/maps/search/+35.553,45.3444/@35.553,45.3444,14z?hl=en","Maplink2")</f>
        <v>Maplink2</v>
      </c>
      <c r="AY2796" s="88" t="str">
        <f>HYPERLINK("http://www.bing.com/maps/?lvl=14&amp;sty=h&amp;cp=35.553~45.3444&amp;sp=point.35.553_45.3444","Maplink3")</f>
        <v>Maplink3</v>
      </c>
      <c r="AZ2796" s="76"/>
    </row>
    <row r="2797" spans="1:52" x14ac:dyDescent="0.25">
      <c r="A2797" s="86">
        <v>23720</v>
      </c>
      <c r="B2797" s="87" t="s">
        <v>27</v>
      </c>
      <c r="C2797" s="87" t="s">
        <v>5030</v>
      </c>
      <c r="D2797" s="87" t="s">
        <v>5301</v>
      </c>
      <c r="E2797" s="87" t="s">
        <v>5302</v>
      </c>
      <c r="F2797" s="87">
        <v>35.570174999999999</v>
      </c>
      <c r="G2797" s="87">
        <v>45.442580900000003</v>
      </c>
      <c r="H2797" s="86">
        <v>48</v>
      </c>
      <c r="I2797" s="86">
        <v>288</v>
      </c>
      <c r="J2797" s="87">
        <v>16</v>
      </c>
      <c r="K2797" s="87">
        <v>3</v>
      </c>
      <c r="L2797" s="87">
        <v>9</v>
      </c>
      <c r="M2797" s="87"/>
      <c r="N2797" s="87"/>
      <c r="O2797" s="87">
        <v>3</v>
      </c>
      <c r="P2797" s="87"/>
      <c r="Q2797" s="87"/>
      <c r="R2797" s="87"/>
      <c r="S2797" s="87"/>
      <c r="T2797" s="87"/>
      <c r="U2797" s="87"/>
      <c r="V2797" s="87">
        <v>4</v>
      </c>
      <c r="W2797" s="87"/>
      <c r="X2797" s="87">
        <v>13</v>
      </c>
      <c r="Y2797" s="87"/>
      <c r="Z2797" s="87"/>
      <c r="AA2797" s="87"/>
      <c r="AB2797" s="87"/>
      <c r="AC2797" s="87"/>
      <c r="AD2797" s="87"/>
      <c r="AE2797" s="87"/>
      <c r="AF2797" s="87"/>
      <c r="AG2797" s="87"/>
      <c r="AH2797" s="87">
        <v>48</v>
      </c>
      <c r="AI2797" s="87"/>
      <c r="AJ2797" s="87"/>
      <c r="AK2797" s="87"/>
      <c r="AL2797" s="87"/>
      <c r="AM2797" s="87"/>
      <c r="AN2797" s="87">
        <v>4</v>
      </c>
      <c r="AO2797" s="87">
        <v>6</v>
      </c>
      <c r="AP2797" s="87">
        <v>7</v>
      </c>
      <c r="AQ2797" s="87">
        <v>6</v>
      </c>
      <c r="AR2797" s="87">
        <v>9</v>
      </c>
      <c r="AS2797" s="87">
        <v>6</v>
      </c>
      <c r="AT2797" s="87">
        <v>4</v>
      </c>
      <c r="AU2797" s="87">
        <v>6</v>
      </c>
      <c r="AV2797" s="87"/>
      <c r="AW2797" s="88" t="str">
        <f>HYPERLINK("http://www.openstreetmap.org/?mlat=35.5702&amp;mlon=45.4426&amp;zoom=12#map=12/35.5702/45.4426","Maplink1")</f>
        <v>Maplink1</v>
      </c>
      <c r="AX2797" s="88" t="str">
        <f>HYPERLINK("https://www.google.iq/maps/search/+35.5702,45.4426/@35.5702,45.4426,14z?hl=en","Maplink2")</f>
        <v>Maplink2</v>
      </c>
      <c r="AY2797" s="88" t="str">
        <f>HYPERLINK("http://www.bing.com/maps/?lvl=14&amp;sty=h&amp;cp=35.5702~45.4426&amp;sp=point.35.5702_45.4426","Maplink3")</f>
        <v>Maplink3</v>
      </c>
      <c r="AZ2797" s="76"/>
    </row>
    <row r="2798" spans="1:52" x14ac:dyDescent="0.25">
      <c r="A2798" s="86">
        <v>4456</v>
      </c>
      <c r="B2798" s="87" t="s">
        <v>27</v>
      </c>
      <c r="C2798" s="87" t="s">
        <v>5030</v>
      </c>
      <c r="D2798" s="87" t="s">
        <v>5303</v>
      </c>
      <c r="E2798" s="87" t="s">
        <v>5304</v>
      </c>
      <c r="F2798" s="87">
        <v>35.631883700000003</v>
      </c>
      <c r="G2798" s="87">
        <v>45.420381200000001</v>
      </c>
      <c r="H2798" s="86">
        <v>3</v>
      </c>
      <c r="I2798" s="86">
        <v>18</v>
      </c>
      <c r="J2798" s="87">
        <v>2</v>
      </c>
      <c r="K2798" s="87"/>
      <c r="L2798" s="87"/>
      <c r="M2798" s="87"/>
      <c r="N2798" s="87"/>
      <c r="O2798" s="87">
        <v>1</v>
      </c>
      <c r="P2798" s="87"/>
      <c r="Q2798" s="87"/>
      <c r="R2798" s="87"/>
      <c r="S2798" s="87"/>
      <c r="T2798" s="87"/>
      <c r="U2798" s="87"/>
      <c r="V2798" s="87"/>
      <c r="W2798" s="87"/>
      <c r="X2798" s="87"/>
      <c r="Y2798" s="87"/>
      <c r="Z2798" s="87"/>
      <c r="AA2798" s="87"/>
      <c r="AB2798" s="87"/>
      <c r="AC2798" s="87"/>
      <c r="AD2798" s="87"/>
      <c r="AE2798" s="87"/>
      <c r="AF2798" s="87"/>
      <c r="AG2798" s="87"/>
      <c r="AH2798" s="87">
        <v>3</v>
      </c>
      <c r="AI2798" s="87"/>
      <c r="AJ2798" s="87"/>
      <c r="AK2798" s="87"/>
      <c r="AL2798" s="87"/>
      <c r="AM2798" s="87"/>
      <c r="AN2798" s="87"/>
      <c r="AO2798" s="87"/>
      <c r="AP2798" s="87"/>
      <c r="AQ2798" s="87">
        <v>2</v>
      </c>
      <c r="AR2798" s="87">
        <v>1</v>
      </c>
      <c r="AS2798" s="87"/>
      <c r="AT2798" s="87"/>
      <c r="AU2798" s="87"/>
      <c r="AV2798" s="87"/>
      <c r="AW2798" s="88" t="str">
        <f>HYPERLINK("http://www.openstreetmap.org/?mlat=35.6319&amp;mlon=45.4204&amp;zoom=12#map=12/35.6319/45.4204","Maplink1")</f>
        <v>Maplink1</v>
      </c>
      <c r="AX2798" s="88" t="str">
        <f>HYPERLINK("https://www.google.iq/maps/search/+35.6319,45.4204/@35.6319,45.4204,14z?hl=en","Maplink2")</f>
        <v>Maplink2</v>
      </c>
      <c r="AY2798" s="88" t="str">
        <f>HYPERLINK("http://www.bing.com/maps/?lvl=14&amp;sty=h&amp;cp=35.6319~45.4204&amp;sp=point.35.6319_45.4204","Maplink3")</f>
        <v>Maplink3</v>
      </c>
      <c r="AZ2798" s="76"/>
    </row>
    <row r="2799" spans="1:52" x14ac:dyDescent="0.25">
      <c r="A2799" s="86">
        <v>32069</v>
      </c>
      <c r="B2799" s="87" t="s">
        <v>27</v>
      </c>
      <c r="C2799" s="87" t="s">
        <v>5030</v>
      </c>
      <c r="D2799" s="87" t="s">
        <v>5305</v>
      </c>
      <c r="E2799" s="87" t="s">
        <v>5306</v>
      </c>
      <c r="F2799" s="87">
        <v>35.552436700000001</v>
      </c>
      <c r="G2799" s="87">
        <v>45.353621400000002</v>
      </c>
      <c r="H2799" s="86">
        <v>143</v>
      </c>
      <c r="I2799" s="86">
        <v>858</v>
      </c>
      <c r="J2799" s="87">
        <v>23</v>
      </c>
      <c r="K2799" s="87">
        <v>1</v>
      </c>
      <c r="L2799" s="87">
        <v>62</v>
      </c>
      <c r="M2799" s="87"/>
      <c r="N2799" s="87"/>
      <c r="O2799" s="87">
        <v>19</v>
      </c>
      <c r="P2799" s="87"/>
      <c r="Q2799" s="87"/>
      <c r="R2799" s="87">
        <v>18</v>
      </c>
      <c r="S2799" s="87"/>
      <c r="T2799" s="87"/>
      <c r="U2799" s="87"/>
      <c r="V2799" s="87">
        <v>8</v>
      </c>
      <c r="W2799" s="87"/>
      <c r="X2799" s="87">
        <v>12</v>
      </c>
      <c r="Y2799" s="87"/>
      <c r="Z2799" s="87"/>
      <c r="AA2799" s="87"/>
      <c r="AB2799" s="87"/>
      <c r="AC2799" s="87"/>
      <c r="AD2799" s="87"/>
      <c r="AE2799" s="87"/>
      <c r="AF2799" s="87"/>
      <c r="AG2799" s="87"/>
      <c r="AH2799" s="87">
        <v>143</v>
      </c>
      <c r="AI2799" s="87"/>
      <c r="AJ2799" s="87"/>
      <c r="AK2799" s="87"/>
      <c r="AL2799" s="87"/>
      <c r="AM2799" s="87"/>
      <c r="AN2799" s="87">
        <v>19</v>
      </c>
      <c r="AO2799" s="87">
        <v>27</v>
      </c>
      <c r="AP2799" s="87">
        <v>20</v>
      </c>
      <c r="AQ2799" s="87">
        <v>30</v>
      </c>
      <c r="AR2799" s="87">
        <v>3</v>
      </c>
      <c r="AS2799" s="87">
        <v>13</v>
      </c>
      <c r="AT2799" s="87">
        <v>6</v>
      </c>
      <c r="AU2799" s="87">
        <v>25</v>
      </c>
      <c r="AV2799" s="87"/>
      <c r="AW2799" s="88" t="str">
        <f>HYPERLINK("http://www.openstreetmap.org/?mlat=35.5524&amp;mlon=45.3536&amp;zoom=12#map=12/35.5524/45.3536","Maplink1")</f>
        <v>Maplink1</v>
      </c>
      <c r="AX2799" s="88" t="str">
        <f>HYPERLINK("https://www.google.iq/maps/search/+35.5524,45.3536/@35.5524,45.3536,14z?hl=en","Maplink2")</f>
        <v>Maplink2</v>
      </c>
      <c r="AY2799" s="88" t="str">
        <f>HYPERLINK("http://www.bing.com/maps/?lvl=14&amp;sty=h&amp;cp=35.5524~45.3536&amp;sp=point.35.5524_45.3536","Maplink3")</f>
        <v>Maplink3</v>
      </c>
      <c r="AZ2799" s="76"/>
    </row>
    <row r="2800" spans="1:52" x14ac:dyDescent="0.25">
      <c r="A2800" s="86">
        <v>24257</v>
      </c>
      <c r="B2800" s="87" t="s">
        <v>27</v>
      </c>
      <c r="C2800" s="87" t="s">
        <v>5030</v>
      </c>
      <c r="D2800" s="87" t="s">
        <v>5307</v>
      </c>
      <c r="E2800" s="87" t="s">
        <v>5308</v>
      </c>
      <c r="F2800" s="87">
        <v>35.557938700000001</v>
      </c>
      <c r="G2800" s="87">
        <v>45.447536599999999</v>
      </c>
      <c r="H2800" s="86">
        <v>26</v>
      </c>
      <c r="I2800" s="86">
        <v>156</v>
      </c>
      <c r="J2800" s="87">
        <v>11</v>
      </c>
      <c r="K2800" s="87">
        <v>3</v>
      </c>
      <c r="L2800" s="87">
        <v>5</v>
      </c>
      <c r="M2800" s="87"/>
      <c r="N2800" s="87"/>
      <c r="O2800" s="87">
        <v>1</v>
      </c>
      <c r="P2800" s="87"/>
      <c r="Q2800" s="87"/>
      <c r="R2800" s="87"/>
      <c r="S2800" s="87"/>
      <c r="T2800" s="87"/>
      <c r="U2800" s="87"/>
      <c r="V2800" s="87">
        <v>5</v>
      </c>
      <c r="W2800" s="87"/>
      <c r="X2800" s="87">
        <v>1</v>
      </c>
      <c r="Y2800" s="87"/>
      <c r="Z2800" s="87"/>
      <c r="AA2800" s="87"/>
      <c r="AB2800" s="87"/>
      <c r="AC2800" s="87"/>
      <c r="AD2800" s="87"/>
      <c r="AE2800" s="87"/>
      <c r="AF2800" s="87"/>
      <c r="AG2800" s="87"/>
      <c r="AH2800" s="87">
        <v>26</v>
      </c>
      <c r="AI2800" s="87"/>
      <c r="AJ2800" s="87"/>
      <c r="AK2800" s="87"/>
      <c r="AL2800" s="87"/>
      <c r="AM2800" s="87"/>
      <c r="AN2800" s="87">
        <v>2</v>
      </c>
      <c r="AO2800" s="87"/>
      <c r="AP2800" s="87">
        <v>1</v>
      </c>
      <c r="AQ2800" s="87">
        <v>5</v>
      </c>
      <c r="AR2800" s="87">
        <v>9</v>
      </c>
      <c r="AS2800" s="87">
        <v>1</v>
      </c>
      <c r="AT2800" s="87">
        <v>7</v>
      </c>
      <c r="AU2800" s="87">
        <v>1</v>
      </c>
      <c r="AV2800" s="87"/>
      <c r="AW2800" s="88" t="str">
        <f>HYPERLINK("http://www.openstreetmap.org/?mlat=35.5579&amp;mlon=45.4475&amp;zoom=12#map=12/35.5579/45.4475","Maplink1")</f>
        <v>Maplink1</v>
      </c>
      <c r="AX2800" s="88" t="str">
        <f>HYPERLINK("https://www.google.iq/maps/search/+35.5579,45.4475/@35.5579,45.4475,14z?hl=en","Maplink2")</f>
        <v>Maplink2</v>
      </c>
      <c r="AY2800" s="88" t="str">
        <f>HYPERLINK("http://www.bing.com/maps/?lvl=14&amp;sty=h&amp;cp=35.5579~45.4475&amp;sp=point.35.5579_45.4475","Maplink3")</f>
        <v>Maplink3</v>
      </c>
      <c r="AZ2800" s="76"/>
    </row>
    <row r="2801" spans="1:52" x14ac:dyDescent="0.25">
      <c r="A2801" s="86">
        <v>31979</v>
      </c>
      <c r="B2801" s="87" t="s">
        <v>27</v>
      </c>
      <c r="C2801" s="87" t="s">
        <v>5030</v>
      </c>
      <c r="D2801" s="87" t="s">
        <v>5309</v>
      </c>
      <c r="E2801" s="87" t="s">
        <v>5310</v>
      </c>
      <c r="F2801" s="87">
        <v>35.548511699999999</v>
      </c>
      <c r="G2801" s="87">
        <v>45.457120699999997</v>
      </c>
      <c r="H2801" s="86">
        <v>57</v>
      </c>
      <c r="I2801" s="86">
        <v>342</v>
      </c>
      <c r="J2801" s="87">
        <v>21</v>
      </c>
      <c r="K2801" s="87">
        <v>3</v>
      </c>
      <c r="L2801" s="87">
        <v>15</v>
      </c>
      <c r="M2801" s="87"/>
      <c r="N2801" s="87"/>
      <c r="O2801" s="87">
        <v>5</v>
      </c>
      <c r="P2801" s="87"/>
      <c r="Q2801" s="87"/>
      <c r="R2801" s="87">
        <v>3</v>
      </c>
      <c r="S2801" s="87"/>
      <c r="T2801" s="87"/>
      <c r="U2801" s="87"/>
      <c r="V2801" s="87">
        <v>5</v>
      </c>
      <c r="W2801" s="87"/>
      <c r="X2801" s="87">
        <v>5</v>
      </c>
      <c r="Y2801" s="87"/>
      <c r="Z2801" s="87"/>
      <c r="AA2801" s="87"/>
      <c r="AB2801" s="87"/>
      <c r="AC2801" s="87"/>
      <c r="AD2801" s="87"/>
      <c r="AE2801" s="87"/>
      <c r="AF2801" s="87"/>
      <c r="AG2801" s="87"/>
      <c r="AH2801" s="87">
        <v>57</v>
      </c>
      <c r="AI2801" s="87"/>
      <c r="AJ2801" s="87"/>
      <c r="AK2801" s="87"/>
      <c r="AL2801" s="87"/>
      <c r="AM2801" s="87"/>
      <c r="AN2801" s="87">
        <v>3</v>
      </c>
      <c r="AO2801" s="87">
        <v>6</v>
      </c>
      <c r="AP2801" s="87">
        <v>4</v>
      </c>
      <c r="AQ2801" s="87">
        <v>9</v>
      </c>
      <c r="AR2801" s="87">
        <v>14</v>
      </c>
      <c r="AS2801" s="87">
        <v>7</v>
      </c>
      <c r="AT2801" s="87">
        <v>8</v>
      </c>
      <c r="AU2801" s="87">
        <v>6</v>
      </c>
      <c r="AV2801" s="87"/>
      <c r="AW2801" s="88" t="str">
        <f>HYPERLINK("http://www.openstreetmap.org/?mlat=35.5485&amp;mlon=45.4571&amp;zoom=12#map=12/35.5485/45.4571","Maplink1")</f>
        <v>Maplink1</v>
      </c>
      <c r="AX2801" s="88" t="str">
        <f>HYPERLINK("https://www.google.iq/maps/search/+35.5485,45.4571/@35.5485,45.4571,14z?hl=en","Maplink2")</f>
        <v>Maplink2</v>
      </c>
      <c r="AY2801" s="88" t="str">
        <f>HYPERLINK("http://www.bing.com/maps/?lvl=14&amp;sty=h&amp;cp=35.5485~45.4571&amp;sp=point.35.5485_45.4571","Maplink3")</f>
        <v>Maplink3</v>
      </c>
      <c r="AZ2801" s="76"/>
    </row>
    <row r="2802" spans="1:52" x14ac:dyDescent="0.25">
      <c r="A2802" s="86">
        <v>21050</v>
      </c>
      <c r="B2802" s="87" t="s">
        <v>27</v>
      </c>
      <c r="C2802" s="87" t="s">
        <v>5030</v>
      </c>
      <c r="D2802" s="87" t="s">
        <v>5311</v>
      </c>
      <c r="E2802" s="87" t="s">
        <v>2588</v>
      </c>
      <c r="F2802" s="87">
        <v>35.570683799999998</v>
      </c>
      <c r="G2802" s="87">
        <v>45.438483400000003</v>
      </c>
      <c r="H2802" s="86">
        <v>38</v>
      </c>
      <c r="I2802" s="86">
        <v>228</v>
      </c>
      <c r="J2802" s="87">
        <v>13</v>
      </c>
      <c r="K2802" s="87">
        <v>1</v>
      </c>
      <c r="L2802" s="87">
        <v>9</v>
      </c>
      <c r="M2802" s="87"/>
      <c r="N2802" s="87"/>
      <c r="O2802" s="87">
        <v>2</v>
      </c>
      <c r="P2802" s="87"/>
      <c r="Q2802" s="87"/>
      <c r="R2802" s="87"/>
      <c r="S2802" s="87"/>
      <c r="T2802" s="87"/>
      <c r="U2802" s="87"/>
      <c r="V2802" s="87">
        <v>1</v>
      </c>
      <c r="W2802" s="87"/>
      <c r="X2802" s="87">
        <v>12</v>
      </c>
      <c r="Y2802" s="87"/>
      <c r="Z2802" s="87"/>
      <c r="AA2802" s="87"/>
      <c r="AB2802" s="87"/>
      <c r="AC2802" s="87"/>
      <c r="AD2802" s="87"/>
      <c r="AE2802" s="87"/>
      <c r="AF2802" s="87"/>
      <c r="AG2802" s="87"/>
      <c r="AH2802" s="87">
        <v>38</v>
      </c>
      <c r="AI2802" s="87"/>
      <c r="AJ2802" s="87"/>
      <c r="AK2802" s="87"/>
      <c r="AL2802" s="87"/>
      <c r="AM2802" s="87"/>
      <c r="AN2802" s="87">
        <v>1</v>
      </c>
      <c r="AO2802" s="87">
        <v>4</v>
      </c>
      <c r="AP2802" s="87">
        <v>2</v>
      </c>
      <c r="AQ2802" s="87">
        <v>7</v>
      </c>
      <c r="AR2802" s="87">
        <v>7</v>
      </c>
      <c r="AS2802" s="87">
        <v>6</v>
      </c>
      <c r="AT2802" s="87">
        <v>7</v>
      </c>
      <c r="AU2802" s="87">
        <v>4</v>
      </c>
      <c r="AV2802" s="87"/>
      <c r="AW2802" s="88" t="str">
        <f>HYPERLINK("http://www.openstreetmap.org/?mlat=35.5707&amp;mlon=45.4385&amp;zoom=12#map=12/35.5707/45.4385","Maplink1")</f>
        <v>Maplink1</v>
      </c>
      <c r="AX2802" s="88" t="str">
        <f>HYPERLINK("https://www.google.iq/maps/search/+35.5707,45.4385/@35.5707,45.4385,14z?hl=en","Maplink2")</f>
        <v>Maplink2</v>
      </c>
      <c r="AY2802" s="88" t="str">
        <f>HYPERLINK("http://www.bing.com/maps/?lvl=14&amp;sty=h&amp;cp=35.5707~45.4385&amp;sp=point.35.5707_45.4385","Maplink3")</f>
        <v>Maplink3</v>
      </c>
      <c r="AZ2802" s="76"/>
    </row>
    <row r="2803" spans="1:52" x14ac:dyDescent="0.25">
      <c r="A2803" s="86">
        <v>31952</v>
      </c>
      <c r="B2803" s="87" t="s">
        <v>27</v>
      </c>
      <c r="C2803" s="87" t="s">
        <v>5030</v>
      </c>
      <c r="D2803" s="87" t="s">
        <v>5312</v>
      </c>
      <c r="E2803" s="87" t="s">
        <v>5313</v>
      </c>
      <c r="F2803" s="87">
        <v>35.535936100000001</v>
      </c>
      <c r="G2803" s="87">
        <v>45.474117499999998</v>
      </c>
      <c r="H2803" s="86">
        <v>14</v>
      </c>
      <c r="I2803" s="86">
        <v>84</v>
      </c>
      <c r="J2803" s="87"/>
      <c r="K2803" s="87"/>
      <c r="L2803" s="87">
        <v>2</v>
      </c>
      <c r="M2803" s="87"/>
      <c r="N2803" s="87"/>
      <c r="O2803" s="87"/>
      <c r="P2803" s="87"/>
      <c r="Q2803" s="87"/>
      <c r="R2803" s="87">
        <v>4</v>
      </c>
      <c r="S2803" s="87"/>
      <c r="T2803" s="87"/>
      <c r="U2803" s="87"/>
      <c r="V2803" s="87">
        <v>1</v>
      </c>
      <c r="W2803" s="87"/>
      <c r="X2803" s="87">
        <v>7</v>
      </c>
      <c r="Y2803" s="87"/>
      <c r="Z2803" s="87"/>
      <c r="AA2803" s="87"/>
      <c r="AB2803" s="87"/>
      <c r="AC2803" s="87"/>
      <c r="AD2803" s="87"/>
      <c r="AE2803" s="87"/>
      <c r="AF2803" s="87"/>
      <c r="AG2803" s="87"/>
      <c r="AH2803" s="87">
        <v>14</v>
      </c>
      <c r="AI2803" s="87"/>
      <c r="AJ2803" s="87"/>
      <c r="AK2803" s="87"/>
      <c r="AL2803" s="87"/>
      <c r="AM2803" s="87"/>
      <c r="AN2803" s="87"/>
      <c r="AO2803" s="87"/>
      <c r="AP2803" s="87"/>
      <c r="AQ2803" s="87"/>
      <c r="AR2803" s="87"/>
      <c r="AS2803" s="87">
        <v>3</v>
      </c>
      <c r="AT2803" s="87"/>
      <c r="AU2803" s="87">
        <v>11</v>
      </c>
      <c r="AV2803" s="87"/>
      <c r="AW2803" s="88" t="str">
        <f>HYPERLINK("http://www.openstreetmap.org/?mlat=35.5359&amp;mlon=45.4741&amp;zoom=12#map=12/35.5359/45.4741","Maplink1")</f>
        <v>Maplink1</v>
      </c>
      <c r="AX2803" s="88" t="str">
        <f>HYPERLINK("https://www.google.iq/maps/search/+35.5359,45.4741/@35.5359,45.4741,14z?hl=en","Maplink2")</f>
        <v>Maplink2</v>
      </c>
      <c r="AY2803" s="88" t="str">
        <f>HYPERLINK("http://www.bing.com/maps/?lvl=14&amp;sty=h&amp;cp=35.5359~45.4741&amp;sp=point.35.5359_45.4741","Maplink3")</f>
        <v>Maplink3</v>
      </c>
      <c r="AZ2803" s="76"/>
    </row>
    <row r="2804" spans="1:52" x14ac:dyDescent="0.25">
      <c r="A2804" s="86">
        <v>24901</v>
      </c>
      <c r="B2804" s="87" t="s">
        <v>27</v>
      </c>
      <c r="C2804" s="87" t="s">
        <v>5030</v>
      </c>
      <c r="D2804" s="87" t="s">
        <v>5314</v>
      </c>
      <c r="E2804" s="87" t="s">
        <v>5315</v>
      </c>
      <c r="F2804" s="87">
        <v>35.586342100000003</v>
      </c>
      <c r="G2804" s="87">
        <v>45.385369799999999</v>
      </c>
      <c r="H2804" s="86">
        <v>263</v>
      </c>
      <c r="I2804" s="86">
        <v>1578</v>
      </c>
      <c r="J2804" s="87">
        <v>86</v>
      </c>
      <c r="K2804" s="87">
        <v>7</v>
      </c>
      <c r="L2804" s="87">
        <v>59</v>
      </c>
      <c r="M2804" s="87"/>
      <c r="N2804" s="87"/>
      <c r="O2804" s="87">
        <v>34</v>
      </c>
      <c r="P2804" s="87"/>
      <c r="Q2804" s="87"/>
      <c r="R2804" s="87">
        <v>5</v>
      </c>
      <c r="S2804" s="87"/>
      <c r="T2804" s="87"/>
      <c r="U2804" s="87"/>
      <c r="V2804" s="87">
        <v>17</v>
      </c>
      <c r="W2804" s="87"/>
      <c r="X2804" s="87">
        <v>55</v>
      </c>
      <c r="Y2804" s="87"/>
      <c r="Z2804" s="87"/>
      <c r="AA2804" s="87"/>
      <c r="AB2804" s="87"/>
      <c r="AC2804" s="87"/>
      <c r="AD2804" s="87"/>
      <c r="AE2804" s="87"/>
      <c r="AF2804" s="87"/>
      <c r="AG2804" s="87"/>
      <c r="AH2804" s="87">
        <v>263</v>
      </c>
      <c r="AI2804" s="87"/>
      <c r="AJ2804" s="87"/>
      <c r="AK2804" s="87"/>
      <c r="AL2804" s="87"/>
      <c r="AM2804" s="87"/>
      <c r="AN2804" s="87">
        <v>17</v>
      </c>
      <c r="AO2804" s="87">
        <v>44</v>
      </c>
      <c r="AP2804" s="87">
        <v>22</v>
      </c>
      <c r="AQ2804" s="87">
        <v>47</v>
      </c>
      <c r="AR2804" s="87">
        <v>39</v>
      </c>
      <c r="AS2804" s="87">
        <v>28</v>
      </c>
      <c r="AT2804" s="87">
        <v>27</v>
      </c>
      <c r="AU2804" s="87">
        <v>30</v>
      </c>
      <c r="AV2804" s="87">
        <v>9</v>
      </c>
      <c r="AW2804" s="88" t="str">
        <f>HYPERLINK("http://www.openstreetmap.org/?mlat=35.5863&amp;mlon=45.3854&amp;zoom=12#map=12/35.5863/45.3854","Maplink1")</f>
        <v>Maplink1</v>
      </c>
      <c r="AX2804" s="88" t="str">
        <f>HYPERLINK("https://www.google.iq/maps/search/+35.5863,45.3854/@35.5863,45.3854,14z?hl=en","Maplink2")</f>
        <v>Maplink2</v>
      </c>
      <c r="AY2804" s="88" t="str">
        <f>HYPERLINK("http://www.bing.com/maps/?lvl=14&amp;sty=h&amp;cp=35.5863~45.3854&amp;sp=point.35.5863_45.3854","Maplink3")</f>
        <v>Maplink3</v>
      </c>
      <c r="AZ2804" s="76"/>
    </row>
    <row r="2805" spans="1:52" x14ac:dyDescent="0.25">
      <c r="A2805" s="86">
        <v>25575</v>
      </c>
      <c r="B2805" s="87" t="s">
        <v>27</v>
      </c>
      <c r="C2805" s="87" t="s">
        <v>5030</v>
      </c>
      <c r="D2805" s="87" t="s">
        <v>5316</v>
      </c>
      <c r="E2805" s="87" t="s">
        <v>5317</v>
      </c>
      <c r="F2805" s="87">
        <v>35.612462800000003</v>
      </c>
      <c r="G2805" s="87">
        <v>45.299130300000002</v>
      </c>
      <c r="H2805" s="86">
        <v>10</v>
      </c>
      <c r="I2805" s="86">
        <v>60</v>
      </c>
      <c r="J2805" s="87"/>
      <c r="K2805" s="87"/>
      <c r="L2805" s="87"/>
      <c r="M2805" s="87"/>
      <c r="N2805" s="87"/>
      <c r="O2805" s="87"/>
      <c r="P2805" s="87"/>
      <c r="Q2805" s="87"/>
      <c r="R2805" s="87">
        <v>4</v>
      </c>
      <c r="S2805" s="87"/>
      <c r="T2805" s="87"/>
      <c r="U2805" s="87"/>
      <c r="V2805" s="87">
        <v>6</v>
      </c>
      <c r="W2805" s="87"/>
      <c r="X2805" s="87"/>
      <c r="Y2805" s="87"/>
      <c r="Z2805" s="87"/>
      <c r="AA2805" s="87"/>
      <c r="AB2805" s="87"/>
      <c r="AC2805" s="87"/>
      <c r="AD2805" s="87"/>
      <c r="AE2805" s="87"/>
      <c r="AF2805" s="87"/>
      <c r="AG2805" s="87"/>
      <c r="AH2805" s="87">
        <v>9</v>
      </c>
      <c r="AI2805" s="87"/>
      <c r="AJ2805" s="87"/>
      <c r="AK2805" s="87">
        <v>1</v>
      </c>
      <c r="AL2805" s="87"/>
      <c r="AM2805" s="87"/>
      <c r="AN2805" s="87"/>
      <c r="AO2805" s="87">
        <v>3</v>
      </c>
      <c r="AP2805" s="87">
        <v>3</v>
      </c>
      <c r="AQ2805" s="87"/>
      <c r="AR2805" s="87"/>
      <c r="AS2805" s="87"/>
      <c r="AT2805" s="87"/>
      <c r="AU2805" s="87">
        <v>4</v>
      </c>
      <c r="AV2805" s="87"/>
      <c r="AW2805" s="88" t="str">
        <f>HYPERLINK("http://www.openstreetmap.org/?mlat=35.6125&amp;mlon=45.2991&amp;zoom=12#map=12/35.6125/45.2991","Maplink1")</f>
        <v>Maplink1</v>
      </c>
      <c r="AX2805" s="88" t="str">
        <f>HYPERLINK("https://www.google.iq/maps/search/+35.6125,45.2991/@35.6125,45.2991,14z?hl=en","Maplink2")</f>
        <v>Maplink2</v>
      </c>
      <c r="AY2805" s="88" t="str">
        <f>HYPERLINK("http://www.bing.com/maps/?lvl=14&amp;sty=h&amp;cp=35.6125~45.2991&amp;sp=point.35.6125_45.2991","Maplink3")</f>
        <v>Maplink3</v>
      </c>
      <c r="AZ2805" s="76"/>
    </row>
    <row r="2806" spans="1:52" x14ac:dyDescent="0.25">
      <c r="A2806" s="86">
        <v>33357</v>
      </c>
      <c r="B2806" s="87" t="s">
        <v>27</v>
      </c>
      <c r="C2806" s="87" t="s">
        <v>5030</v>
      </c>
      <c r="D2806" s="87" t="s">
        <v>5318</v>
      </c>
      <c r="E2806" s="87" t="s">
        <v>5319</v>
      </c>
      <c r="F2806" s="87">
        <v>35.557111200000001</v>
      </c>
      <c r="G2806" s="87">
        <v>45.416483999999997</v>
      </c>
      <c r="H2806" s="86">
        <v>47</v>
      </c>
      <c r="I2806" s="86">
        <v>282</v>
      </c>
      <c r="J2806" s="87">
        <v>2</v>
      </c>
      <c r="K2806" s="87">
        <v>8</v>
      </c>
      <c r="L2806" s="87">
        <v>12</v>
      </c>
      <c r="M2806" s="87"/>
      <c r="N2806" s="87"/>
      <c r="O2806" s="87">
        <v>7</v>
      </c>
      <c r="P2806" s="87"/>
      <c r="Q2806" s="87"/>
      <c r="R2806" s="87">
        <v>6</v>
      </c>
      <c r="S2806" s="87"/>
      <c r="T2806" s="87"/>
      <c r="U2806" s="87"/>
      <c r="V2806" s="87">
        <v>4</v>
      </c>
      <c r="W2806" s="87"/>
      <c r="X2806" s="87">
        <v>8</v>
      </c>
      <c r="Y2806" s="87"/>
      <c r="Z2806" s="87"/>
      <c r="AA2806" s="87"/>
      <c r="AB2806" s="87"/>
      <c r="AC2806" s="87"/>
      <c r="AD2806" s="87"/>
      <c r="AE2806" s="87"/>
      <c r="AF2806" s="87"/>
      <c r="AG2806" s="87"/>
      <c r="AH2806" s="87">
        <v>47</v>
      </c>
      <c r="AI2806" s="87"/>
      <c r="AJ2806" s="87"/>
      <c r="AK2806" s="87"/>
      <c r="AL2806" s="87"/>
      <c r="AM2806" s="87"/>
      <c r="AN2806" s="87">
        <v>2</v>
      </c>
      <c r="AO2806" s="87"/>
      <c r="AP2806" s="87"/>
      <c r="AQ2806" s="87">
        <v>7</v>
      </c>
      <c r="AR2806" s="87">
        <v>9</v>
      </c>
      <c r="AS2806" s="87">
        <v>4</v>
      </c>
      <c r="AT2806" s="87">
        <v>11</v>
      </c>
      <c r="AU2806" s="87">
        <v>14</v>
      </c>
      <c r="AV2806" s="87"/>
      <c r="AW2806" s="88" t="str">
        <f>HYPERLINK("http://www.openstreetmap.org/?mlat=35.5571&amp;mlon=45.4165&amp;zoom=12#map=12/35.5571/45.4165","Maplink1")</f>
        <v>Maplink1</v>
      </c>
      <c r="AX2806" s="88" t="str">
        <f>HYPERLINK("https://www.google.iq/maps/search/+35.5571,45.4165/@35.5571,45.4165,14z?hl=en","Maplink2")</f>
        <v>Maplink2</v>
      </c>
      <c r="AY2806" s="88" t="str">
        <f>HYPERLINK("http://www.bing.com/maps/?lvl=14&amp;sty=h&amp;cp=35.5571~45.4165&amp;sp=point.35.5571_45.4165","Maplink3")</f>
        <v>Maplink3</v>
      </c>
      <c r="AZ2806" s="76"/>
    </row>
    <row r="2807" spans="1:52" x14ac:dyDescent="0.25">
      <c r="A2807" s="86">
        <v>32007</v>
      </c>
      <c r="B2807" s="87" t="s">
        <v>27</v>
      </c>
      <c r="C2807" s="87" t="s">
        <v>5030</v>
      </c>
      <c r="D2807" s="87" t="s">
        <v>5320</v>
      </c>
      <c r="E2807" s="87" t="s">
        <v>5321</v>
      </c>
      <c r="F2807" s="87">
        <v>35.590187299999997</v>
      </c>
      <c r="G2807" s="87">
        <v>45.393657699999999</v>
      </c>
      <c r="H2807" s="86">
        <v>64</v>
      </c>
      <c r="I2807" s="86">
        <v>384</v>
      </c>
      <c r="J2807" s="87">
        <v>27</v>
      </c>
      <c r="K2807" s="87">
        <v>2</v>
      </c>
      <c r="L2807" s="87">
        <v>10</v>
      </c>
      <c r="M2807" s="87"/>
      <c r="N2807" s="87"/>
      <c r="O2807" s="87">
        <v>2</v>
      </c>
      <c r="P2807" s="87"/>
      <c r="Q2807" s="87"/>
      <c r="R2807" s="87">
        <v>5</v>
      </c>
      <c r="S2807" s="87"/>
      <c r="T2807" s="87"/>
      <c r="U2807" s="87"/>
      <c r="V2807" s="87">
        <v>10</v>
      </c>
      <c r="W2807" s="87"/>
      <c r="X2807" s="87">
        <v>8</v>
      </c>
      <c r="Y2807" s="87"/>
      <c r="Z2807" s="87"/>
      <c r="AA2807" s="87"/>
      <c r="AB2807" s="87"/>
      <c r="AC2807" s="87"/>
      <c r="AD2807" s="87"/>
      <c r="AE2807" s="87"/>
      <c r="AF2807" s="87"/>
      <c r="AG2807" s="87"/>
      <c r="AH2807" s="87">
        <v>64</v>
      </c>
      <c r="AI2807" s="87"/>
      <c r="AJ2807" s="87"/>
      <c r="AK2807" s="87"/>
      <c r="AL2807" s="87"/>
      <c r="AM2807" s="87"/>
      <c r="AN2807" s="87">
        <v>13</v>
      </c>
      <c r="AO2807" s="87">
        <v>8</v>
      </c>
      <c r="AP2807" s="87">
        <v>6</v>
      </c>
      <c r="AQ2807" s="87">
        <v>9</v>
      </c>
      <c r="AR2807" s="87">
        <v>7</v>
      </c>
      <c r="AS2807" s="87">
        <v>11</v>
      </c>
      <c r="AT2807" s="87"/>
      <c r="AU2807" s="87">
        <v>10</v>
      </c>
      <c r="AV2807" s="87"/>
      <c r="AW2807" s="88" t="str">
        <f>HYPERLINK("http://www.openstreetmap.org/?mlat=35.5902&amp;mlon=45.3937&amp;zoom=12#map=12/35.5902/45.3937","Maplink1")</f>
        <v>Maplink1</v>
      </c>
      <c r="AX2807" s="88" t="str">
        <f>HYPERLINK("https://www.google.iq/maps/search/+35.5902,45.3937/@35.5902,45.3937,14z?hl=en","Maplink2")</f>
        <v>Maplink2</v>
      </c>
      <c r="AY2807" s="88" t="str">
        <f>HYPERLINK("http://www.bing.com/maps/?lvl=14&amp;sty=h&amp;cp=35.5902~45.3937&amp;sp=point.35.5902_45.3937","Maplink3")</f>
        <v>Maplink3</v>
      </c>
      <c r="AZ2807" s="76"/>
    </row>
    <row r="2808" spans="1:52" x14ac:dyDescent="0.25">
      <c r="A2808" s="86">
        <v>32068</v>
      </c>
      <c r="B2808" s="87" t="s">
        <v>27</v>
      </c>
      <c r="C2808" s="87" t="s">
        <v>5030</v>
      </c>
      <c r="D2808" s="87" t="s">
        <v>5322</v>
      </c>
      <c r="E2808" s="87" t="s">
        <v>5323</v>
      </c>
      <c r="F2808" s="87">
        <v>35.554132600000003</v>
      </c>
      <c r="G2808" s="87">
        <v>45.351872700000001</v>
      </c>
      <c r="H2808" s="86">
        <v>77</v>
      </c>
      <c r="I2808" s="86">
        <v>462</v>
      </c>
      <c r="J2808" s="87">
        <v>15</v>
      </c>
      <c r="K2808" s="87">
        <v>2</v>
      </c>
      <c r="L2808" s="87">
        <v>44</v>
      </c>
      <c r="M2808" s="87"/>
      <c r="N2808" s="87"/>
      <c r="O2808" s="87">
        <v>8</v>
      </c>
      <c r="P2808" s="87"/>
      <c r="Q2808" s="87"/>
      <c r="R2808" s="87">
        <v>6</v>
      </c>
      <c r="S2808" s="87"/>
      <c r="T2808" s="87"/>
      <c r="U2808" s="87"/>
      <c r="V2808" s="87"/>
      <c r="W2808" s="87"/>
      <c r="X2808" s="87">
        <v>2</v>
      </c>
      <c r="Y2808" s="87"/>
      <c r="Z2808" s="87"/>
      <c r="AA2808" s="87"/>
      <c r="AB2808" s="87"/>
      <c r="AC2808" s="87"/>
      <c r="AD2808" s="87"/>
      <c r="AE2808" s="87"/>
      <c r="AF2808" s="87"/>
      <c r="AG2808" s="87"/>
      <c r="AH2808" s="87">
        <v>77</v>
      </c>
      <c r="AI2808" s="87"/>
      <c r="AJ2808" s="87"/>
      <c r="AK2808" s="87"/>
      <c r="AL2808" s="87"/>
      <c r="AM2808" s="87"/>
      <c r="AN2808" s="87">
        <v>11</v>
      </c>
      <c r="AO2808" s="87">
        <v>15</v>
      </c>
      <c r="AP2808" s="87">
        <v>13</v>
      </c>
      <c r="AQ2808" s="87">
        <v>11</v>
      </c>
      <c r="AR2808" s="87">
        <v>9</v>
      </c>
      <c r="AS2808" s="87">
        <v>8</v>
      </c>
      <c r="AT2808" s="87">
        <v>2</v>
      </c>
      <c r="AU2808" s="87">
        <v>8</v>
      </c>
      <c r="AV2808" s="87"/>
      <c r="AW2808" s="88" t="str">
        <f>HYPERLINK("http://www.openstreetmap.org/?mlat=35.5541&amp;mlon=45.3519&amp;zoom=12#map=12/35.5541/45.3519","Maplink1")</f>
        <v>Maplink1</v>
      </c>
      <c r="AX2808" s="88" t="str">
        <f>HYPERLINK("https://www.google.iq/maps/search/+35.5541,45.3519/@35.5541,45.3519,14z?hl=en","Maplink2")</f>
        <v>Maplink2</v>
      </c>
      <c r="AY2808" s="88" t="str">
        <f>HYPERLINK("http://www.bing.com/maps/?lvl=14&amp;sty=h&amp;cp=35.5541~45.3519&amp;sp=point.35.5541_45.3519","Maplink3")</f>
        <v>Maplink3</v>
      </c>
      <c r="AZ2808" s="76"/>
    </row>
    <row r="2809" spans="1:52" x14ac:dyDescent="0.25">
      <c r="A2809" s="86">
        <v>4921</v>
      </c>
      <c r="B2809" s="87" t="s">
        <v>27</v>
      </c>
      <c r="C2809" s="87" t="s">
        <v>5030</v>
      </c>
      <c r="D2809" s="87" t="s">
        <v>5324</v>
      </c>
      <c r="E2809" s="87" t="s">
        <v>5325</v>
      </c>
      <c r="F2809" s="87">
        <v>35.4597993</v>
      </c>
      <c r="G2809" s="87">
        <v>45.437070200000001</v>
      </c>
      <c r="H2809" s="86">
        <v>27</v>
      </c>
      <c r="I2809" s="86">
        <v>162</v>
      </c>
      <c r="J2809" s="87"/>
      <c r="K2809" s="87"/>
      <c r="L2809" s="87">
        <v>8</v>
      </c>
      <c r="M2809" s="87"/>
      <c r="N2809" s="87"/>
      <c r="O2809" s="87">
        <v>3</v>
      </c>
      <c r="P2809" s="87"/>
      <c r="Q2809" s="87"/>
      <c r="R2809" s="87"/>
      <c r="S2809" s="87"/>
      <c r="T2809" s="87"/>
      <c r="U2809" s="87"/>
      <c r="V2809" s="87"/>
      <c r="W2809" s="87"/>
      <c r="X2809" s="87">
        <v>16</v>
      </c>
      <c r="Y2809" s="87"/>
      <c r="Z2809" s="87"/>
      <c r="AA2809" s="87"/>
      <c r="AB2809" s="87"/>
      <c r="AC2809" s="87"/>
      <c r="AD2809" s="87"/>
      <c r="AE2809" s="87"/>
      <c r="AF2809" s="87"/>
      <c r="AG2809" s="87"/>
      <c r="AH2809" s="87">
        <v>27</v>
      </c>
      <c r="AI2809" s="87"/>
      <c r="AJ2809" s="87"/>
      <c r="AK2809" s="87"/>
      <c r="AL2809" s="87"/>
      <c r="AM2809" s="87"/>
      <c r="AN2809" s="87">
        <v>7</v>
      </c>
      <c r="AO2809" s="87">
        <v>9</v>
      </c>
      <c r="AP2809" s="87"/>
      <c r="AQ2809" s="87">
        <v>8</v>
      </c>
      <c r="AR2809" s="87"/>
      <c r="AS2809" s="87">
        <v>1</v>
      </c>
      <c r="AT2809" s="87"/>
      <c r="AU2809" s="87">
        <v>2</v>
      </c>
      <c r="AV2809" s="87"/>
      <c r="AW2809" s="88" t="str">
        <f>HYPERLINK("http://www.openstreetmap.org/?mlat=35.4598&amp;mlon=45.4371&amp;zoom=12#map=12/35.4598/45.4371","Maplink1")</f>
        <v>Maplink1</v>
      </c>
      <c r="AX2809" s="88" t="str">
        <f>HYPERLINK("https://www.google.iq/maps/search/+35.4598,45.4371/@35.4598,45.4371,14z?hl=en","Maplink2")</f>
        <v>Maplink2</v>
      </c>
      <c r="AY2809" s="88" t="str">
        <f>HYPERLINK("http://www.bing.com/maps/?lvl=14&amp;sty=h&amp;cp=35.4598~45.4371&amp;sp=point.35.4598_45.4371","Maplink3")</f>
        <v>Maplink3</v>
      </c>
      <c r="AZ2809" s="76"/>
    </row>
    <row r="2810" spans="1:52" x14ac:dyDescent="0.25">
      <c r="A2810" s="86">
        <v>32009</v>
      </c>
      <c r="B2810" s="87" t="s">
        <v>27</v>
      </c>
      <c r="C2810" s="87" t="s">
        <v>5030</v>
      </c>
      <c r="D2810" s="87" t="s">
        <v>5326</v>
      </c>
      <c r="E2810" s="87" t="s">
        <v>5327</v>
      </c>
      <c r="F2810" s="87">
        <v>35.584566500000001</v>
      </c>
      <c r="G2810" s="87">
        <v>45.399811399999997</v>
      </c>
      <c r="H2810" s="86">
        <v>53</v>
      </c>
      <c r="I2810" s="86">
        <v>318</v>
      </c>
      <c r="J2810" s="87">
        <v>27</v>
      </c>
      <c r="K2810" s="87"/>
      <c r="L2810" s="87">
        <v>7</v>
      </c>
      <c r="M2810" s="87"/>
      <c r="N2810" s="87"/>
      <c r="O2810" s="87">
        <v>2</v>
      </c>
      <c r="P2810" s="87"/>
      <c r="Q2810" s="87"/>
      <c r="R2810" s="87">
        <v>3</v>
      </c>
      <c r="S2810" s="87"/>
      <c r="T2810" s="87"/>
      <c r="U2810" s="87"/>
      <c r="V2810" s="87">
        <v>8</v>
      </c>
      <c r="W2810" s="87"/>
      <c r="X2810" s="87">
        <v>6</v>
      </c>
      <c r="Y2810" s="87"/>
      <c r="Z2810" s="87"/>
      <c r="AA2810" s="87"/>
      <c r="AB2810" s="87"/>
      <c r="AC2810" s="87"/>
      <c r="AD2810" s="87"/>
      <c r="AE2810" s="87"/>
      <c r="AF2810" s="87"/>
      <c r="AG2810" s="87"/>
      <c r="AH2810" s="87">
        <v>53</v>
      </c>
      <c r="AI2810" s="87"/>
      <c r="AJ2810" s="87"/>
      <c r="AK2810" s="87"/>
      <c r="AL2810" s="87"/>
      <c r="AM2810" s="87"/>
      <c r="AN2810" s="87">
        <v>9</v>
      </c>
      <c r="AO2810" s="87">
        <v>10</v>
      </c>
      <c r="AP2810" s="87">
        <v>8</v>
      </c>
      <c r="AQ2810" s="87">
        <v>12</v>
      </c>
      <c r="AR2810" s="87">
        <v>5</v>
      </c>
      <c r="AS2810" s="87">
        <v>2</v>
      </c>
      <c r="AT2810" s="87"/>
      <c r="AU2810" s="87">
        <v>7</v>
      </c>
      <c r="AV2810" s="87"/>
      <c r="AW2810" s="88" t="str">
        <f>HYPERLINK("http://www.openstreetmap.org/?mlat=35.5846&amp;mlon=45.3998&amp;zoom=12#map=12/35.5846/45.3998","Maplink1")</f>
        <v>Maplink1</v>
      </c>
      <c r="AX2810" s="88" t="str">
        <f>HYPERLINK("https://www.google.iq/maps/search/+35.5846,45.3998/@35.5846,45.3998,14z?hl=en","Maplink2")</f>
        <v>Maplink2</v>
      </c>
      <c r="AY2810" s="88" t="str">
        <f>HYPERLINK("http://www.bing.com/maps/?lvl=14&amp;sty=h&amp;cp=35.5846~45.3998&amp;sp=point.35.5846_45.3998","Maplink3")</f>
        <v>Maplink3</v>
      </c>
      <c r="AZ2810" s="76"/>
    </row>
    <row r="2811" spans="1:52" x14ac:dyDescent="0.25">
      <c r="A2811" s="86">
        <v>25524</v>
      </c>
      <c r="B2811" s="87" t="s">
        <v>27</v>
      </c>
      <c r="C2811" s="87" t="s">
        <v>5030</v>
      </c>
      <c r="D2811" s="87" t="s">
        <v>5328</v>
      </c>
      <c r="E2811" s="87" t="s">
        <v>2039</v>
      </c>
      <c r="F2811" s="87">
        <v>35.531223699999998</v>
      </c>
      <c r="G2811" s="87">
        <v>45.443593200000002</v>
      </c>
      <c r="H2811" s="86">
        <v>59</v>
      </c>
      <c r="I2811" s="86">
        <v>354</v>
      </c>
      <c r="J2811" s="87">
        <v>24</v>
      </c>
      <c r="K2811" s="87">
        <v>2</v>
      </c>
      <c r="L2811" s="87">
        <v>11</v>
      </c>
      <c r="M2811" s="87"/>
      <c r="N2811" s="87"/>
      <c r="O2811" s="87">
        <v>6</v>
      </c>
      <c r="P2811" s="87"/>
      <c r="Q2811" s="87"/>
      <c r="R2811" s="87"/>
      <c r="S2811" s="87"/>
      <c r="T2811" s="87"/>
      <c r="U2811" s="87"/>
      <c r="V2811" s="87">
        <v>9</v>
      </c>
      <c r="W2811" s="87"/>
      <c r="X2811" s="87">
        <v>7</v>
      </c>
      <c r="Y2811" s="87"/>
      <c r="Z2811" s="87"/>
      <c r="AA2811" s="87"/>
      <c r="AB2811" s="87"/>
      <c r="AC2811" s="87"/>
      <c r="AD2811" s="87"/>
      <c r="AE2811" s="87"/>
      <c r="AF2811" s="87"/>
      <c r="AG2811" s="87"/>
      <c r="AH2811" s="87">
        <v>59</v>
      </c>
      <c r="AI2811" s="87"/>
      <c r="AJ2811" s="87"/>
      <c r="AK2811" s="87"/>
      <c r="AL2811" s="87"/>
      <c r="AM2811" s="87"/>
      <c r="AN2811" s="87">
        <v>6</v>
      </c>
      <c r="AO2811" s="87">
        <v>11</v>
      </c>
      <c r="AP2811" s="87">
        <v>15</v>
      </c>
      <c r="AQ2811" s="87">
        <v>10</v>
      </c>
      <c r="AR2811" s="87">
        <v>8</v>
      </c>
      <c r="AS2811" s="87">
        <v>4</v>
      </c>
      <c r="AT2811" s="87">
        <v>2</v>
      </c>
      <c r="AU2811" s="87">
        <v>1</v>
      </c>
      <c r="AV2811" s="87">
        <v>2</v>
      </c>
      <c r="AW2811" s="88" t="str">
        <f>HYPERLINK("http://www.openstreetmap.org/?mlat=35.5312&amp;mlon=45.4436&amp;zoom=12#map=12/35.5312/45.4436","Maplink1")</f>
        <v>Maplink1</v>
      </c>
      <c r="AX2811" s="88" t="str">
        <f>HYPERLINK("https://www.google.iq/maps/search/+35.5312,45.4436/@35.5312,45.4436,14z?hl=en","Maplink2")</f>
        <v>Maplink2</v>
      </c>
      <c r="AY2811" s="88" t="str">
        <f>HYPERLINK("http://www.bing.com/maps/?lvl=14&amp;sty=h&amp;cp=35.5312~45.4436&amp;sp=point.35.5312_45.4436","Maplink3")</f>
        <v>Maplink3</v>
      </c>
      <c r="AZ2811" s="76"/>
    </row>
    <row r="2812" spans="1:52" x14ac:dyDescent="0.25">
      <c r="A2812" s="86">
        <v>31955</v>
      </c>
      <c r="B2812" s="87" t="s">
        <v>27</v>
      </c>
      <c r="C2812" s="87" t="s">
        <v>5030</v>
      </c>
      <c r="D2812" s="87" t="s">
        <v>5329</v>
      </c>
      <c r="E2812" s="87" t="s">
        <v>5330</v>
      </c>
      <c r="F2812" s="87">
        <v>35.543412199999999</v>
      </c>
      <c r="G2812" s="87">
        <v>45.4683785</v>
      </c>
      <c r="H2812" s="86">
        <v>10</v>
      </c>
      <c r="I2812" s="86">
        <v>60</v>
      </c>
      <c r="J2812" s="87">
        <v>4</v>
      </c>
      <c r="K2812" s="87"/>
      <c r="L2812" s="87">
        <v>3</v>
      </c>
      <c r="M2812" s="87"/>
      <c r="N2812" s="87"/>
      <c r="O2812" s="87"/>
      <c r="P2812" s="87"/>
      <c r="Q2812" s="87"/>
      <c r="R2812" s="87"/>
      <c r="S2812" s="87"/>
      <c r="T2812" s="87"/>
      <c r="U2812" s="87"/>
      <c r="V2812" s="87"/>
      <c r="W2812" s="87"/>
      <c r="X2812" s="87">
        <v>3</v>
      </c>
      <c r="Y2812" s="87"/>
      <c r="Z2812" s="87"/>
      <c r="AA2812" s="87"/>
      <c r="AB2812" s="87"/>
      <c r="AC2812" s="87"/>
      <c r="AD2812" s="87"/>
      <c r="AE2812" s="87"/>
      <c r="AF2812" s="87"/>
      <c r="AG2812" s="87"/>
      <c r="AH2812" s="87">
        <v>10</v>
      </c>
      <c r="AI2812" s="87"/>
      <c r="AJ2812" s="87"/>
      <c r="AK2812" s="87"/>
      <c r="AL2812" s="87"/>
      <c r="AM2812" s="87"/>
      <c r="AN2812" s="87"/>
      <c r="AO2812" s="87"/>
      <c r="AP2812" s="87"/>
      <c r="AQ2812" s="87"/>
      <c r="AR2812" s="87">
        <v>2</v>
      </c>
      <c r="AS2812" s="87">
        <v>4</v>
      </c>
      <c r="AT2812" s="87">
        <v>3</v>
      </c>
      <c r="AU2812" s="87">
        <v>1</v>
      </c>
      <c r="AV2812" s="87"/>
      <c r="AW2812" s="88" t="str">
        <f>HYPERLINK("http://www.openstreetmap.org/?mlat=35.5434&amp;mlon=45.4684&amp;zoom=12#map=12/35.5434/45.4684","Maplink1")</f>
        <v>Maplink1</v>
      </c>
      <c r="AX2812" s="88" t="str">
        <f>HYPERLINK("https://www.google.iq/maps/search/+35.5434,45.4684/@35.5434,45.4684,14z?hl=en","Maplink2")</f>
        <v>Maplink2</v>
      </c>
      <c r="AY2812" s="88" t="str">
        <f>HYPERLINK("http://www.bing.com/maps/?lvl=14&amp;sty=h&amp;cp=35.5434~45.4684&amp;sp=point.35.5434_45.4684","Maplink3")</f>
        <v>Maplink3</v>
      </c>
      <c r="AZ2812" s="76"/>
    </row>
    <row r="2813" spans="1:52" x14ac:dyDescent="0.25">
      <c r="A2813" s="86">
        <v>24098</v>
      </c>
      <c r="B2813" s="87" t="s">
        <v>27</v>
      </c>
      <c r="C2813" s="87" t="s">
        <v>5030</v>
      </c>
      <c r="D2813" s="87" t="s">
        <v>5331</v>
      </c>
      <c r="E2813" s="87" t="s">
        <v>5332</v>
      </c>
      <c r="F2813" s="87">
        <v>35.580471899999999</v>
      </c>
      <c r="G2813" s="87">
        <v>45.342791699999999</v>
      </c>
      <c r="H2813" s="86">
        <v>2</v>
      </c>
      <c r="I2813" s="86">
        <v>12</v>
      </c>
      <c r="J2813" s="87"/>
      <c r="K2813" s="87"/>
      <c r="L2813" s="87"/>
      <c r="M2813" s="87"/>
      <c r="N2813" s="87"/>
      <c r="O2813" s="87"/>
      <c r="P2813" s="87"/>
      <c r="Q2813" s="87"/>
      <c r="R2813" s="87">
        <v>2</v>
      </c>
      <c r="S2813" s="87"/>
      <c r="T2813" s="87"/>
      <c r="U2813" s="87"/>
      <c r="V2813" s="87"/>
      <c r="W2813" s="87"/>
      <c r="X2813" s="87"/>
      <c r="Y2813" s="87"/>
      <c r="Z2813" s="87"/>
      <c r="AA2813" s="87"/>
      <c r="AB2813" s="87"/>
      <c r="AC2813" s="87"/>
      <c r="AD2813" s="87"/>
      <c r="AE2813" s="87"/>
      <c r="AF2813" s="87"/>
      <c r="AG2813" s="87"/>
      <c r="AH2813" s="87">
        <v>2</v>
      </c>
      <c r="AI2813" s="87"/>
      <c r="AJ2813" s="87"/>
      <c r="AK2813" s="87"/>
      <c r="AL2813" s="87"/>
      <c r="AM2813" s="87"/>
      <c r="AN2813" s="87"/>
      <c r="AO2813" s="87"/>
      <c r="AP2813" s="87"/>
      <c r="AQ2813" s="87"/>
      <c r="AR2813" s="87"/>
      <c r="AS2813" s="87"/>
      <c r="AT2813" s="87"/>
      <c r="AU2813" s="87">
        <v>2</v>
      </c>
      <c r="AV2813" s="87"/>
      <c r="AW2813" s="88" t="str">
        <f>HYPERLINK("http://www.openstreetmap.org/?mlat=35.5805&amp;mlon=45.3428&amp;zoom=12#map=12/35.5805/45.3428","Maplink1")</f>
        <v>Maplink1</v>
      </c>
      <c r="AX2813" s="88" t="str">
        <f>HYPERLINK("https://www.google.iq/maps/search/+35.5805,45.3428/@35.5805,45.3428,14z?hl=en","Maplink2")</f>
        <v>Maplink2</v>
      </c>
      <c r="AY2813" s="88" t="str">
        <f>HYPERLINK("http://www.bing.com/maps/?lvl=14&amp;sty=h&amp;cp=35.5805~45.3428&amp;sp=point.35.5805_45.3428","Maplink3")</f>
        <v>Maplink3</v>
      </c>
      <c r="AZ2813" s="76"/>
    </row>
    <row r="2814" spans="1:52" x14ac:dyDescent="0.25">
      <c r="A2814" s="86">
        <v>31995</v>
      </c>
      <c r="B2814" s="87" t="s">
        <v>27</v>
      </c>
      <c r="C2814" s="87" t="s">
        <v>5030</v>
      </c>
      <c r="D2814" s="87" t="s">
        <v>5333</v>
      </c>
      <c r="E2814" s="87" t="s">
        <v>5334</v>
      </c>
      <c r="F2814" s="87">
        <v>35.5598964</v>
      </c>
      <c r="G2814" s="87">
        <v>45.388417500000003</v>
      </c>
      <c r="H2814" s="86">
        <v>13</v>
      </c>
      <c r="I2814" s="86">
        <v>78</v>
      </c>
      <c r="J2814" s="87">
        <v>2</v>
      </c>
      <c r="K2814" s="87"/>
      <c r="L2814" s="87">
        <v>3</v>
      </c>
      <c r="M2814" s="87"/>
      <c r="N2814" s="87"/>
      <c r="O2814" s="87">
        <v>5</v>
      </c>
      <c r="P2814" s="87"/>
      <c r="Q2814" s="87"/>
      <c r="R2814" s="87"/>
      <c r="S2814" s="87"/>
      <c r="T2814" s="87"/>
      <c r="U2814" s="87"/>
      <c r="V2814" s="87">
        <v>2</v>
      </c>
      <c r="W2814" s="87"/>
      <c r="X2814" s="87">
        <v>1</v>
      </c>
      <c r="Y2814" s="87"/>
      <c r="Z2814" s="87"/>
      <c r="AA2814" s="87"/>
      <c r="AB2814" s="87"/>
      <c r="AC2814" s="87"/>
      <c r="AD2814" s="87"/>
      <c r="AE2814" s="87"/>
      <c r="AF2814" s="87"/>
      <c r="AG2814" s="87"/>
      <c r="AH2814" s="87">
        <v>13</v>
      </c>
      <c r="AI2814" s="87"/>
      <c r="AJ2814" s="87"/>
      <c r="AK2814" s="87"/>
      <c r="AL2814" s="87"/>
      <c r="AM2814" s="87"/>
      <c r="AN2814" s="87"/>
      <c r="AO2814" s="87">
        <v>6</v>
      </c>
      <c r="AP2814" s="87"/>
      <c r="AQ2814" s="87">
        <v>1</v>
      </c>
      <c r="AR2814" s="87"/>
      <c r="AS2814" s="87"/>
      <c r="AT2814" s="87">
        <v>4</v>
      </c>
      <c r="AU2814" s="87">
        <v>2</v>
      </c>
      <c r="AV2814" s="87"/>
      <c r="AW2814" s="88" t="str">
        <f>HYPERLINK("http://www.openstreetmap.org/?mlat=35.5599&amp;mlon=45.3884&amp;zoom=12#map=12/35.5599/45.3884","Maplink1")</f>
        <v>Maplink1</v>
      </c>
      <c r="AX2814" s="88" t="str">
        <f>HYPERLINK("https://www.google.iq/maps/search/+35.5599,45.3884/@35.5599,45.3884,14z?hl=en","Maplink2")</f>
        <v>Maplink2</v>
      </c>
      <c r="AY2814" s="88" t="str">
        <f>HYPERLINK("http://www.bing.com/maps/?lvl=14&amp;sty=h&amp;cp=35.5599~45.3884&amp;sp=point.35.5599_45.3884","Maplink3")</f>
        <v>Maplink3</v>
      </c>
      <c r="AZ2814" s="76"/>
    </row>
    <row r="2815" spans="1:52" x14ac:dyDescent="0.25">
      <c r="A2815" s="86">
        <v>32074</v>
      </c>
      <c r="B2815" s="87" t="s">
        <v>27</v>
      </c>
      <c r="C2815" s="87" t="s">
        <v>5030</v>
      </c>
      <c r="D2815" s="87" t="s">
        <v>5335</v>
      </c>
      <c r="E2815" s="87" t="s">
        <v>5336</v>
      </c>
      <c r="F2815" s="87">
        <v>35.550122299999998</v>
      </c>
      <c r="G2815" s="87">
        <v>45.365209499999999</v>
      </c>
      <c r="H2815" s="86">
        <v>73</v>
      </c>
      <c r="I2815" s="86">
        <v>438</v>
      </c>
      <c r="J2815" s="87">
        <v>20</v>
      </c>
      <c r="K2815" s="87">
        <v>1</v>
      </c>
      <c r="L2815" s="87">
        <v>30</v>
      </c>
      <c r="M2815" s="87"/>
      <c r="N2815" s="87"/>
      <c r="O2815" s="87">
        <v>5</v>
      </c>
      <c r="P2815" s="87"/>
      <c r="Q2815" s="87"/>
      <c r="R2815" s="87">
        <v>5</v>
      </c>
      <c r="S2815" s="87"/>
      <c r="T2815" s="87"/>
      <c r="U2815" s="87"/>
      <c r="V2815" s="87">
        <v>5</v>
      </c>
      <c r="W2815" s="87"/>
      <c r="X2815" s="87">
        <v>7</v>
      </c>
      <c r="Y2815" s="87"/>
      <c r="Z2815" s="87"/>
      <c r="AA2815" s="87"/>
      <c r="AB2815" s="87"/>
      <c r="AC2815" s="87"/>
      <c r="AD2815" s="87"/>
      <c r="AE2815" s="87"/>
      <c r="AF2815" s="87"/>
      <c r="AG2815" s="87"/>
      <c r="AH2815" s="87">
        <v>73</v>
      </c>
      <c r="AI2815" s="87"/>
      <c r="AJ2815" s="87"/>
      <c r="AK2815" s="87"/>
      <c r="AL2815" s="87"/>
      <c r="AM2815" s="87"/>
      <c r="AN2815" s="87">
        <v>6</v>
      </c>
      <c r="AO2815" s="87">
        <v>17</v>
      </c>
      <c r="AP2815" s="87">
        <v>22</v>
      </c>
      <c r="AQ2815" s="87">
        <v>11</v>
      </c>
      <c r="AR2815" s="87">
        <v>8</v>
      </c>
      <c r="AS2815" s="87"/>
      <c r="AT2815" s="87">
        <v>4</v>
      </c>
      <c r="AU2815" s="87">
        <v>5</v>
      </c>
      <c r="AV2815" s="87"/>
      <c r="AW2815" s="88" t="str">
        <f>HYPERLINK("http://www.openstreetmap.org/?mlat=35.5501&amp;mlon=45.3652&amp;zoom=12#map=12/35.5501/45.3652","Maplink1")</f>
        <v>Maplink1</v>
      </c>
      <c r="AX2815" s="88" t="str">
        <f>HYPERLINK("https://www.google.iq/maps/search/+35.5501,45.3652/@35.5501,45.3652,14z?hl=en","Maplink2")</f>
        <v>Maplink2</v>
      </c>
      <c r="AY2815" s="88" t="str">
        <f>HYPERLINK("http://www.bing.com/maps/?lvl=14&amp;sty=h&amp;cp=35.5501~45.3652&amp;sp=point.35.5501_45.3652","Maplink3")</f>
        <v>Maplink3</v>
      </c>
      <c r="AZ2815" s="76"/>
    </row>
    <row r="2816" spans="1:52" x14ac:dyDescent="0.25">
      <c r="A2816" s="86">
        <v>32005</v>
      </c>
      <c r="B2816" s="87" t="s">
        <v>27</v>
      </c>
      <c r="C2816" s="87" t="s">
        <v>5030</v>
      </c>
      <c r="D2816" s="87" t="s">
        <v>5337</v>
      </c>
      <c r="E2816" s="87" t="s">
        <v>5338</v>
      </c>
      <c r="F2816" s="87">
        <v>35.597452400000002</v>
      </c>
      <c r="G2816" s="87">
        <v>45.4129833</v>
      </c>
      <c r="H2816" s="86">
        <v>54</v>
      </c>
      <c r="I2816" s="86">
        <v>324</v>
      </c>
      <c r="J2816" s="87">
        <v>21</v>
      </c>
      <c r="K2816" s="87"/>
      <c r="L2816" s="87">
        <v>11</v>
      </c>
      <c r="M2816" s="87"/>
      <c r="N2816" s="87"/>
      <c r="O2816" s="87">
        <v>2</v>
      </c>
      <c r="P2816" s="87"/>
      <c r="Q2816" s="87"/>
      <c r="R2816" s="87">
        <v>6</v>
      </c>
      <c r="S2816" s="87"/>
      <c r="T2816" s="87"/>
      <c r="U2816" s="87"/>
      <c r="V2816" s="87">
        <v>5</v>
      </c>
      <c r="W2816" s="87"/>
      <c r="X2816" s="87">
        <v>9</v>
      </c>
      <c r="Y2816" s="87"/>
      <c r="Z2816" s="87"/>
      <c r="AA2816" s="87"/>
      <c r="AB2816" s="87"/>
      <c r="AC2816" s="87"/>
      <c r="AD2816" s="87"/>
      <c r="AE2816" s="87"/>
      <c r="AF2816" s="87"/>
      <c r="AG2816" s="87"/>
      <c r="AH2816" s="87">
        <v>54</v>
      </c>
      <c r="AI2816" s="87"/>
      <c r="AJ2816" s="87"/>
      <c r="AK2816" s="87"/>
      <c r="AL2816" s="87"/>
      <c r="AM2816" s="87"/>
      <c r="AN2816" s="87">
        <v>7</v>
      </c>
      <c r="AO2816" s="87">
        <v>9</v>
      </c>
      <c r="AP2816" s="87">
        <v>5</v>
      </c>
      <c r="AQ2816" s="87">
        <v>8</v>
      </c>
      <c r="AR2816" s="87">
        <v>5</v>
      </c>
      <c r="AS2816" s="87">
        <v>8</v>
      </c>
      <c r="AT2816" s="87">
        <v>1</v>
      </c>
      <c r="AU2816" s="87">
        <v>11</v>
      </c>
      <c r="AV2816" s="87"/>
      <c r="AW2816" s="88" t="str">
        <f>HYPERLINK("http://www.openstreetmap.org/?mlat=35.5975&amp;mlon=45.413&amp;zoom=12#map=12/35.5975/45.413","Maplink1")</f>
        <v>Maplink1</v>
      </c>
      <c r="AX2816" s="88" t="str">
        <f>HYPERLINK("https://www.google.iq/maps/search/+35.5975,45.413/@35.5975,45.413,14z?hl=en","Maplink2")</f>
        <v>Maplink2</v>
      </c>
      <c r="AY2816" s="88" t="str">
        <f>HYPERLINK("http://www.bing.com/maps/?lvl=14&amp;sty=h&amp;cp=35.5975~45.413&amp;sp=point.35.5975_45.413","Maplink3")</f>
        <v>Maplink3</v>
      </c>
      <c r="AZ2816" s="76"/>
    </row>
    <row r="2817" spans="1:52" x14ac:dyDescent="0.25">
      <c r="A2817" s="86">
        <v>32006</v>
      </c>
      <c r="B2817" s="87" t="s">
        <v>27</v>
      </c>
      <c r="C2817" s="87" t="s">
        <v>5030</v>
      </c>
      <c r="D2817" s="87" t="s">
        <v>5339</v>
      </c>
      <c r="E2817" s="87" t="s">
        <v>5340</v>
      </c>
      <c r="F2817" s="87">
        <v>35.601466899999998</v>
      </c>
      <c r="G2817" s="87">
        <v>45.412934700000001</v>
      </c>
      <c r="H2817" s="86">
        <v>45</v>
      </c>
      <c r="I2817" s="86">
        <v>270</v>
      </c>
      <c r="J2817" s="87">
        <v>12</v>
      </c>
      <c r="K2817" s="87"/>
      <c r="L2817" s="87">
        <v>16</v>
      </c>
      <c r="M2817" s="87"/>
      <c r="N2817" s="87"/>
      <c r="O2817" s="87">
        <v>3</v>
      </c>
      <c r="P2817" s="87"/>
      <c r="Q2817" s="87"/>
      <c r="R2817" s="87">
        <v>4</v>
      </c>
      <c r="S2817" s="87"/>
      <c r="T2817" s="87"/>
      <c r="U2817" s="87"/>
      <c r="V2817" s="87">
        <v>2</v>
      </c>
      <c r="W2817" s="87"/>
      <c r="X2817" s="87">
        <v>8</v>
      </c>
      <c r="Y2817" s="87"/>
      <c r="Z2817" s="87"/>
      <c r="AA2817" s="87"/>
      <c r="AB2817" s="87"/>
      <c r="AC2817" s="87"/>
      <c r="AD2817" s="87"/>
      <c r="AE2817" s="87"/>
      <c r="AF2817" s="87"/>
      <c r="AG2817" s="87"/>
      <c r="AH2817" s="87">
        <v>45</v>
      </c>
      <c r="AI2817" s="87"/>
      <c r="AJ2817" s="87"/>
      <c r="AK2817" s="87"/>
      <c r="AL2817" s="87"/>
      <c r="AM2817" s="87"/>
      <c r="AN2817" s="87">
        <v>2</v>
      </c>
      <c r="AO2817" s="87">
        <v>10</v>
      </c>
      <c r="AP2817" s="87"/>
      <c r="AQ2817" s="87">
        <v>5</v>
      </c>
      <c r="AR2817" s="87"/>
      <c r="AS2817" s="87">
        <v>10</v>
      </c>
      <c r="AT2817" s="87">
        <v>4</v>
      </c>
      <c r="AU2817" s="87">
        <v>10</v>
      </c>
      <c r="AV2817" s="87">
        <v>4</v>
      </c>
      <c r="AW2817" s="88" t="str">
        <f>HYPERLINK("http://www.openstreetmap.org/?mlat=35.6015&amp;mlon=45.4129&amp;zoom=12#map=12/35.6015/45.4129","Maplink1")</f>
        <v>Maplink1</v>
      </c>
      <c r="AX2817" s="88" t="str">
        <f>HYPERLINK("https://www.google.iq/maps/search/+35.6015,45.4129/@35.6015,45.4129,14z?hl=en","Maplink2")</f>
        <v>Maplink2</v>
      </c>
      <c r="AY2817" s="88" t="str">
        <f>HYPERLINK("http://www.bing.com/maps/?lvl=14&amp;sty=h&amp;cp=35.6015~45.4129&amp;sp=point.35.6015_45.4129","Maplink3")</f>
        <v>Maplink3</v>
      </c>
      <c r="AZ2817" s="76"/>
    </row>
    <row r="2818" spans="1:52" x14ac:dyDescent="0.25">
      <c r="A2818" s="86">
        <v>4450</v>
      </c>
      <c r="B2818" s="87" t="s">
        <v>27</v>
      </c>
      <c r="C2818" s="87" t="s">
        <v>5030</v>
      </c>
      <c r="D2818" s="87" t="s">
        <v>5341</v>
      </c>
      <c r="E2818" s="87" t="s">
        <v>5342</v>
      </c>
      <c r="F2818" s="87">
        <v>35.307380899999998</v>
      </c>
      <c r="G2818" s="87">
        <v>45.392374799999999</v>
      </c>
      <c r="H2818" s="86">
        <v>22</v>
      </c>
      <c r="I2818" s="86">
        <v>132</v>
      </c>
      <c r="J2818" s="87">
        <v>2</v>
      </c>
      <c r="K2818" s="87">
        <v>1</v>
      </c>
      <c r="L2818" s="87">
        <v>2</v>
      </c>
      <c r="M2818" s="87"/>
      <c r="N2818" s="87"/>
      <c r="O2818" s="87">
        <v>11</v>
      </c>
      <c r="P2818" s="87"/>
      <c r="Q2818" s="87"/>
      <c r="R2818" s="87"/>
      <c r="S2818" s="87"/>
      <c r="T2818" s="87"/>
      <c r="U2818" s="87"/>
      <c r="V2818" s="87">
        <v>3</v>
      </c>
      <c r="W2818" s="87"/>
      <c r="X2818" s="87">
        <v>3</v>
      </c>
      <c r="Y2818" s="87"/>
      <c r="Z2818" s="87"/>
      <c r="AA2818" s="87"/>
      <c r="AB2818" s="87"/>
      <c r="AC2818" s="87"/>
      <c r="AD2818" s="87"/>
      <c r="AE2818" s="87"/>
      <c r="AF2818" s="87"/>
      <c r="AG2818" s="87"/>
      <c r="AH2818" s="87">
        <v>22</v>
      </c>
      <c r="AI2818" s="87"/>
      <c r="AJ2818" s="87"/>
      <c r="AK2818" s="87"/>
      <c r="AL2818" s="87"/>
      <c r="AM2818" s="87"/>
      <c r="AN2818" s="87"/>
      <c r="AO2818" s="87">
        <v>1</v>
      </c>
      <c r="AP2818" s="87">
        <v>1</v>
      </c>
      <c r="AQ2818" s="87">
        <v>10</v>
      </c>
      <c r="AR2818" s="87">
        <v>3</v>
      </c>
      <c r="AS2818" s="87">
        <v>3</v>
      </c>
      <c r="AT2818" s="87"/>
      <c r="AU2818" s="87">
        <v>3</v>
      </c>
      <c r="AV2818" s="87">
        <v>1</v>
      </c>
      <c r="AW2818" s="88" t="str">
        <f>HYPERLINK("http://www.openstreetmap.org/?mlat=35.3074&amp;mlon=45.3924&amp;zoom=12#map=12/35.3074/45.3924","Maplink1")</f>
        <v>Maplink1</v>
      </c>
      <c r="AX2818" s="88" t="str">
        <f>HYPERLINK("https://www.google.iq/maps/search/+35.3074,45.3924/@35.3074,45.3924,14z?hl=en","Maplink2")</f>
        <v>Maplink2</v>
      </c>
      <c r="AY2818" s="88" t="str">
        <f>HYPERLINK("http://www.bing.com/maps/?lvl=14&amp;sty=h&amp;cp=35.3074~45.3924&amp;sp=point.35.3074_45.3924","Maplink3")</f>
        <v>Maplink3</v>
      </c>
      <c r="AZ2818" s="76"/>
    </row>
    <row r="2819" spans="1:52" x14ac:dyDescent="0.25">
      <c r="A2819" s="86">
        <v>4448</v>
      </c>
      <c r="B2819" s="87" t="s">
        <v>27</v>
      </c>
      <c r="C2819" s="87" t="s">
        <v>5030</v>
      </c>
      <c r="D2819" s="87" t="s">
        <v>5343</v>
      </c>
      <c r="E2819" s="87" t="s">
        <v>5344</v>
      </c>
      <c r="F2819" s="87">
        <v>35.382195000000003</v>
      </c>
      <c r="G2819" s="87">
        <v>45.412372699999999</v>
      </c>
      <c r="H2819" s="86">
        <v>6</v>
      </c>
      <c r="I2819" s="86">
        <v>36</v>
      </c>
      <c r="J2819" s="87"/>
      <c r="K2819" s="87"/>
      <c r="L2819" s="87"/>
      <c r="M2819" s="87"/>
      <c r="N2819" s="87"/>
      <c r="O2819" s="87">
        <v>1</v>
      </c>
      <c r="P2819" s="87"/>
      <c r="Q2819" s="87"/>
      <c r="R2819" s="87"/>
      <c r="S2819" s="87"/>
      <c r="T2819" s="87"/>
      <c r="U2819" s="87"/>
      <c r="V2819" s="87">
        <v>4</v>
      </c>
      <c r="W2819" s="87"/>
      <c r="X2819" s="87">
        <v>1</v>
      </c>
      <c r="Y2819" s="87"/>
      <c r="Z2819" s="87"/>
      <c r="AA2819" s="87"/>
      <c r="AB2819" s="87"/>
      <c r="AC2819" s="87"/>
      <c r="AD2819" s="87"/>
      <c r="AE2819" s="87"/>
      <c r="AF2819" s="87"/>
      <c r="AG2819" s="87"/>
      <c r="AH2819" s="87">
        <v>6</v>
      </c>
      <c r="AI2819" s="87"/>
      <c r="AJ2819" s="87"/>
      <c r="AK2819" s="87"/>
      <c r="AL2819" s="87"/>
      <c r="AM2819" s="87"/>
      <c r="AN2819" s="87"/>
      <c r="AO2819" s="87">
        <v>4</v>
      </c>
      <c r="AP2819" s="87"/>
      <c r="AQ2819" s="87"/>
      <c r="AR2819" s="87"/>
      <c r="AS2819" s="87">
        <v>1</v>
      </c>
      <c r="AT2819" s="87"/>
      <c r="AU2819" s="87">
        <v>1</v>
      </c>
      <c r="AV2819" s="87"/>
      <c r="AW2819" s="88" t="str">
        <f>HYPERLINK("http://www.openstreetmap.org/?mlat=35.3822&amp;mlon=45.4124&amp;zoom=12#map=12/35.3822/45.4124","Maplink1")</f>
        <v>Maplink1</v>
      </c>
      <c r="AX2819" s="88" t="str">
        <f>HYPERLINK("https://www.google.iq/maps/search/+35.3822,45.4124/@35.3822,45.4124,14z?hl=en","Maplink2")</f>
        <v>Maplink2</v>
      </c>
      <c r="AY2819" s="88" t="str">
        <f>HYPERLINK("http://www.bing.com/maps/?lvl=14&amp;sty=h&amp;cp=35.3822~45.4124&amp;sp=point.35.3822_45.4124","Maplink3")</f>
        <v>Maplink3</v>
      </c>
      <c r="AZ2819" s="76"/>
    </row>
    <row r="2820" spans="1:52" x14ac:dyDescent="0.25">
      <c r="A2820" s="86">
        <v>4449</v>
      </c>
      <c r="B2820" s="87" t="s">
        <v>27</v>
      </c>
      <c r="C2820" s="87" t="s">
        <v>5030</v>
      </c>
      <c r="D2820" s="87" t="s">
        <v>5345</v>
      </c>
      <c r="E2820" s="87" t="s">
        <v>5346</v>
      </c>
      <c r="F2820" s="87">
        <v>35.514164600000001</v>
      </c>
      <c r="G2820" s="87">
        <v>45.432464600000003</v>
      </c>
      <c r="H2820" s="86">
        <v>7</v>
      </c>
      <c r="I2820" s="86">
        <v>42</v>
      </c>
      <c r="J2820" s="87">
        <v>2</v>
      </c>
      <c r="K2820" s="87">
        <v>1</v>
      </c>
      <c r="L2820" s="87"/>
      <c r="M2820" s="87"/>
      <c r="N2820" s="87"/>
      <c r="O2820" s="87">
        <v>2</v>
      </c>
      <c r="P2820" s="87"/>
      <c r="Q2820" s="87"/>
      <c r="R2820" s="87"/>
      <c r="S2820" s="87"/>
      <c r="T2820" s="87"/>
      <c r="U2820" s="87"/>
      <c r="V2820" s="87"/>
      <c r="W2820" s="87"/>
      <c r="X2820" s="87">
        <v>2</v>
      </c>
      <c r="Y2820" s="87"/>
      <c r="Z2820" s="87"/>
      <c r="AA2820" s="87"/>
      <c r="AB2820" s="87"/>
      <c r="AC2820" s="87"/>
      <c r="AD2820" s="87"/>
      <c r="AE2820" s="87"/>
      <c r="AF2820" s="87"/>
      <c r="AG2820" s="87"/>
      <c r="AH2820" s="87">
        <v>7</v>
      </c>
      <c r="AI2820" s="87"/>
      <c r="AJ2820" s="87"/>
      <c r="AK2820" s="87"/>
      <c r="AL2820" s="87"/>
      <c r="AM2820" s="87"/>
      <c r="AN2820" s="87">
        <v>2</v>
      </c>
      <c r="AO2820" s="87">
        <v>4</v>
      </c>
      <c r="AP2820" s="87"/>
      <c r="AQ2820" s="87"/>
      <c r="AR2820" s="87"/>
      <c r="AS2820" s="87"/>
      <c r="AT2820" s="87"/>
      <c r="AU2820" s="87">
        <v>1</v>
      </c>
      <c r="AV2820" s="87"/>
      <c r="AW2820" s="88" t="str">
        <f>HYPERLINK("http://www.openstreetmap.org/?mlat=35.5142&amp;mlon=45.4325&amp;zoom=12#map=12/35.5142/45.4325","Maplink1")</f>
        <v>Maplink1</v>
      </c>
      <c r="AX2820" s="88" t="str">
        <f>HYPERLINK("https://www.google.iq/maps/search/+35.5142,45.4325/@35.5142,45.4325,14z?hl=en","Maplink2")</f>
        <v>Maplink2</v>
      </c>
      <c r="AY2820" s="88" t="str">
        <f>HYPERLINK("http://www.bing.com/maps/?lvl=14&amp;sty=h&amp;cp=35.5142~45.4325&amp;sp=point.35.5142_45.4325","Maplink3")</f>
        <v>Maplink3</v>
      </c>
      <c r="AZ2820" s="76"/>
    </row>
    <row r="2821" spans="1:52" x14ac:dyDescent="0.25">
      <c r="A2821" s="86">
        <v>4447</v>
      </c>
      <c r="B2821" s="87" t="s">
        <v>27</v>
      </c>
      <c r="C2821" s="87" t="s">
        <v>5030</v>
      </c>
      <c r="D2821" s="87" t="s">
        <v>5347</v>
      </c>
      <c r="E2821" s="87" t="s">
        <v>5348</v>
      </c>
      <c r="F2821" s="87">
        <v>35.404337200000001</v>
      </c>
      <c r="G2821" s="87">
        <v>45.261312799999999</v>
      </c>
      <c r="H2821" s="86">
        <v>11</v>
      </c>
      <c r="I2821" s="86">
        <v>66</v>
      </c>
      <c r="J2821" s="87">
        <v>1</v>
      </c>
      <c r="K2821" s="87"/>
      <c r="L2821" s="87">
        <v>2</v>
      </c>
      <c r="M2821" s="87"/>
      <c r="N2821" s="87"/>
      <c r="O2821" s="87">
        <v>1</v>
      </c>
      <c r="P2821" s="87"/>
      <c r="Q2821" s="87"/>
      <c r="R2821" s="87"/>
      <c r="S2821" s="87"/>
      <c r="T2821" s="87"/>
      <c r="U2821" s="87"/>
      <c r="V2821" s="87">
        <v>6</v>
      </c>
      <c r="W2821" s="87"/>
      <c r="X2821" s="87">
        <v>1</v>
      </c>
      <c r="Y2821" s="87"/>
      <c r="Z2821" s="87"/>
      <c r="AA2821" s="87"/>
      <c r="AB2821" s="87"/>
      <c r="AC2821" s="87"/>
      <c r="AD2821" s="87"/>
      <c r="AE2821" s="87"/>
      <c r="AF2821" s="87"/>
      <c r="AG2821" s="87"/>
      <c r="AH2821" s="87">
        <v>11</v>
      </c>
      <c r="AI2821" s="87"/>
      <c r="AJ2821" s="87"/>
      <c r="AK2821" s="87"/>
      <c r="AL2821" s="87"/>
      <c r="AM2821" s="87"/>
      <c r="AN2821" s="87"/>
      <c r="AO2821" s="87"/>
      <c r="AP2821" s="87">
        <v>3</v>
      </c>
      <c r="AQ2821" s="87">
        <v>3</v>
      </c>
      <c r="AR2821" s="87">
        <v>1</v>
      </c>
      <c r="AS2821" s="87"/>
      <c r="AT2821" s="87"/>
      <c r="AU2821" s="87">
        <v>4</v>
      </c>
      <c r="AV2821" s="87"/>
      <c r="AW2821" s="88" t="str">
        <f>HYPERLINK("http://www.openstreetmap.org/?mlat=35.4043&amp;mlon=45.2613&amp;zoom=12#map=12/35.4043/45.2613","Maplink1")</f>
        <v>Maplink1</v>
      </c>
      <c r="AX2821" s="88" t="str">
        <f>HYPERLINK("https://www.google.iq/maps/search/+35.4043,45.2613/@35.4043,45.2613,14z?hl=en","Maplink2")</f>
        <v>Maplink2</v>
      </c>
      <c r="AY2821" s="88" t="str">
        <f>HYPERLINK("http://www.bing.com/maps/?lvl=14&amp;sty=h&amp;cp=35.4043~45.2613&amp;sp=point.35.4043_45.2613","Maplink3")</f>
        <v>Maplink3</v>
      </c>
      <c r="AZ2821" s="76"/>
    </row>
    <row r="2822" spans="1:52" x14ac:dyDescent="0.25">
      <c r="A2822" s="86">
        <v>31958</v>
      </c>
      <c r="B2822" s="87" t="s">
        <v>27</v>
      </c>
      <c r="C2822" s="87" t="s">
        <v>5030</v>
      </c>
      <c r="D2822" s="87" t="s">
        <v>5349</v>
      </c>
      <c r="E2822" s="87" t="s">
        <v>5350</v>
      </c>
      <c r="F2822" s="87">
        <v>35.570269199999998</v>
      </c>
      <c r="G2822" s="87">
        <v>45.434958000000002</v>
      </c>
      <c r="H2822" s="86">
        <v>33</v>
      </c>
      <c r="I2822" s="86">
        <v>198</v>
      </c>
      <c r="J2822" s="87">
        <v>13</v>
      </c>
      <c r="K2822" s="87">
        <v>1</v>
      </c>
      <c r="L2822" s="87">
        <v>5</v>
      </c>
      <c r="M2822" s="87"/>
      <c r="N2822" s="87"/>
      <c r="O2822" s="87">
        <v>3</v>
      </c>
      <c r="P2822" s="87"/>
      <c r="Q2822" s="87"/>
      <c r="R2822" s="87"/>
      <c r="S2822" s="87"/>
      <c r="T2822" s="87"/>
      <c r="U2822" s="87"/>
      <c r="V2822" s="87">
        <v>3</v>
      </c>
      <c r="W2822" s="87"/>
      <c r="X2822" s="87">
        <v>8</v>
      </c>
      <c r="Y2822" s="87"/>
      <c r="Z2822" s="87"/>
      <c r="AA2822" s="87"/>
      <c r="AB2822" s="87"/>
      <c r="AC2822" s="87"/>
      <c r="AD2822" s="87"/>
      <c r="AE2822" s="87"/>
      <c r="AF2822" s="87"/>
      <c r="AG2822" s="87"/>
      <c r="AH2822" s="87">
        <v>33</v>
      </c>
      <c r="AI2822" s="87"/>
      <c r="AJ2822" s="87"/>
      <c r="AK2822" s="87"/>
      <c r="AL2822" s="87"/>
      <c r="AM2822" s="87"/>
      <c r="AN2822" s="87">
        <v>2</v>
      </c>
      <c r="AO2822" s="87">
        <v>12</v>
      </c>
      <c r="AP2822" s="87"/>
      <c r="AQ2822" s="87">
        <v>2</v>
      </c>
      <c r="AR2822" s="87"/>
      <c r="AS2822" s="87">
        <v>6</v>
      </c>
      <c r="AT2822" s="87">
        <v>7</v>
      </c>
      <c r="AU2822" s="87">
        <v>4</v>
      </c>
      <c r="AV2822" s="87"/>
      <c r="AW2822" s="88" t="str">
        <f>HYPERLINK("http://www.openstreetmap.org/?mlat=35.5703&amp;mlon=45.435&amp;zoom=12#map=12/35.5703/45.435","Maplink1")</f>
        <v>Maplink1</v>
      </c>
      <c r="AX2822" s="88" t="str">
        <f>HYPERLINK("https://www.google.iq/maps/search/+35.5703,45.435/@35.5703,45.435,14z?hl=en","Maplink2")</f>
        <v>Maplink2</v>
      </c>
      <c r="AY2822" s="88" t="str">
        <f>HYPERLINK("http://www.bing.com/maps/?lvl=14&amp;sty=h&amp;cp=35.5703~45.435&amp;sp=point.35.5703_45.435","Maplink3")</f>
        <v>Maplink3</v>
      </c>
      <c r="AZ2822" s="76"/>
    </row>
    <row r="2823" spans="1:52" x14ac:dyDescent="0.25">
      <c r="A2823" s="86">
        <v>4549</v>
      </c>
      <c r="B2823" s="87" t="s">
        <v>27</v>
      </c>
      <c r="C2823" s="87" t="s">
        <v>5030</v>
      </c>
      <c r="D2823" s="87" t="s">
        <v>5351</v>
      </c>
      <c r="E2823" s="87" t="s">
        <v>5352</v>
      </c>
      <c r="F2823" s="87">
        <v>35.535665799999997</v>
      </c>
      <c r="G2823" s="87">
        <v>45.480612299999997</v>
      </c>
      <c r="H2823" s="86">
        <v>9</v>
      </c>
      <c r="I2823" s="86">
        <v>54</v>
      </c>
      <c r="J2823" s="87">
        <v>2</v>
      </c>
      <c r="K2823" s="87"/>
      <c r="L2823" s="87">
        <v>4</v>
      </c>
      <c r="M2823" s="87"/>
      <c r="N2823" s="87"/>
      <c r="O2823" s="87">
        <v>2</v>
      </c>
      <c r="P2823" s="87"/>
      <c r="Q2823" s="87"/>
      <c r="R2823" s="87"/>
      <c r="S2823" s="87"/>
      <c r="T2823" s="87"/>
      <c r="U2823" s="87"/>
      <c r="V2823" s="87"/>
      <c r="W2823" s="87"/>
      <c r="X2823" s="87">
        <v>1</v>
      </c>
      <c r="Y2823" s="87"/>
      <c r="Z2823" s="87"/>
      <c r="AA2823" s="87"/>
      <c r="AB2823" s="87"/>
      <c r="AC2823" s="87"/>
      <c r="AD2823" s="87"/>
      <c r="AE2823" s="87"/>
      <c r="AF2823" s="87"/>
      <c r="AG2823" s="87"/>
      <c r="AH2823" s="87">
        <v>9</v>
      </c>
      <c r="AI2823" s="87"/>
      <c r="AJ2823" s="87"/>
      <c r="AK2823" s="87"/>
      <c r="AL2823" s="87"/>
      <c r="AM2823" s="87"/>
      <c r="AN2823" s="87"/>
      <c r="AO2823" s="87"/>
      <c r="AP2823" s="87"/>
      <c r="AQ2823" s="87">
        <v>4</v>
      </c>
      <c r="AR2823" s="87"/>
      <c r="AS2823" s="87">
        <v>1</v>
      </c>
      <c r="AT2823" s="87">
        <v>3</v>
      </c>
      <c r="AU2823" s="87">
        <v>1</v>
      </c>
      <c r="AV2823" s="87"/>
      <c r="AW2823" s="88" t="str">
        <f>HYPERLINK("http://www.openstreetmap.org/?mlat=35.5357&amp;mlon=45.4806&amp;zoom=12#map=12/35.5357/45.4806","Maplink1")</f>
        <v>Maplink1</v>
      </c>
      <c r="AX2823" s="88" t="str">
        <f>HYPERLINK("https://www.google.iq/maps/search/+35.5357,45.4806/@35.5357,45.4806,14z?hl=en","Maplink2")</f>
        <v>Maplink2</v>
      </c>
      <c r="AY2823" s="88" t="str">
        <f>HYPERLINK("http://www.bing.com/maps/?lvl=14&amp;sty=h&amp;cp=35.5357~45.4806&amp;sp=point.35.5357_45.4806","Maplink3")</f>
        <v>Maplink3</v>
      </c>
      <c r="AZ2823" s="76"/>
    </row>
    <row r="2824" spans="1:52" x14ac:dyDescent="0.25">
      <c r="A2824" s="86">
        <v>6139</v>
      </c>
      <c r="B2824" s="87" t="s">
        <v>27</v>
      </c>
      <c r="C2824" s="87" t="s">
        <v>5030</v>
      </c>
      <c r="D2824" s="87" t="s">
        <v>5353</v>
      </c>
      <c r="E2824" s="87" t="s">
        <v>5354</v>
      </c>
      <c r="F2824" s="87">
        <v>35.579557399999999</v>
      </c>
      <c r="G2824" s="87">
        <v>45.374302299999997</v>
      </c>
      <c r="H2824" s="86">
        <v>10</v>
      </c>
      <c r="I2824" s="86">
        <v>60</v>
      </c>
      <c r="J2824" s="87">
        <v>2</v>
      </c>
      <c r="K2824" s="87"/>
      <c r="L2824" s="87">
        <v>2</v>
      </c>
      <c r="M2824" s="87"/>
      <c r="N2824" s="87"/>
      <c r="O2824" s="87">
        <v>3</v>
      </c>
      <c r="P2824" s="87"/>
      <c r="Q2824" s="87"/>
      <c r="R2824" s="87">
        <v>3</v>
      </c>
      <c r="S2824" s="87"/>
      <c r="T2824" s="87"/>
      <c r="U2824" s="87"/>
      <c r="V2824" s="87"/>
      <c r="W2824" s="87"/>
      <c r="X2824" s="87"/>
      <c r="Y2824" s="87"/>
      <c r="Z2824" s="87"/>
      <c r="AA2824" s="87"/>
      <c r="AB2824" s="87"/>
      <c r="AC2824" s="87"/>
      <c r="AD2824" s="87"/>
      <c r="AE2824" s="87"/>
      <c r="AF2824" s="87"/>
      <c r="AG2824" s="87"/>
      <c r="AH2824" s="87">
        <v>10</v>
      </c>
      <c r="AI2824" s="87"/>
      <c r="AJ2824" s="87"/>
      <c r="AK2824" s="87"/>
      <c r="AL2824" s="87"/>
      <c r="AM2824" s="87"/>
      <c r="AN2824" s="87">
        <v>2</v>
      </c>
      <c r="AO2824" s="87">
        <v>1</v>
      </c>
      <c r="AP2824" s="87"/>
      <c r="AQ2824" s="87"/>
      <c r="AR2824" s="87">
        <v>1</v>
      </c>
      <c r="AS2824" s="87"/>
      <c r="AT2824" s="87">
        <v>1</v>
      </c>
      <c r="AU2824" s="87">
        <v>5</v>
      </c>
      <c r="AV2824" s="87"/>
      <c r="AW2824" s="88" t="str">
        <f>HYPERLINK("http://www.openstreetmap.org/?mlat=35.5796&amp;mlon=45.3743&amp;zoom=12#map=12/35.5796/45.3743","Maplink1")</f>
        <v>Maplink1</v>
      </c>
      <c r="AX2824" s="88" t="str">
        <f>HYPERLINK("https://www.google.iq/maps/search/+35.5796,45.3743/@35.5796,45.3743,14z?hl=en","Maplink2")</f>
        <v>Maplink2</v>
      </c>
      <c r="AY2824" s="88" t="str">
        <f>HYPERLINK("http://www.bing.com/maps/?lvl=14&amp;sty=h&amp;cp=35.5796~45.3743&amp;sp=point.35.5796_45.3743","Maplink3")</f>
        <v>Maplink3</v>
      </c>
      <c r="AZ2824" s="76"/>
    </row>
    <row r="2825" spans="1:52" x14ac:dyDescent="0.25">
      <c r="A2825" s="86">
        <v>6251</v>
      </c>
      <c r="B2825" s="87" t="s">
        <v>27</v>
      </c>
      <c r="C2825" s="87" t="s">
        <v>5030</v>
      </c>
      <c r="D2825" s="87" t="s">
        <v>5355</v>
      </c>
      <c r="E2825" s="87" t="s">
        <v>5356</v>
      </c>
      <c r="F2825" s="87">
        <v>35.597282700000001</v>
      </c>
      <c r="G2825" s="87">
        <v>45.348012199999999</v>
      </c>
      <c r="H2825" s="86">
        <v>39</v>
      </c>
      <c r="I2825" s="86">
        <v>234</v>
      </c>
      <c r="J2825" s="87">
        <v>8</v>
      </c>
      <c r="K2825" s="87"/>
      <c r="L2825" s="87">
        <v>2</v>
      </c>
      <c r="M2825" s="87"/>
      <c r="N2825" s="87"/>
      <c r="O2825" s="87">
        <v>9</v>
      </c>
      <c r="P2825" s="87"/>
      <c r="Q2825" s="87"/>
      <c r="R2825" s="87"/>
      <c r="S2825" s="87"/>
      <c r="T2825" s="87"/>
      <c r="U2825" s="87"/>
      <c r="V2825" s="87">
        <v>12</v>
      </c>
      <c r="W2825" s="87"/>
      <c r="X2825" s="87">
        <v>8</v>
      </c>
      <c r="Y2825" s="87"/>
      <c r="Z2825" s="87"/>
      <c r="AA2825" s="87"/>
      <c r="AB2825" s="87"/>
      <c r="AC2825" s="87"/>
      <c r="AD2825" s="87"/>
      <c r="AE2825" s="87"/>
      <c r="AF2825" s="87"/>
      <c r="AG2825" s="87"/>
      <c r="AH2825" s="87">
        <v>36</v>
      </c>
      <c r="AI2825" s="87"/>
      <c r="AJ2825" s="87"/>
      <c r="AK2825" s="87"/>
      <c r="AL2825" s="87">
        <v>3</v>
      </c>
      <c r="AM2825" s="87"/>
      <c r="AN2825" s="87">
        <v>2</v>
      </c>
      <c r="AO2825" s="87">
        <v>7</v>
      </c>
      <c r="AP2825" s="87">
        <v>22</v>
      </c>
      <c r="AQ2825" s="87">
        <v>4</v>
      </c>
      <c r="AR2825" s="87"/>
      <c r="AS2825" s="87">
        <v>2</v>
      </c>
      <c r="AT2825" s="87"/>
      <c r="AU2825" s="87">
        <v>2</v>
      </c>
      <c r="AV2825" s="87"/>
      <c r="AW2825" s="88" t="str">
        <f>HYPERLINK("http://www.openstreetmap.org/?mlat=35.5973&amp;mlon=45.348&amp;zoom=12#map=12/35.5973/45.348","Maplink1")</f>
        <v>Maplink1</v>
      </c>
      <c r="AX2825" s="88" t="str">
        <f>HYPERLINK("https://www.google.iq/maps/search/+35.5973,45.348/@35.5973,45.348,14z?hl=en","Maplink2")</f>
        <v>Maplink2</v>
      </c>
      <c r="AY2825" s="88" t="str">
        <f>HYPERLINK("http://www.bing.com/maps/?lvl=14&amp;sty=h&amp;cp=35.5973~45.348&amp;sp=point.35.5973_45.348","Maplink3")</f>
        <v>Maplink3</v>
      </c>
      <c r="AZ2825" s="76"/>
    </row>
    <row r="2826" spans="1:52" x14ac:dyDescent="0.25">
      <c r="A2826" s="86">
        <v>5896</v>
      </c>
      <c r="B2826" s="87" t="s">
        <v>27</v>
      </c>
      <c r="C2826" s="87" t="s">
        <v>5030</v>
      </c>
      <c r="D2826" s="87" t="s">
        <v>5357</v>
      </c>
      <c r="E2826" s="87" t="s">
        <v>5358</v>
      </c>
      <c r="F2826" s="87">
        <v>35.5841925</v>
      </c>
      <c r="G2826" s="87">
        <v>45.322030699999999</v>
      </c>
      <c r="H2826" s="86">
        <v>7</v>
      </c>
      <c r="I2826" s="86">
        <v>42</v>
      </c>
      <c r="J2826" s="87"/>
      <c r="K2826" s="87"/>
      <c r="L2826" s="87"/>
      <c r="M2826" s="87"/>
      <c r="N2826" s="87"/>
      <c r="O2826" s="87"/>
      <c r="P2826" s="87"/>
      <c r="Q2826" s="87"/>
      <c r="R2826" s="87">
        <v>1</v>
      </c>
      <c r="S2826" s="87"/>
      <c r="T2826" s="87"/>
      <c r="U2826" s="87"/>
      <c r="V2826" s="87">
        <v>6</v>
      </c>
      <c r="W2826" s="87"/>
      <c r="X2826" s="87"/>
      <c r="Y2826" s="87"/>
      <c r="Z2826" s="87"/>
      <c r="AA2826" s="87"/>
      <c r="AB2826" s="87"/>
      <c r="AC2826" s="87"/>
      <c r="AD2826" s="87"/>
      <c r="AE2826" s="87"/>
      <c r="AF2826" s="87"/>
      <c r="AG2826" s="87"/>
      <c r="AH2826" s="87">
        <v>7</v>
      </c>
      <c r="AI2826" s="87"/>
      <c r="AJ2826" s="87"/>
      <c r="AK2826" s="87"/>
      <c r="AL2826" s="87"/>
      <c r="AM2826" s="87"/>
      <c r="AN2826" s="87"/>
      <c r="AO2826" s="87"/>
      <c r="AP2826" s="87"/>
      <c r="AQ2826" s="87">
        <v>6</v>
      </c>
      <c r="AR2826" s="87"/>
      <c r="AS2826" s="87"/>
      <c r="AT2826" s="87"/>
      <c r="AU2826" s="87">
        <v>1</v>
      </c>
      <c r="AV2826" s="87"/>
      <c r="AW2826" s="88" t="str">
        <f>HYPERLINK("http://www.openstreetmap.org/?mlat=35.5842&amp;mlon=45.322&amp;zoom=12#map=12/35.5842/45.322","Maplink1")</f>
        <v>Maplink1</v>
      </c>
      <c r="AX2826" s="88" t="str">
        <f>HYPERLINK("https://www.google.iq/maps/search/+35.5842,45.322/@35.5842,45.322,14z?hl=en","Maplink2")</f>
        <v>Maplink2</v>
      </c>
      <c r="AY2826" s="88" t="str">
        <f>HYPERLINK("http://www.bing.com/maps/?lvl=14&amp;sty=h&amp;cp=35.5842~45.322&amp;sp=point.35.5842_45.322","Maplink3")</f>
        <v>Maplink3</v>
      </c>
      <c r="AZ2826" s="76"/>
    </row>
    <row r="2827" spans="1:52" x14ac:dyDescent="0.25">
      <c r="A2827" s="86">
        <v>32013</v>
      </c>
      <c r="B2827" s="87" t="s">
        <v>27</v>
      </c>
      <c r="C2827" s="87" t="s">
        <v>5030</v>
      </c>
      <c r="D2827" s="87" t="s">
        <v>5359</v>
      </c>
      <c r="E2827" s="87" t="s">
        <v>5360</v>
      </c>
      <c r="F2827" s="87">
        <v>35.5927437</v>
      </c>
      <c r="G2827" s="87">
        <v>45.333328100000003</v>
      </c>
      <c r="H2827" s="86">
        <v>66</v>
      </c>
      <c r="I2827" s="86">
        <v>396</v>
      </c>
      <c r="J2827" s="87">
        <v>8</v>
      </c>
      <c r="K2827" s="87">
        <v>6</v>
      </c>
      <c r="L2827" s="87">
        <v>13</v>
      </c>
      <c r="M2827" s="87"/>
      <c r="N2827" s="87"/>
      <c r="O2827" s="87">
        <v>11</v>
      </c>
      <c r="P2827" s="87"/>
      <c r="Q2827" s="87"/>
      <c r="R2827" s="87">
        <v>5</v>
      </c>
      <c r="S2827" s="87"/>
      <c r="T2827" s="87"/>
      <c r="U2827" s="87"/>
      <c r="V2827" s="87">
        <v>7</v>
      </c>
      <c r="W2827" s="87"/>
      <c r="X2827" s="87">
        <v>16</v>
      </c>
      <c r="Y2827" s="87"/>
      <c r="Z2827" s="87"/>
      <c r="AA2827" s="87"/>
      <c r="AB2827" s="87"/>
      <c r="AC2827" s="87"/>
      <c r="AD2827" s="87"/>
      <c r="AE2827" s="87"/>
      <c r="AF2827" s="87"/>
      <c r="AG2827" s="87"/>
      <c r="AH2827" s="87">
        <v>66</v>
      </c>
      <c r="AI2827" s="87"/>
      <c r="AJ2827" s="87"/>
      <c r="AK2827" s="87"/>
      <c r="AL2827" s="87"/>
      <c r="AM2827" s="87"/>
      <c r="AN2827" s="87">
        <v>2</v>
      </c>
      <c r="AO2827" s="87">
        <v>17</v>
      </c>
      <c r="AP2827" s="87">
        <v>20</v>
      </c>
      <c r="AQ2827" s="87">
        <v>7</v>
      </c>
      <c r="AR2827" s="87">
        <v>4</v>
      </c>
      <c r="AS2827" s="87">
        <v>6</v>
      </c>
      <c r="AT2827" s="87"/>
      <c r="AU2827" s="87">
        <v>10</v>
      </c>
      <c r="AV2827" s="87"/>
      <c r="AW2827" s="88" t="str">
        <f>HYPERLINK("http://www.openstreetmap.org/?mlat=35.5927&amp;mlon=45.3333&amp;zoom=12#map=12/35.5927/45.3333","Maplink1")</f>
        <v>Maplink1</v>
      </c>
      <c r="AX2827" s="88" t="str">
        <f>HYPERLINK("https://www.google.iq/maps/search/+35.5927,45.3333/@35.5927,45.3333,14z?hl=en","Maplink2")</f>
        <v>Maplink2</v>
      </c>
      <c r="AY2827" s="88" t="str">
        <f>HYPERLINK("http://www.bing.com/maps/?lvl=14&amp;sty=h&amp;cp=35.5927~45.3333&amp;sp=point.35.5927_45.3333","Maplink3")</f>
        <v>Maplink3</v>
      </c>
      <c r="AZ2827" s="76"/>
    </row>
    <row r="2828" spans="1:52" x14ac:dyDescent="0.25">
      <c r="A2828" s="86">
        <v>32012</v>
      </c>
      <c r="B2828" s="87" t="s">
        <v>27</v>
      </c>
      <c r="C2828" s="87" t="s">
        <v>5030</v>
      </c>
      <c r="D2828" s="87" t="s">
        <v>5361</v>
      </c>
      <c r="E2828" s="87" t="s">
        <v>5362</v>
      </c>
      <c r="F2828" s="87">
        <v>35.575438499999997</v>
      </c>
      <c r="G2828" s="87">
        <v>45.329410799999998</v>
      </c>
      <c r="H2828" s="86">
        <v>65</v>
      </c>
      <c r="I2828" s="86">
        <v>390</v>
      </c>
      <c r="J2828" s="87">
        <v>11</v>
      </c>
      <c r="K2828" s="87">
        <v>2</v>
      </c>
      <c r="L2828" s="87">
        <v>17</v>
      </c>
      <c r="M2828" s="87"/>
      <c r="N2828" s="87"/>
      <c r="O2828" s="87">
        <v>8</v>
      </c>
      <c r="P2828" s="87"/>
      <c r="Q2828" s="87"/>
      <c r="R2828" s="87">
        <v>10</v>
      </c>
      <c r="S2828" s="87"/>
      <c r="T2828" s="87"/>
      <c r="U2828" s="87"/>
      <c r="V2828" s="87">
        <v>5</v>
      </c>
      <c r="W2828" s="87"/>
      <c r="X2828" s="87">
        <v>12</v>
      </c>
      <c r="Y2828" s="87"/>
      <c r="Z2828" s="87"/>
      <c r="AA2828" s="87"/>
      <c r="AB2828" s="87"/>
      <c r="AC2828" s="87"/>
      <c r="AD2828" s="87"/>
      <c r="AE2828" s="87"/>
      <c r="AF2828" s="87"/>
      <c r="AG2828" s="87"/>
      <c r="AH2828" s="87">
        <v>57</v>
      </c>
      <c r="AI2828" s="87"/>
      <c r="AJ2828" s="87"/>
      <c r="AK2828" s="87"/>
      <c r="AL2828" s="87">
        <v>8</v>
      </c>
      <c r="AM2828" s="87"/>
      <c r="AN2828" s="87">
        <v>2</v>
      </c>
      <c r="AO2828" s="87">
        <v>17</v>
      </c>
      <c r="AP2828" s="87">
        <v>16</v>
      </c>
      <c r="AQ2828" s="87">
        <v>12</v>
      </c>
      <c r="AR2828" s="87">
        <v>5</v>
      </c>
      <c r="AS2828" s="87"/>
      <c r="AT2828" s="87"/>
      <c r="AU2828" s="87">
        <v>13</v>
      </c>
      <c r="AV2828" s="87"/>
      <c r="AW2828" s="88" t="str">
        <f>HYPERLINK("http://www.openstreetmap.org/?mlat=35.5754&amp;mlon=45.3294&amp;zoom=12#map=12/35.5754/45.3294","Maplink1")</f>
        <v>Maplink1</v>
      </c>
      <c r="AX2828" s="88" t="str">
        <f>HYPERLINK("https://www.google.iq/maps/search/+35.5754,45.3294/@35.5754,45.3294,14z?hl=en","Maplink2")</f>
        <v>Maplink2</v>
      </c>
      <c r="AY2828" s="88" t="str">
        <f>HYPERLINK("http://www.bing.com/maps/?lvl=14&amp;sty=h&amp;cp=35.5754~45.3294&amp;sp=point.35.5754_45.3294","Maplink3")</f>
        <v>Maplink3</v>
      </c>
      <c r="AZ2828" s="76"/>
    </row>
    <row r="2829" spans="1:52" x14ac:dyDescent="0.25">
      <c r="A2829" s="86">
        <v>32017</v>
      </c>
      <c r="B2829" s="87" t="s">
        <v>27</v>
      </c>
      <c r="C2829" s="87" t="s">
        <v>5030</v>
      </c>
      <c r="D2829" s="87" t="s">
        <v>5363</v>
      </c>
      <c r="E2829" s="87" t="s">
        <v>5364</v>
      </c>
      <c r="F2829" s="87">
        <v>35.5802519</v>
      </c>
      <c r="G2829" s="87">
        <v>45.3291805</v>
      </c>
      <c r="H2829" s="86">
        <v>35</v>
      </c>
      <c r="I2829" s="86">
        <v>210</v>
      </c>
      <c r="J2829" s="87">
        <v>5</v>
      </c>
      <c r="K2829" s="87"/>
      <c r="L2829" s="87">
        <v>13</v>
      </c>
      <c r="M2829" s="87"/>
      <c r="N2829" s="87"/>
      <c r="O2829" s="87"/>
      <c r="P2829" s="87"/>
      <c r="Q2829" s="87"/>
      <c r="R2829" s="87">
        <v>7</v>
      </c>
      <c r="S2829" s="87"/>
      <c r="T2829" s="87"/>
      <c r="U2829" s="87"/>
      <c r="V2829" s="87">
        <v>5</v>
      </c>
      <c r="W2829" s="87"/>
      <c r="X2829" s="87">
        <v>5</v>
      </c>
      <c r="Y2829" s="87"/>
      <c r="Z2829" s="87"/>
      <c r="AA2829" s="87"/>
      <c r="AB2829" s="87"/>
      <c r="AC2829" s="87"/>
      <c r="AD2829" s="87"/>
      <c r="AE2829" s="87"/>
      <c r="AF2829" s="87"/>
      <c r="AG2829" s="87"/>
      <c r="AH2829" s="87">
        <v>35</v>
      </c>
      <c r="AI2829" s="87"/>
      <c r="AJ2829" s="87"/>
      <c r="AK2829" s="87"/>
      <c r="AL2829" s="87"/>
      <c r="AM2829" s="87"/>
      <c r="AN2829" s="87"/>
      <c r="AO2829" s="87">
        <v>8</v>
      </c>
      <c r="AP2829" s="87">
        <v>11</v>
      </c>
      <c r="AQ2829" s="87">
        <v>6</v>
      </c>
      <c r="AR2829" s="87">
        <v>3</v>
      </c>
      <c r="AS2829" s="87"/>
      <c r="AT2829" s="87"/>
      <c r="AU2829" s="87">
        <v>7</v>
      </c>
      <c r="AV2829" s="87"/>
      <c r="AW2829" s="88" t="str">
        <f>HYPERLINK("http://www.openstreetmap.org/?mlat=35.5803&amp;mlon=45.3292&amp;zoom=12#map=12/35.5803/45.3292","Maplink1")</f>
        <v>Maplink1</v>
      </c>
      <c r="AX2829" s="88" t="str">
        <f>HYPERLINK("https://www.google.iq/maps/search/+35.5803,45.3292/@35.5803,45.3292,14z?hl=en","Maplink2")</f>
        <v>Maplink2</v>
      </c>
      <c r="AY2829" s="88" t="str">
        <f>HYPERLINK("http://www.bing.com/maps/?lvl=14&amp;sty=h&amp;cp=35.5803~45.3292&amp;sp=point.35.5803_45.3292","Maplink3")</f>
        <v>Maplink3</v>
      </c>
      <c r="AZ2829" s="76"/>
    </row>
    <row r="2830" spans="1:52" x14ac:dyDescent="0.25">
      <c r="A2830" s="86">
        <v>32014</v>
      </c>
      <c r="B2830" s="87" t="s">
        <v>27</v>
      </c>
      <c r="C2830" s="87" t="s">
        <v>5030</v>
      </c>
      <c r="D2830" s="87" t="s">
        <v>5365</v>
      </c>
      <c r="E2830" s="87" t="s">
        <v>5366</v>
      </c>
      <c r="F2830" s="87">
        <v>35.593553900000003</v>
      </c>
      <c r="G2830" s="87">
        <v>45.324792600000002</v>
      </c>
      <c r="H2830" s="86">
        <v>44</v>
      </c>
      <c r="I2830" s="86">
        <v>264</v>
      </c>
      <c r="J2830" s="87">
        <v>7</v>
      </c>
      <c r="K2830" s="87">
        <v>2</v>
      </c>
      <c r="L2830" s="87">
        <v>10</v>
      </c>
      <c r="M2830" s="87"/>
      <c r="N2830" s="87"/>
      <c r="O2830" s="87">
        <v>2</v>
      </c>
      <c r="P2830" s="87"/>
      <c r="Q2830" s="87"/>
      <c r="R2830" s="87">
        <v>4</v>
      </c>
      <c r="S2830" s="87"/>
      <c r="T2830" s="87"/>
      <c r="U2830" s="87"/>
      <c r="V2830" s="87">
        <v>5</v>
      </c>
      <c r="W2830" s="87"/>
      <c r="X2830" s="87">
        <v>14</v>
      </c>
      <c r="Y2830" s="87"/>
      <c r="Z2830" s="87"/>
      <c r="AA2830" s="87"/>
      <c r="AB2830" s="87"/>
      <c r="AC2830" s="87"/>
      <c r="AD2830" s="87"/>
      <c r="AE2830" s="87"/>
      <c r="AF2830" s="87"/>
      <c r="AG2830" s="87"/>
      <c r="AH2830" s="87">
        <v>44</v>
      </c>
      <c r="AI2830" s="87"/>
      <c r="AJ2830" s="87"/>
      <c r="AK2830" s="87"/>
      <c r="AL2830" s="87"/>
      <c r="AM2830" s="87"/>
      <c r="AN2830" s="87">
        <v>2</v>
      </c>
      <c r="AO2830" s="87">
        <v>8</v>
      </c>
      <c r="AP2830" s="87">
        <v>13</v>
      </c>
      <c r="AQ2830" s="87">
        <v>7</v>
      </c>
      <c r="AR2830" s="87">
        <v>3</v>
      </c>
      <c r="AS2830" s="87">
        <v>3</v>
      </c>
      <c r="AT2830" s="87"/>
      <c r="AU2830" s="87">
        <v>8</v>
      </c>
      <c r="AV2830" s="87"/>
      <c r="AW2830" s="88" t="str">
        <f>HYPERLINK("http://www.openstreetmap.org/?mlat=35.5936&amp;mlon=45.3248&amp;zoom=12#map=12/35.5936/45.3248","Maplink1")</f>
        <v>Maplink1</v>
      </c>
      <c r="AX2830" s="88" t="str">
        <f>HYPERLINK("https://www.google.iq/maps/search/+35.5936,45.3248/@35.5936,45.3248,14z?hl=en","Maplink2")</f>
        <v>Maplink2</v>
      </c>
      <c r="AY2830" s="88" t="str">
        <f>HYPERLINK("http://www.bing.com/maps/?lvl=14&amp;sty=h&amp;cp=35.5936~45.3248&amp;sp=point.35.5936_45.3248","Maplink3")</f>
        <v>Maplink3</v>
      </c>
      <c r="AZ2830" s="76"/>
    </row>
    <row r="2831" spans="1:52" x14ac:dyDescent="0.25">
      <c r="A2831" s="86">
        <v>32015</v>
      </c>
      <c r="B2831" s="87" t="s">
        <v>27</v>
      </c>
      <c r="C2831" s="87" t="s">
        <v>5030</v>
      </c>
      <c r="D2831" s="87" t="s">
        <v>5367</v>
      </c>
      <c r="E2831" s="87" t="s">
        <v>5368</v>
      </c>
      <c r="F2831" s="87">
        <v>35.586388200000002</v>
      </c>
      <c r="G2831" s="87">
        <v>45.333516600000003</v>
      </c>
      <c r="H2831" s="86">
        <v>69</v>
      </c>
      <c r="I2831" s="86">
        <v>414</v>
      </c>
      <c r="J2831" s="87">
        <v>9</v>
      </c>
      <c r="K2831" s="87">
        <v>2</v>
      </c>
      <c r="L2831" s="87">
        <v>15</v>
      </c>
      <c r="M2831" s="87"/>
      <c r="N2831" s="87"/>
      <c r="O2831" s="87">
        <v>10</v>
      </c>
      <c r="P2831" s="87"/>
      <c r="Q2831" s="87"/>
      <c r="R2831" s="87">
        <v>10</v>
      </c>
      <c r="S2831" s="87"/>
      <c r="T2831" s="87"/>
      <c r="U2831" s="87"/>
      <c r="V2831" s="87">
        <v>6</v>
      </c>
      <c r="W2831" s="87"/>
      <c r="X2831" s="87">
        <v>17</v>
      </c>
      <c r="Y2831" s="87"/>
      <c r="Z2831" s="87"/>
      <c r="AA2831" s="87"/>
      <c r="AB2831" s="87"/>
      <c r="AC2831" s="87"/>
      <c r="AD2831" s="87"/>
      <c r="AE2831" s="87"/>
      <c r="AF2831" s="87"/>
      <c r="AG2831" s="87"/>
      <c r="AH2831" s="87">
        <v>69</v>
      </c>
      <c r="AI2831" s="87"/>
      <c r="AJ2831" s="87"/>
      <c r="AK2831" s="87"/>
      <c r="AL2831" s="87"/>
      <c r="AM2831" s="87"/>
      <c r="AN2831" s="87">
        <v>2</v>
      </c>
      <c r="AO2831" s="87">
        <v>16</v>
      </c>
      <c r="AP2831" s="87">
        <v>9</v>
      </c>
      <c r="AQ2831" s="87">
        <v>8</v>
      </c>
      <c r="AR2831" s="87">
        <v>4</v>
      </c>
      <c r="AS2831" s="87">
        <v>4</v>
      </c>
      <c r="AT2831" s="87">
        <v>4</v>
      </c>
      <c r="AU2831" s="87">
        <v>22</v>
      </c>
      <c r="AV2831" s="87"/>
      <c r="AW2831" s="88" t="str">
        <f>HYPERLINK("http://www.openstreetmap.org/?mlat=35.5864&amp;mlon=45.3335&amp;zoom=12#map=12/35.5864/45.3335","Maplink1")</f>
        <v>Maplink1</v>
      </c>
      <c r="AX2831" s="88" t="str">
        <f>HYPERLINK("https://www.google.iq/maps/search/+35.5864,45.3335/@35.5864,45.3335,14z?hl=en","Maplink2")</f>
        <v>Maplink2</v>
      </c>
      <c r="AY2831" s="88" t="str">
        <f>HYPERLINK("http://www.bing.com/maps/?lvl=14&amp;sty=h&amp;cp=35.5864~45.3335&amp;sp=point.35.5864_45.3335","Maplink3")</f>
        <v>Maplink3</v>
      </c>
      <c r="AZ2831" s="76"/>
    </row>
    <row r="2832" spans="1:52" x14ac:dyDescent="0.25">
      <c r="A2832" s="86">
        <v>32016</v>
      </c>
      <c r="B2832" s="87" t="s">
        <v>27</v>
      </c>
      <c r="C2832" s="87" t="s">
        <v>5030</v>
      </c>
      <c r="D2832" s="87" t="s">
        <v>5369</v>
      </c>
      <c r="E2832" s="87" t="s">
        <v>5370</v>
      </c>
      <c r="F2832" s="87">
        <v>35.5841086</v>
      </c>
      <c r="G2832" s="87">
        <v>45.337418700000001</v>
      </c>
      <c r="H2832" s="86">
        <v>55</v>
      </c>
      <c r="I2832" s="86">
        <v>330</v>
      </c>
      <c r="J2832" s="87">
        <v>13</v>
      </c>
      <c r="K2832" s="87"/>
      <c r="L2832" s="87">
        <v>12</v>
      </c>
      <c r="M2832" s="87"/>
      <c r="N2832" s="87"/>
      <c r="O2832" s="87">
        <v>3</v>
      </c>
      <c r="P2832" s="87"/>
      <c r="Q2832" s="87"/>
      <c r="R2832" s="87">
        <v>8</v>
      </c>
      <c r="S2832" s="87"/>
      <c r="T2832" s="87"/>
      <c r="U2832" s="87"/>
      <c r="V2832" s="87">
        <v>6</v>
      </c>
      <c r="W2832" s="87"/>
      <c r="X2832" s="87">
        <v>13</v>
      </c>
      <c r="Y2832" s="87"/>
      <c r="Z2832" s="87"/>
      <c r="AA2832" s="87"/>
      <c r="AB2832" s="87"/>
      <c r="AC2832" s="87"/>
      <c r="AD2832" s="87"/>
      <c r="AE2832" s="87"/>
      <c r="AF2832" s="87"/>
      <c r="AG2832" s="87"/>
      <c r="AH2832" s="87">
        <v>55</v>
      </c>
      <c r="AI2832" s="87"/>
      <c r="AJ2832" s="87"/>
      <c r="AK2832" s="87"/>
      <c r="AL2832" s="87"/>
      <c r="AM2832" s="87"/>
      <c r="AN2832" s="87">
        <v>3</v>
      </c>
      <c r="AO2832" s="87">
        <v>11</v>
      </c>
      <c r="AP2832" s="87">
        <v>15</v>
      </c>
      <c r="AQ2832" s="87">
        <v>5</v>
      </c>
      <c r="AR2832" s="87">
        <v>6</v>
      </c>
      <c r="AS2832" s="87">
        <v>4</v>
      </c>
      <c r="AT2832" s="87"/>
      <c r="AU2832" s="87">
        <v>11</v>
      </c>
      <c r="AV2832" s="87"/>
      <c r="AW2832" s="88" t="str">
        <f>HYPERLINK("http://www.openstreetmap.org/?mlat=35.5841&amp;mlon=45.3374&amp;zoom=12#map=12/35.5841/45.3374","Maplink1")</f>
        <v>Maplink1</v>
      </c>
      <c r="AX2832" s="88" t="str">
        <f>HYPERLINK("https://www.google.iq/maps/search/+35.5841,45.3374/@35.5841,45.3374,14z?hl=en","Maplink2")</f>
        <v>Maplink2</v>
      </c>
      <c r="AY2832" s="88" t="str">
        <f>HYPERLINK("http://www.bing.com/maps/?lvl=14&amp;sty=h&amp;cp=35.5841~45.3374&amp;sp=point.35.5841_45.3374","Maplink3")</f>
        <v>Maplink3</v>
      </c>
      <c r="AZ2832" s="76"/>
    </row>
    <row r="2833" spans="1:52" x14ac:dyDescent="0.25">
      <c r="A2833" s="86">
        <v>32011</v>
      </c>
      <c r="B2833" s="87" t="s">
        <v>27</v>
      </c>
      <c r="C2833" s="87" t="s">
        <v>5030</v>
      </c>
      <c r="D2833" s="87" t="s">
        <v>5371</v>
      </c>
      <c r="E2833" s="87" t="s">
        <v>5372</v>
      </c>
      <c r="F2833" s="87">
        <v>35.575783999999999</v>
      </c>
      <c r="G2833" s="87">
        <v>45.336949199999999</v>
      </c>
      <c r="H2833" s="86">
        <v>56</v>
      </c>
      <c r="I2833" s="86">
        <v>336</v>
      </c>
      <c r="J2833" s="87">
        <v>11</v>
      </c>
      <c r="K2833" s="87"/>
      <c r="L2833" s="87">
        <v>15</v>
      </c>
      <c r="M2833" s="87"/>
      <c r="N2833" s="87"/>
      <c r="O2833" s="87">
        <v>4</v>
      </c>
      <c r="P2833" s="87"/>
      <c r="Q2833" s="87"/>
      <c r="R2833" s="87">
        <v>10</v>
      </c>
      <c r="S2833" s="87"/>
      <c r="T2833" s="87"/>
      <c r="U2833" s="87"/>
      <c r="V2833" s="87">
        <v>2</v>
      </c>
      <c r="W2833" s="87"/>
      <c r="X2833" s="87">
        <v>14</v>
      </c>
      <c r="Y2833" s="87"/>
      <c r="Z2833" s="87"/>
      <c r="AA2833" s="87"/>
      <c r="AB2833" s="87"/>
      <c r="AC2833" s="87"/>
      <c r="AD2833" s="87"/>
      <c r="AE2833" s="87"/>
      <c r="AF2833" s="87"/>
      <c r="AG2833" s="87"/>
      <c r="AH2833" s="87">
        <v>52</v>
      </c>
      <c r="AI2833" s="87"/>
      <c r="AJ2833" s="87"/>
      <c r="AK2833" s="87"/>
      <c r="AL2833" s="87">
        <v>4</v>
      </c>
      <c r="AM2833" s="87"/>
      <c r="AN2833" s="87">
        <v>3</v>
      </c>
      <c r="AO2833" s="87">
        <v>11</v>
      </c>
      <c r="AP2833" s="87">
        <v>8</v>
      </c>
      <c r="AQ2833" s="87">
        <v>4</v>
      </c>
      <c r="AR2833" s="87">
        <v>7</v>
      </c>
      <c r="AS2833" s="87"/>
      <c r="AT2833" s="87">
        <v>5</v>
      </c>
      <c r="AU2833" s="87">
        <v>18</v>
      </c>
      <c r="AV2833" s="87"/>
      <c r="AW2833" s="88" t="str">
        <f>HYPERLINK("http://www.openstreetmap.org/?mlat=35.5758&amp;mlon=45.3369&amp;zoom=12#map=12/35.5758/45.3369","Maplink1")</f>
        <v>Maplink1</v>
      </c>
      <c r="AX2833" s="88" t="str">
        <f>HYPERLINK("https://www.google.iq/maps/search/+35.5758,45.3369/@35.5758,45.3369,14z?hl=en","Maplink2")</f>
        <v>Maplink2</v>
      </c>
      <c r="AY2833" s="88" t="str">
        <f>HYPERLINK("http://www.bing.com/maps/?lvl=14&amp;sty=h&amp;cp=35.5758~45.3369&amp;sp=point.35.5758_45.3369","Maplink3")</f>
        <v>Maplink3</v>
      </c>
      <c r="AZ2833" s="76"/>
    </row>
    <row r="2834" spans="1:52" x14ac:dyDescent="0.25">
      <c r="A2834" s="86">
        <v>32010</v>
      </c>
      <c r="B2834" s="87" t="s">
        <v>27</v>
      </c>
      <c r="C2834" s="87" t="s">
        <v>5030</v>
      </c>
      <c r="D2834" s="87" t="s">
        <v>5373</v>
      </c>
      <c r="E2834" s="87" t="s">
        <v>5374</v>
      </c>
      <c r="F2834" s="87">
        <v>35.572541800000003</v>
      </c>
      <c r="G2834" s="87">
        <v>45.341802600000001</v>
      </c>
      <c r="H2834" s="86">
        <v>47</v>
      </c>
      <c r="I2834" s="86">
        <v>282</v>
      </c>
      <c r="J2834" s="87">
        <v>8</v>
      </c>
      <c r="K2834" s="87"/>
      <c r="L2834" s="87">
        <v>13</v>
      </c>
      <c r="M2834" s="87"/>
      <c r="N2834" s="87"/>
      <c r="O2834" s="87">
        <v>2</v>
      </c>
      <c r="P2834" s="87"/>
      <c r="Q2834" s="87"/>
      <c r="R2834" s="87">
        <v>8</v>
      </c>
      <c r="S2834" s="87"/>
      <c r="T2834" s="87"/>
      <c r="U2834" s="87"/>
      <c r="V2834" s="87">
        <v>7</v>
      </c>
      <c r="W2834" s="87"/>
      <c r="X2834" s="87">
        <v>9</v>
      </c>
      <c r="Y2834" s="87"/>
      <c r="Z2834" s="87"/>
      <c r="AA2834" s="87"/>
      <c r="AB2834" s="87"/>
      <c r="AC2834" s="87"/>
      <c r="AD2834" s="87"/>
      <c r="AE2834" s="87"/>
      <c r="AF2834" s="87"/>
      <c r="AG2834" s="87"/>
      <c r="AH2834" s="87">
        <v>40</v>
      </c>
      <c r="AI2834" s="87"/>
      <c r="AJ2834" s="87"/>
      <c r="AK2834" s="87"/>
      <c r="AL2834" s="87">
        <v>7</v>
      </c>
      <c r="AM2834" s="87"/>
      <c r="AN2834" s="87"/>
      <c r="AO2834" s="87">
        <v>6</v>
      </c>
      <c r="AP2834" s="87">
        <v>19</v>
      </c>
      <c r="AQ2834" s="87">
        <v>8</v>
      </c>
      <c r="AR2834" s="87">
        <v>6</v>
      </c>
      <c r="AS2834" s="87"/>
      <c r="AT2834" s="87"/>
      <c r="AU2834" s="87">
        <v>8</v>
      </c>
      <c r="AV2834" s="87"/>
      <c r="AW2834" s="88" t="str">
        <f>HYPERLINK("http://www.openstreetmap.org/?mlat=35.5725&amp;mlon=45.3418&amp;zoom=12#map=12/35.5725/45.3418","Maplink1")</f>
        <v>Maplink1</v>
      </c>
      <c r="AX2834" s="88" t="str">
        <f>HYPERLINK("https://www.google.iq/maps/search/+35.5725,45.3418/@35.5725,45.3418,14z?hl=en","Maplink2")</f>
        <v>Maplink2</v>
      </c>
      <c r="AY2834" s="88" t="str">
        <f>HYPERLINK("http://www.bing.com/maps/?lvl=14&amp;sty=h&amp;cp=35.5725~45.3418&amp;sp=point.35.5725_45.3418","Maplink3")</f>
        <v>Maplink3</v>
      </c>
      <c r="AZ2834" s="76"/>
    </row>
    <row r="2835" spans="1:52" x14ac:dyDescent="0.25">
      <c r="A2835" s="86">
        <v>6311</v>
      </c>
      <c r="B2835" s="87" t="s">
        <v>27</v>
      </c>
      <c r="C2835" s="87" t="s">
        <v>5030</v>
      </c>
      <c r="D2835" s="87" t="s">
        <v>5375</v>
      </c>
      <c r="E2835" s="87" t="s">
        <v>5376</v>
      </c>
      <c r="F2835" s="87">
        <v>35.5613381</v>
      </c>
      <c r="G2835" s="87">
        <v>45.407555600000002</v>
      </c>
      <c r="H2835" s="86">
        <v>42</v>
      </c>
      <c r="I2835" s="86">
        <v>252</v>
      </c>
      <c r="J2835" s="87">
        <v>9</v>
      </c>
      <c r="K2835" s="87">
        <v>1</v>
      </c>
      <c r="L2835" s="87">
        <v>20</v>
      </c>
      <c r="M2835" s="87"/>
      <c r="N2835" s="87"/>
      <c r="O2835" s="87">
        <v>1</v>
      </c>
      <c r="P2835" s="87"/>
      <c r="Q2835" s="87"/>
      <c r="R2835" s="87"/>
      <c r="S2835" s="87"/>
      <c r="T2835" s="87"/>
      <c r="U2835" s="87"/>
      <c r="V2835" s="87">
        <v>11</v>
      </c>
      <c r="W2835" s="87"/>
      <c r="X2835" s="87"/>
      <c r="Y2835" s="87"/>
      <c r="Z2835" s="87"/>
      <c r="AA2835" s="87"/>
      <c r="AB2835" s="87"/>
      <c r="AC2835" s="87"/>
      <c r="AD2835" s="87"/>
      <c r="AE2835" s="87"/>
      <c r="AF2835" s="87"/>
      <c r="AG2835" s="87"/>
      <c r="AH2835" s="87">
        <v>41</v>
      </c>
      <c r="AI2835" s="87"/>
      <c r="AJ2835" s="87"/>
      <c r="AK2835" s="87"/>
      <c r="AL2835" s="87">
        <v>1</v>
      </c>
      <c r="AM2835" s="87"/>
      <c r="AN2835" s="87">
        <v>4</v>
      </c>
      <c r="AO2835" s="87">
        <v>6</v>
      </c>
      <c r="AP2835" s="87">
        <v>7</v>
      </c>
      <c r="AQ2835" s="87">
        <v>5</v>
      </c>
      <c r="AR2835" s="87">
        <v>6</v>
      </c>
      <c r="AS2835" s="87">
        <v>4</v>
      </c>
      <c r="AT2835" s="87">
        <v>6</v>
      </c>
      <c r="AU2835" s="87">
        <v>4</v>
      </c>
      <c r="AV2835" s="87"/>
      <c r="AW2835" s="88" t="str">
        <f>HYPERLINK("http://www.openstreetmap.org/?mlat=35.5613&amp;mlon=45.4076&amp;zoom=12#map=12/35.5613/45.4076","Maplink1")</f>
        <v>Maplink1</v>
      </c>
      <c r="AX2835" s="88" t="str">
        <f>HYPERLINK("https://www.google.iq/maps/search/+35.5613,45.4076/@35.5613,45.4076,14z?hl=en","Maplink2")</f>
        <v>Maplink2</v>
      </c>
      <c r="AY2835" s="88" t="str">
        <f>HYPERLINK("http://www.bing.com/maps/?lvl=14&amp;sty=h&amp;cp=35.5613~45.4076&amp;sp=point.35.5613_45.4076","Maplink3")</f>
        <v>Maplink3</v>
      </c>
      <c r="AZ2835" s="76"/>
    </row>
    <row r="2836" spans="1:52" x14ac:dyDescent="0.25">
      <c r="A2836" s="86">
        <v>31983</v>
      </c>
      <c r="B2836" s="87" t="s">
        <v>27</v>
      </c>
      <c r="C2836" s="87" t="s">
        <v>5030</v>
      </c>
      <c r="D2836" s="87" t="s">
        <v>5377</v>
      </c>
      <c r="E2836" s="87" t="s">
        <v>5378</v>
      </c>
      <c r="F2836" s="87">
        <v>35.562673699999998</v>
      </c>
      <c r="G2836" s="87">
        <v>45.397144099999998</v>
      </c>
      <c r="H2836" s="86">
        <v>92</v>
      </c>
      <c r="I2836" s="86">
        <v>552</v>
      </c>
      <c r="J2836" s="87">
        <v>14</v>
      </c>
      <c r="K2836" s="87">
        <v>3</v>
      </c>
      <c r="L2836" s="87">
        <v>41</v>
      </c>
      <c r="M2836" s="87"/>
      <c r="N2836" s="87"/>
      <c r="O2836" s="87">
        <v>6</v>
      </c>
      <c r="P2836" s="87"/>
      <c r="Q2836" s="87"/>
      <c r="R2836" s="87">
        <v>6</v>
      </c>
      <c r="S2836" s="87"/>
      <c r="T2836" s="87"/>
      <c r="U2836" s="87"/>
      <c r="V2836" s="87">
        <v>10</v>
      </c>
      <c r="W2836" s="87"/>
      <c r="X2836" s="87">
        <v>12</v>
      </c>
      <c r="Y2836" s="87"/>
      <c r="Z2836" s="87"/>
      <c r="AA2836" s="87"/>
      <c r="AB2836" s="87"/>
      <c r="AC2836" s="87"/>
      <c r="AD2836" s="87"/>
      <c r="AE2836" s="87"/>
      <c r="AF2836" s="87"/>
      <c r="AG2836" s="87"/>
      <c r="AH2836" s="87">
        <v>92</v>
      </c>
      <c r="AI2836" s="87"/>
      <c r="AJ2836" s="87"/>
      <c r="AK2836" s="87"/>
      <c r="AL2836" s="87"/>
      <c r="AM2836" s="87"/>
      <c r="AN2836" s="87">
        <v>6</v>
      </c>
      <c r="AO2836" s="87">
        <v>14</v>
      </c>
      <c r="AP2836" s="87">
        <v>16</v>
      </c>
      <c r="AQ2836" s="87">
        <v>12</v>
      </c>
      <c r="AR2836" s="87">
        <v>13</v>
      </c>
      <c r="AS2836" s="87">
        <v>9</v>
      </c>
      <c r="AT2836" s="87">
        <v>5</v>
      </c>
      <c r="AU2836" s="87">
        <v>9</v>
      </c>
      <c r="AV2836" s="87">
        <v>8</v>
      </c>
      <c r="AW2836" s="88" t="str">
        <f>HYPERLINK("http://www.openstreetmap.org/?mlat=35.5627&amp;mlon=45.3971&amp;zoom=12#map=12/35.5627/45.3971","Maplink1")</f>
        <v>Maplink1</v>
      </c>
      <c r="AX2836" s="88" t="str">
        <f>HYPERLINK("https://www.google.iq/maps/search/+35.5627,45.3971/@35.5627,45.3971,14z?hl=en","Maplink2")</f>
        <v>Maplink2</v>
      </c>
      <c r="AY2836" s="88" t="str">
        <f>HYPERLINK("http://www.bing.com/maps/?lvl=14&amp;sty=h&amp;cp=35.5627~45.3971&amp;sp=point.35.5627_45.3971","Maplink3")</f>
        <v>Maplink3</v>
      </c>
      <c r="AZ2836" s="76"/>
    </row>
    <row r="2837" spans="1:52" x14ac:dyDescent="0.25">
      <c r="A2837" s="86">
        <v>24095</v>
      </c>
      <c r="B2837" s="87" t="s">
        <v>27</v>
      </c>
      <c r="C2837" s="87" t="s">
        <v>5030</v>
      </c>
      <c r="D2837" s="87" t="s">
        <v>5379</v>
      </c>
      <c r="E2837" s="87" t="s">
        <v>4862</v>
      </c>
      <c r="F2837" s="87">
        <v>35.427558500000004</v>
      </c>
      <c r="G2837" s="87">
        <v>45.587523300000001</v>
      </c>
      <c r="H2837" s="86">
        <v>148</v>
      </c>
      <c r="I2837" s="86">
        <v>888</v>
      </c>
      <c r="J2837" s="87">
        <v>13</v>
      </c>
      <c r="K2837" s="87">
        <v>60</v>
      </c>
      <c r="L2837" s="87">
        <v>7</v>
      </c>
      <c r="M2837" s="87"/>
      <c r="N2837" s="87"/>
      <c r="O2837" s="87">
        <v>17</v>
      </c>
      <c r="P2837" s="87"/>
      <c r="Q2837" s="87"/>
      <c r="R2837" s="87"/>
      <c r="S2837" s="87"/>
      <c r="T2837" s="87"/>
      <c r="U2837" s="87"/>
      <c r="V2837" s="87"/>
      <c r="W2837" s="87"/>
      <c r="X2837" s="87">
        <v>51</v>
      </c>
      <c r="Y2837" s="87"/>
      <c r="Z2837" s="87"/>
      <c r="AA2837" s="87"/>
      <c r="AB2837" s="87"/>
      <c r="AC2837" s="87"/>
      <c r="AD2837" s="87"/>
      <c r="AE2837" s="87"/>
      <c r="AF2837" s="87"/>
      <c r="AG2837" s="87"/>
      <c r="AH2837" s="87">
        <v>129</v>
      </c>
      <c r="AI2837" s="87"/>
      <c r="AJ2837" s="87"/>
      <c r="AK2837" s="87">
        <v>19</v>
      </c>
      <c r="AL2837" s="87"/>
      <c r="AM2837" s="87"/>
      <c r="AN2837" s="87">
        <v>2</v>
      </c>
      <c r="AO2837" s="87">
        <v>57</v>
      </c>
      <c r="AP2837" s="87">
        <v>40</v>
      </c>
      <c r="AQ2837" s="87">
        <v>33</v>
      </c>
      <c r="AR2837" s="87">
        <v>10</v>
      </c>
      <c r="AS2837" s="87">
        <v>1</v>
      </c>
      <c r="AT2837" s="87"/>
      <c r="AU2837" s="87">
        <v>5</v>
      </c>
      <c r="AV2837" s="87"/>
      <c r="AW2837" s="88" t="str">
        <f>HYPERLINK("http://www.openstreetmap.org/?mlat=35.4276&amp;mlon=45.5875&amp;zoom=12#map=12/35.4276/45.5875","Maplink1")</f>
        <v>Maplink1</v>
      </c>
      <c r="AX2837" s="88" t="str">
        <f>HYPERLINK("https://www.google.iq/maps/search/+35.4276,45.5875/@35.4276,45.5875,14z?hl=en","Maplink2")</f>
        <v>Maplink2</v>
      </c>
      <c r="AY2837" s="88" t="str">
        <f>HYPERLINK("http://www.bing.com/maps/?lvl=14&amp;sty=h&amp;cp=35.4276~45.5875&amp;sp=point.35.4276_45.5875","Maplink3")</f>
        <v>Maplink3</v>
      </c>
      <c r="AZ2837" s="76"/>
    </row>
    <row r="2838" spans="1:52" x14ac:dyDescent="0.25">
      <c r="A2838" s="86">
        <v>24259</v>
      </c>
      <c r="B2838" s="87" t="s">
        <v>27</v>
      </c>
      <c r="C2838" s="87" t="s">
        <v>5030</v>
      </c>
      <c r="D2838" s="87" t="s">
        <v>5380</v>
      </c>
      <c r="E2838" s="87" t="s">
        <v>5381</v>
      </c>
      <c r="F2838" s="87">
        <v>35.588520500000001</v>
      </c>
      <c r="G2838" s="87">
        <v>45.4263634</v>
      </c>
      <c r="H2838" s="86">
        <v>92</v>
      </c>
      <c r="I2838" s="86">
        <v>552</v>
      </c>
      <c r="J2838" s="87">
        <v>22</v>
      </c>
      <c r="K2838" s="87">
        <v>3</v>
      </c>
      <c r="L2838" s="87">
        <v>45</v>
      </c>
      <c r="M2838" s="87"/>
      <c r="N2838" s="87"/>
      <c r="O2838" s="87">
        <v>4</v>
      </c>
      <c r="P2838" s="87"/>
      <c r="Q2838" s="87"/>
      <c r="R2838" s="87"/>
      <c r="S2838" s="87"/>
      <c r="T2838" s="87"/>
      <c r="U2838" s="87"/>
      <c r="V2838" s="87">
        <v>10</v>
      </c>
      <c r="W2838" s="87"/>
      <c r="X2838" s="87">
        <v>8</v>
      </c>
      <c r="Y2838" s="87"/>
      <c r="Z2838" s="87"/>
      <c r="AA2838" s="87"/>
      <c r="AB2838" s="87"/>
      <c r="AC2838" s="87"/>
      <c r="AD2838" s="87"/>
      <c r="AE2838" s="87"/>
      <c r="AF2838" s="87"/>
      <c r="AG2838" s="87"/>
      <c r="AH2838" s="87">
        <v>67</v>
      </c>
      <c r="AI2838" s="87"/>
      <c r="AJ2838" s="87"/>
      <c r="AK2838" s="87"/>
      <c r="AL2838" s="87">
        <v>25</v>
      </c>
      <c r="AM2838" s="87"/>
      <c r="AN2838" s="87">
        <v>10</v>
      </c>
      <c r="AO2838" s="87">
        <v>19</v>
      </c>
      <c r="AP2838" s="87">
        <v>6</v>
      </c>
      <c r="AQ2838" s="87">
        <v>25</v>
      </c>
      <c r="AR2838" s="87">
        <v>9</v>
      </c>
      <c r="AS2838" s="87">
        <v>4</v>
      </c>
      <c r="AT2838" s="87">
        <v>5</v>
      </c>
      <c r="AU2838" s="87">
        <v>8</v>
      </c>
      <c r="AV2838" s="87">
        <v>6</v>
      </c>
      <c r="AW2838" s="88" t="str">
        <f>HYPERLINK("http://www.openstreetmap.org/?mlat=35.5885&amp;mlon=45.4264&amp;zoom=12#map=12/35.5885/45.4264","Maplink1")</f>
        <v>Maplink1</v>
      </c>
      <c r="AX2838" s="88" t="str">
        <f>HYPERLINK("https://www.google.iq/maps/search/+35.5885,45.4264/@35.5885,45.4264,14z?hl=en","Maplink2")</f>
        <v>Maplink2</v>
      </c>
      <c r="AY2838" s="88" t="str">
        <f>HYPERLINK("http://www.bing.com/maps/?lvl=14&amp;sty=h&amp;cp=35.5885~45.4264&amp;sp=point.35.5885_45.4264","Maplink3")</f>
        <v>Maplink3</v>
      </c>
      <c r="AZ2838" s="76"/>
    </row>
    <row r="2839" spans="1:52" x14ac:dyDescent="0.25">
      <c r="A2839" s="86">
        <v>24256</v>
      </c>
      <c r="B2839" s="87" t="s">
        <v>27</v>
      </c>
      <c r="C2839" s="87" t="s">
        <v>5030</v>
      </c>
      <c r="D2839" s="87" t="s">
        <v>5382</v>
      </c>
      <c r="E2839" s="87" t="s">
        <v>5383</v>
      </c>
      <c r="F2839" s="87">
        <v>35.547544299999998</v>
      </c>
      <c r="G2839" s="87">
        <v>45.4514937</v>
      </c>
      <c r="H2839" s="86">
        <v>53</v>
      </c>
      <c r="I2839" s="86">
        <v>318</v>
      </c>
      <c r="J2839" s="87">
        <v>20</v>
      </c>
      <c r="K2839" s="87">
        <v>2</v>
      </c>
      <c r="L2839" s="87">
        <v>10</v>
      </c>
      <c r="M2839" s="87"/>
      <c r="N2839" s="87"/>
      <c r="O2839" s="87">
        <v>7</v>
      </c>
      <c r="P2839" s="87"/>
      <c r="Q2839" s="87"/>
      <c r="R2839" s="87"/>
      <c r="S2839" s="87"/>
      <c r="T2839" s="87"/>
      <c r="U2839" s="87"/>
      <c r="V2839" s="87">
        <v>5</v>
      </c>
      <c r="W2839" s="87"/>
      <c r="X2839" s="87">
        <v>9</v>
      </c>
      <c r="Y2839" s="87"/>
      <c r="Z2839" s="87"/>
      <c r="AA2839" s="87"/>
      <c r="AB2839" s="87"/>
      <c r="AC2839" s="87"/>
      <c r="AD2839" s="87"/>
      <c r="AE2839" s="87"/>
      <c r="AF2839" s="87"/>
      <c r="AG2839" s="87"/>
      <c r="AH2839" s="87">
        <v>52</v>
      </c>
      <c r="AI2839" s="87"/>
      <c r="AJ2839" s="87"/>
      <c r="AK2839" s="87"/>
      <c r="AL2839" s="87">
        <v>1</v>
      </c>
      <c r="AM2839" s="87"/>
      <c r="AN2839" s="87"/>
      <c r="AO2839" s="87">
        <v>5</v>
      </c>
      <c r="AP2839" s="87">
        <v>3</v>
      </c>
      <c r="AQ2839" s="87">
        <v>9</v>
      </c>
      <c r="AR2839" s="87">
        <v>12</v>
      </c>
      <c r="AS2839" s="87">
        <v>10</v>
      </c>
      <c r="AT2839" s="87">
        <v>5</v>
      </c>
      <c r="AU2839" s="87">
        <v>8</v>
      </c>
      <c r="AV2839" s="87">
        <v>1</v>
      </c>
      <c r="AW2839" s="88" t="str">
        <f>HYPERLINK("http://www.openstreetmap.org/?mlat=35.5475&amp;mlon=45.4515&amp;zoom=12#map=12/35.5475/45.4515","Maplink1")</f>
        <v>Maplink1</v>
      </c>
      <c r="AX2839" s="88" t="str">
        <f>HYPERLINK("https://www.google.iq/maps/search/+35.5475,45.4515/@35.5475,45.4515,14z?hl=en","Maplink2")</f>
        <v>Maplink2</v>
      </c>
      <c r="AY2839" s="88" t="str">
        <f>HYPERLINK("http://www.bing.com/maps/?lvl=14&amp;sty=h&amp;cp=35.5475~45.4515&amp;sp=point.35.5475_45.4515","Maplink3")</f>
        <v>Maplink3</v>
      </c>
      <c r="AZ2839" s="76"/>
    </row>
    <row r="2840" spans="1:52" x14ac:dyDescent="0.25">
      <c r="A2840" s="86">
        <v>24819</v>
      </c>
      <c r="B2840" s="87" t="s">
        <v>27</v>
      </c>
      <c r="C2840" s="87" t="s">
        <v>5030</v>
      </c>
      <c r="D2840" s="87" t="s">
        <v>5384</v>
      </c>
      <c r="E2840" s="87" t="s">
        <v>5385</v>
      </c>
      <c r="F2840" s="87">
        <v>35.598347199999999</v>
      </c>
      <c r="G2840" s="87">
        <v>45.3417873</v>
      </c>
      <c r="H2840" s="86">
        <v>65</v>
      </c>
      <c r="I2840" s="86">
        <v>390</v>
      </c>
      <c r="J2840" s="87">
        <v>7</v>
      </c>
      <c r="K2840" s="87"/>
      <c r="L2840" s="87">
        <v>10</v>
      </c>
      <c r="M2840" s="87"/>
      <c r="N2840" s="87"/>
      <c r="O2840" s="87"/>
      <c r="P2840" s="87"/>
      <c r="Q2840" s="87"/>
      <c r="R2840" s="87">
        <v>15</v>
      </c>
      <c r="S2840" s="87"/>
      <c r="T2840" s="87"/>
      <c r="U2840" s="87"/>
      <c r="V2840" s="87">
        <v>3</v>
      </c>
      <c r="W2840" s="87"/>
      <c r="X2840" s="87">
        <v>30</v>
      </c>
      <c r="Y2840" s="87"/>
      <c r="Z2840" s="87"/>
      <c r="AA2840" s="87"/>
      <c r="AB2840" s="87"/>
      <c r="AC2840" s="87"/>
      <c r="AD2840" s="87"/>
      <c r="AE2840" s="87"/>
      <c r="AF2840" s="87"/>
      <c r="AG2840" s="87"/>
      <c r="AH2840" s="87">
        <v>55</v>
      </c>
      <c r="AI2840" s="87"/>
      <c r="AJ2840" s="87"/>
      <c r="AK2840" s="87"/>
      <c r="AL2840" s="87">
        <v>10</v>
      </c>
      <c r="AM2840" s="87"/>
      <c r="AN2840" s="87"/>
      <c r="AO2840" s="87">
        <v>14</v>
      </c>
      <c r="AP2840" s="87">
        <v>12</v>
      </c>
      <c r="AQ2840" s="87">
        <v>7</v>
      </c>
      <c r="AR2840" s="87">
        <v>4</v>
      </c>
      <c r="AS2840" s="87">
        <v>3</v>
      </c>
      <c r="AT2840" s="87"/>
      <c r="AU2840" s="87">
        <v>25</v>
      </c>
      <c r="AV2840" s="87"/>
      <c r="AW2840" s="88" t="str">
        <f>HYPERLINK("http://www.openstreetmap.org/?mlat=35.5983&amp;mlon=45.3418&amp;zoom=12#map=12/35.5983/45.3418","Maplink1")</f>
        <v>Maplink1</v>
      </c>
      <c r="AX2840" s="88" t="str">
        <f>HYPERLINK("https://www.google.iq/maps/search/+35.5983,45.3418/@35.5983,45.3418,14z?hl=en","Maplink2")</f>
        <v>Maplink2</v>
      </c>
      <c r="AY2840" s="88" t="str">
        <f>HYPERLINK("http://www.bing.com/maps/?lvl=14&amp;sty=h&amp;cp=35.5983~45.3418&amp;sp=point.35.5983_45.3418","Maplink3")</f>
        <v>Maplink3</v>
      </c>
      <c r="AZ2840" s="76"/>
    </row>
    <row r="2841" spans="1:52" x14ac:dyDescent="0.25">
      <c r="A2841" s="86">
        <v>21021</v>
      </c>
      <c r="B2841" s="87" t="s">
        <v>27</v>
      </c>
      <c r="C2841" s="87" t="s">
        <v>5030</v>
      </c>
      <c r="D2841" s="87" t="s">
        <v>5386</v>
      </c>
      <c r="E2841" s="87" t="s">
        <v>5387</v>
      </c>
      <c r="F2841" s="87">
        <v>35.554011299999999</v>
      </c>
      <c r="G2841" s="87">
        <v>45.445644100000003</v>
      </c>
      <c r="H2841" s="86">
        <v>64</v>
      </c>
      <c r="I2841" s="86">
        <v>384</v>
      </c>
      <c r="J2841" s="87">
        <v>20</v>
      </c>
      <c r="K2841" s="87">
        <v>9</v>
      </c>
      <c r="L2841" s="87">
        <v>8</v>
      </c>
      <c r="M2841" s="87"/>
      <c r="N2841" s="87"/>
      <c r="O2841" s="87">
        <v>5</v>
      </c>
      <c r="P2841" s="87"/>
      <c r="Q2841" s="87"/>
      <c r="R2841" s="87"/>
      <c r="S2841" s="87"/>
      <c r="T2841" s="87"/>
      <c r="U2841" s="87"/>
      <c r="V2841" s="87">
        <v>10</v>
      </c>
      <c r="W2841" s="87"/>
      <c r="X2841" s="87">
        <v>12</v>
      </c>
      <c r="Y2841" s="87"/>
      <c r="Z2841" s="87"/>
      <c r="AA2841" s="87"/>
      <c r="AB2841" s="87"/>
      <c r="AC2841" s="87"/>
      <c r="AD2841" s="87">
        <v>14</v>
      </c>
      <c r="AE2841" s="87"/>
      <c r="AF2841" s="87"/>
      <c r="AG2841" s="87">
        <v>7</v>
      </c>
      <c r="AH2841" s="87">
        <v>43</v>
      </c>
      <c r="AI2841" s="87"/>
      <c r="AJ2841" s="87"/>
      <c r="AK2841" s="87"/>
      <c r="AL2841" s="87"/>
      <c r="AM2841" s="87"/>
      <c r="AN2841" s="87">
        <v>7</v>
      </c>
      <c r="AO2841" s="87">
        <v>8</v>
      </c>
      <c r="AP2841" s="87">
        <v>10</v>
      </c>
      <c r="AQ2841" s="87">
        <v>21</v>
      </c>
      <c r="AR2841" s="87">
        <v>10</v>
      </c>
      <c r="AS2841" s="87">
        <v>5</v>
      </c>
      <c r="AT2841" s="87"/>
      <c r="AU2841" s="87">
        <v>2</v>
      </c>
      <c r="AV2841" s="87">
        <v>1</v>
      </c>
      <c r="AW2841" s="88" t="str">
        <f>HYPERLINK("http://www.openstreetmap.org/?mlat=35.554&amp;mlon=45.4456&amp;zoom=12#map=12/35.554/45.4456","Maplink1")</f>
        <v>Maplink1</v>
      </c>
      <c r="AX2841" s="88" t="str">
        <f>HYPERLINK("https://www.google.iq/maps/search/+35.554,45.4456/@35.554,45.4456,14z?hl=en","Maplink2")</f>
        <v>Maplink2</v>
      </c>
      <c r="AY2841" s="88" t="str">
        <f>HYPERLINK("http://www.bing.com/maps/?lvl=14&amp;sty=h&amp;cp=35.554~45.4456&amp;sp=point.35.554_45.4456","Maplink3")</f>
        <v>Maplink3</v>
      </c>
      <c r="AZ2841" s="76"/>
    </row>
    <row r="2842" spans="1:52" x14ac:dyDescent="0.25">
      <c r="A2842" s="86">
        <v>24816</v>
      </c>
      <c r="B2842" s="87" t="s">
        <v>27</v>
      </c>
      <c r="C2842" s="87" t="s">
        <v>5030</v>
      </c>
      <c r="D2842" s="87" t="s">
        <v>5388</v>
      </c>
      <c r="E2842" s="87" t="s">
        <v>5389</v>
      </c>
      <c r="F2842" s="87">
        <v>35.534218699999997</v>
      </c>
      <c r="G2842" s="87">
        <v>45.413184600000001</v>
      </c>
      <c r="H2842" s="86">
        <v>231</v>
      </c>
      <c r="I2842" s="86">
        <v>1386</v>
      </c>
      <c r="J2842" s="87">
        <v>16</v>
      </c>
      <c r="K2842" s="87"/>
      <c r="L2842" s="87">
        <v>97</v>
      </c>
      <c r="M2842" s="87"/>
      <c r="N2842" s="87"/>
      <c r="O2842" s="87">
        <v>16</v>
      </c>
      <c r="P2842" s="87"/>
      <c r="Q2842" s="87"/>
      <c r="R2842" s="87">
        <v>14</v>
      </c>
      <c r="S2842" s="87"/>
      <c r="T2842" s="87"/>
      <c r="U2842" s="87"/>
      <c r="V2842" s="87">
        <v>59</v>
      </c>
      <c r="W2842" s="87"/>
      <c r="X2842" s="87">
        <v>29</v>
      </c>
      <c r="Y2842" s="87"/>
      <c r="Z2842" s="87"/>
      <c r="AA2842" s="87"/>
      <c r="AB2842" s="87"/>
      <c r="AC2842" s="87"/>
      <c r="AD2842" s="87"/>
      <c r="AE2842" s="87"/>
      <c r="AF2842" s="87"/>
      <c r="AG2842" s="87"/>
      <c r="AH2842" s="87">
        <v>223</v>
      </c>
      <c r="AI2842" s="87"/>
      <c r="AJ2842" s="87"/>
      <c r="AK2842" s="87"/>
      <c r="AL2842" s="87">
        <v>8</v>
      </c>
      <c r="AM2842" s="87"/>
      <c r="AN2842" s="87"/>
      <c r="AO2842" s="87">
        <v>1</v>
      </c>
      <c r="AP2842" s="87"/>
      <c r="AQ2842" s="87">
        <v>31</v>
      </c>
      <c r="AR2842" s="87">
        <v>74</v>
      </c>
      <c r="AS2842" s="87">
        <v>33</v>
      </c>
      <c r="AT2842" s="87">
        <v>60</v>
      </c>
      <c r="AU2842" s="87">
        <v>28</v>
      </c>
      <c r="AV2842" s="87">
        <v>4</v>
      </c>
      <c r="AW2842" s="88" t="str">
        <f>HYPERLINK("http://www.openstreetmap.org/?mlat=35.5342&amp;mlon=45.4132&amp;zoom=12#map=12/35.5342/45.4132","Maplink1")</f>
        <v>Maplink1</v>
      </c>
      <c r="AX2842" s="88" t="str">
        <f>HYPERLINK("https://www.google.iq/maps/search/+35.5342,45.4132/@35.5342,45.4132,14z?hl=en","Maplink2")</f>
        <v>Maplink2</v>
      </c>
      <c r="AY2842" s="88" t="str">
        <f>HYPERLINK("http://www.bing.com/maps/?lvl=14&amp;sty=h&amp;cp=35.5342~45.4132&amp;sp=point.35.5342_45.4132","Maplink3")</f>
        <v>Maplink3</v>
      </c>
      <c r="AZ2842" s="76"/>
    </row>
    <row r="2843" spans="1:52" x14ac:dyDescent="0.25">
      <c r="A2843" s="86">
        <v>25306</v>
      </c>
      <c r="B2843" s="87" t="s">
        <v>27</v>
      </c>
      <c r="C2843" s="87" t="s">
        <v>5030</v>
      </c>
      <c r="D2843" s="87" t="s">
        <v>5390</v>
      </c>
      <c r="E2843" s="87" t="s">
        <v>5391</v>
      </c>
      <c r="F2843" s="87">
        <v>35.5488529</v>
      </c>
      <c r="G2843" s="87">
        <v>45.446308700000003</v>
      </c>
      <c r="H2843" s="86">
        <v>43</v>
      </c>
      <c r="I2843" s="86">
        <v>258</v>
      </c>
      <c r="J2843" s="87">
        <v>8</v>
      </c>
      <c r="K2843" s="87">
        <v>6</v>
      </c>
      <c r="L2843" s="87">
        <v>9</v>
      </c>
      <c r="M2843" s="87"/>
      <c r="N2843" s="87"/>
      <c r="O2843" s="87">
        <v>6</v>
      </c>
      <c r="P2843" s="87"/>
      <c r="Q2843" s="87"/>
      <c r="R2843" s="87">
        <v>3</v>
      </c>
      <c r="S2843" s="87"/>
      <c r="T2843" s="87"/>
      <c r="U2843" s="87"/>
      <c r="V2843" s="87">
        <v>2</v>
      </c>
      <c r="W2843" s="87"/>
      <c r="X2843" s="87">
        <v>9</v>
      </c>
      <c r="Y2843" s="87"/>
      <c r="Z2843" s="87"/>
      <c r="AA2843" s="87"/>
      <c r="AB2843" s="87"/>
      <c r="AC2843" s="87"/>
      <c r="AD2843" s="87"/>
      <c r="AE2843" s="87"/>
      <c r="AF2843" s="87"/>
      <c r="AG2843" s="87"/>
      <c r="AH2843" s="87">
        <v>43</v>
      </c>
      <c r="AI2843" s="87"/>
      <c r="AJ2843" s="87"/>
      <c r="AK2843" s="87"/>
      <c r="AL2843" s="87"/>
      <c r="AM2843" s="87"/>
      <c r="AN2843" s="87">
        <v>1</v>
      </c>
      <c r="AO2843" s="87">
        <v>8</v>
      </c>
      <c r="AP2843" s="87"/>
      <c r="AQ2843" s="87">
        <v>13</v>
      </c>
      <c r="AR2843" s="87">
        <v>3</v>
      </c>
      <c r="AS2843" s="87">
        <v>9</v>
      </c>
      <c r="AT2843" s="87">
        <v>4</v>
      </c>
      <c r="AU2843" s="87">
        <v>5</v>
      </c>
      <c r="AV2843" s="87"/>
      <c r="AW2843" s="88" t="str">
        <f>HYPERLINK("http://www.openstreetmap.org/?mlat=35.5489&amp;mlon=45.4463&amp;zoom=12#map=12/35.5489/45.4463","Maplink1")</f>
        <v>Maplink1</v>
      </c>
      <c r="AX2843" s="88" t="str">
        <f>HYPERLINK("https://www.google.iq/maps/search/+35.5489,45.4463/@35.5489,45.4463,14z?hl=en","Maplink2")</f>
        <v>Maplink2</v>
      </c>
      <c r="AY2843" s="88" t="str">
        <f>HYPERLINK("http://www.bing.com/maps/?lvl=14&amp;sty=h&amp;cp=35.5489~45.4463&amp;sp=point.35.5489_45.4463","Maplink3")</f>
        <v>Maplink3</v>
      </c>
      <c r="AZ2843" s="76"/>
    </row>
    <row r="2844" spans="1:52" x14ac:dyDescent="0.25">
      <c r="A2844" s="86">
        <v>4442</v>
      </c>
      <c r="B2844" s="87" t="s">
        <v>27</v>
      </c>
      <c r="C2844" s="87" t="s">
        <v>5030</v>
      </c>
      <c r="D2844" s="87" t="s">
        <v>5392</v>
      </c>
      <c r="E2844" s="87" t="s">
        <v>5393</v>
      </c>
      <c r="F2844" s="87">
        <v>35.440623600000002</v>
      </c>
      <c r="G2844" s="87">
        <v>45.445855000000002</v>
      </c>
      <c r="H2844" s="86">
        <v>7</v>
      </c>
      <c r="I2844" s="86">
        <v>42</v>
      </c>
      <c r="J2844" s="87">
        <v>2</v>
      </c>
      <c r="K2844" s="87"/>
      <c r="L2844" s="87">
        <v>1</v>
      </c>
      <c r="M2844" s="87"/>
      <c r="N2844" s="87"/>
      <c r="O2844" s="87">
        <v>3</v>
      </c>
      <c r="P2844" s="87"/>
      <c r="Q2844" s="87"/>
      <c r="R2844" s="87">
        <v>1</v>
      </c>
      <c r="S2844" s="87"/>
      <c r="T2844" s="87"/>
      <c r="U2844" s="87"/>
      <c r="V2844" s="87"/>
      <c r="W2844" s="87"/>
      <c r="X2844" s="87"/>
      <c r="Y2844" s="87"/>
      <c r="Z2844" s="87"/>
      <c r="AA2844" s="87"/>
      <c r="AB2844" s="87"/>
      <c r="AC2844" s="87"/>
      <c r="AD2844" s="87"/>
      <c r="AE2844" s="87"/>
      <c r="AF2844" s="87"/>
      <c r="AG2844" s="87"/>
      <c r="AH2844" s="87">
        <v>7</v>
      </c>
      <c r="AI2844" s="87"/>
      <c r="AJ2844" s="87"/>
      <c r="AK2844" s="87"/>
      <c r="AL2844" s="87"/>
      <c r="AM2844" s="87"/>
      <c r="AN2844" s="87">
        <v>2</v>
      </c>
      <c r="AO2844" s="87">
        <v>2</v>
      </c>
      <c r="AP2844" s="87">
        <v>1</v>
      </c>
      <c r="AQ2844" s="87"/>
      <c r="AR2844" s="87"/>
      <c r="AS2844" s="87">
        <v>1</v>
      </c>
      <c r="AT2844" s="87"/>
      <c r="AU2844" s="87"/>
      <c r="AV2844" s="87">
        <v>1</v>
      </c>
      <c r="AW2844" s="88" t="str">
        <f>HYPERLINK("http://www.openstreetmap.org/?mlat=35.4406&amp;mlon=45.4459&amp;zoom=12#map=12/35.4406/45.4459","Maplink1")</f>
        <v>Maplink1</v>
      </c>
      <c r="AX2844" s="88" t="str">
        <f>HYPERLINK("https://www.google.iq/maps/search/+35.4406,45.4459/@35.4406,45.4459,14z?hl=en","Maplink2")</f>
        <v>Maplink2</v>
      </c>
      <c r="AY2844" s="88" t="str">
        <f>HYPERLINK("http://www.bing.com/maps/?lvl=14&amp;sty=h&amp;cp=35.4406~45.4459&amp;sp=point.35.4406_45.4459","Maplink3")</f>
        <v>Maplink3</v>
      </c>
      <c r="AZ2844" s="76"/>
    </row>
    <row r="2845" spans="1:52" x14ac:dyDescent="0.25">
      <c r="A2845" s="86">
        <v>31951</v>
      </c>
      <c r="B2845" s="87" t="s">
        <v>27</v>
      </c>
      <c r="C2845" s="87" t="s">
        <v>5030</v>
      </c>
      <c r="D2845" s="87" t="s">
        <v>5394</v>
      </c>
      <c r="E2845" s="87" t="s">
        <v>5395</v>
      </c>
      <c r="F2845" s="87">
        <v>35.541480900000003</v>
      </c>
      <c r="G2845" s="87">
        <v>45.462270599999997</v>
      </c>
      <c r="H2845" s="86">
        <v>29</v>
      </c>
      <c r="I2845" s="86">
        <v>174</v>
      </c>
      <c r="J2845" s="87">
        <v>4</v>
      </c>
      <c r="K2845" s="87"/>
      <c r="L2845" s="87">
        <v>6</v>
      </c>
      <c r="M2845" s="87"/>
      <c r="N2845" s="87"/>
      <c r="O2845" s="87">
        <v>4</v>
      </c>
      <c r="P2845" s="87"/>
      <c r="Q2845" s="87"/>
      <c r="R2845" s="87"/>
      <c r="S2845" s="87"/>
      <c r="T2845" s="87"/>
      <c r="U2845" s="87"/>
      <c r="V2845" s="87"/>
      <c r="W2845" s="87"/>
      <c r="X2845" s="87">
        <v>15</v>
      </c>
      <c r="Y2845" s="87"/>
      <c r="Z2845" s="87"/>
      <c r="AA2845" s="87"/>
      <c r="AB2845" s="87"/>
      <c r="AC2845" s="87"/>
      <c r="AD2845" s="87"/>
      <c r="AE2845" s="87"/>
      <c r="AF2845" s="87"/>
      <c r="AG2845" s="87"/>
      <c r="AH2845" s="87">
        <v>29</v>
      </c>
      <c r="AI2845" s="87"/>
      <c r="AJ2845" s="87"/>
      <c r="AK2845" s="87"/>
      <c r="AL2845" s="87"/>
      <c r="AM2845" s="87"/>
      <c r="AN2845" s="87"/>
      <c r="AO2845" s="87">
        <v>7</v>
      </c>
      <c r="AP2845" s="87"/>
      <c r="AQ2845" s="87"/>
      <c r="AR2845" s="87"/>
      <c r="AS2845" s="87">
        <v>10</v>
      </c>
      <c r="AT2845" s="87">
        <v>10</v>
      </c>
      <c r="AU2845" s="87">
        <v>2</v>
      </c>
      <c r="AV2845" s="87"/>
      <c r="AW2845" s="88" t="str">
        <f>HYPERLINK("http://www.openstreetmap.org/?mlat=35.5415&amp;mlon=45.4623&amp;zoom=12#map=12/35.5415/45.4623","Maplink1")</f>
        <v>Maplink1</v>
      </c>
      <c r="AX2845" s="88" t="str">
        <f>HYPERLINK("https://www.google.iq/maps/search/+35.5415,45.4623/@35.5415,45.4623,14z?hl=en","Maplink2")</f>
        <v>Maplink2</v>
      </c>
      <c r="AY2845" s="88" t="str">
        <f>HYPERLINK("http://www.bing.com/maps/?lvl=14&amp;sty=h&amp;cp=35.5415~45.4623&amp;sp=point.35.5415_45.4623","Maplink3")</f>
        <v>Maplink3</v>
      </c>
      <c r="AZ2845" s="76"/>
    </row>
    <row r="2846" spans="1:52" x14ac:dyDescent="0.25">
      <c r="A2846" s="86">
        <v>31949</v>
      </c>
      <c r="B2846" s="87" t="s">
        <v>27</v>
      </c>
      <c r="C2846" s="87" t="s">
        <v>5030</v>
      </c>
      <c r="D2846" s="87" t="s">
        <v>5396</v>
      </c>
      <c r="E2846" s="87" t="s">
        <v>5397</v>
      </c>
      <c r="F2846" s="87">
        <v>35.529547600000001</v>
      </c>
      <c r="G2846" s="87">
        <v>45.480995499999999</v>
      </c>
      <c r="H2846" s="86">
        <v>195</v>
      </c>
      <c r="I2846" s="86">
        <v>1170</v>
      </c>
      <c r="J2846" s="87">
        <v>34</v>
      </c>
      <c r="K2846" s="87">
        <v>2</v>
      </c>
      <c r="L2846" s="87">
        <v>59</v>
      </c>
      <c r="M2846" s="87"/>
      <c r="N2846" s="87"/>
      <c r="O2846" s="87">
        <v>25</v>
      </c>
      <c r="P2846" s="87"/>
      <c r="Q2846" s="87"/>
      <c r="R2846" s="87"/>
      <c r="S2846" s="87"/>
      <c r="T2846" s="87"/>
      <c r="U2846" s="87"/>
      <c r="V2846" s="87">
        <v>48</v>
      </c>
      <c r="W2846" s="87"/>
      <c r="X2846" s="87">
        <v>27</v>
      </c>
      <c r="Y2846" s="87"/>
      <c r="Z2846" s="87"/>
      <c r="AA2846" s="87"/>
      <c r="AB2846" s="87"/>
      <c r="AC2846" s="87"/>
      <c r="AD2846" s="87"/>
      <c r="AE2846" s="87"/>
      <c r="AF2846" s="87"/>
      <c r="AG2846" s="87"/>
      <c r="AH2846" s="87">
        <v>165</v>
      </c>
      <c r="AI2846" s="87"/>
      <c r="AJ2846" s="87"/>
      <c r="AK2846" s="87"/>
      <c r="AL2846" s="87">
        <v>30</v>
      </c>
      <c r="AM2846" s="87"/>
      <c r="AN2846" s="87">
        <v>9</v>
      </c>
      <c r="AO2846" s="87">
        <v>35</v>
      </c>
      <c r="AP2846" s="87">
        <v>17</v>
      </c>
      <c r="AQ2846" s="87">
        <v>34</v>
      </c>
      <c r="AR2846" s="87">
        <v>27</v>
      </c>
      <c r="AS2846" s="87">
        <v>35</v>
      </c>
      <c r="AT2846" s="87">
        <v>19</v>
      </c>
      <c r="AU2846" s="87">
        <v>10</v>
      </c>
      <c r="AV2846" s="87">
        <v>9</v>
      </c>
      <c r="AW2846" s="88" t="str">
        <f>HYPERLINK("http://www.openstreetmap.org/?mlat=35.5295&amp;mlon=45.481&amp;zoom=12#map=12/35.5295/45.481","Maplink1")</f>
        <v>Maplink1</v>
      </c>
      <c r="AX2846" s="88" t="str">
        <f>HYPERLINK("https://www.google.iq/maps/search/+35.5295,45.481/@35.5295,45.481,14z?hl=en","Maplink2")</f>
        <v>Maplink2</v>
      </c>
      <c r="AY2846" s="88" t="str">
        <f>HYPERLINK("http://www.bing.com/maps/?lvl=14&amp;sty=h&amp;cp=35.5295~45.481&amp;sp=point.35.5295_45.481","Maplink3")</f>
        <v>Maplink3</v>
      </c>
      <c r="AZ2846" s="76"/>
    </row>
    <row r="2847" spans="1:52" x14ac:dyDescent="0.25">
      <c r="A2847" s="86">
        <v>4441</v>
      </c>
      <c r="B2847" s="87" t="s">
        <v>27</v>
      </c>
      <c r="C2847" s="87" t="s">
        <v>5030</v>
      </c>
      <c r="D2847" s="87" t="s">
        <v>5398</v>
      </c>
      <c r="E2847" s="87" t="s">
        <v>5399</v>
      </c>
      <c r="F2847" s="87">
        <v>35.580283899999998</v>
      </c>
      <c r="G2847" s="87">
        <v>45.383580100000003</v>
      </c>
      <c r="H2847" s="86">
        <v>398</v>
      </c>
      <c r="I2847" s="86">
        <v>2388</v>
      </c>
      <c r="J2847" s="87">
        <v>228</v>
      </c>
      <c r="K2847" s="87">
        <v>6</v>
      </c>
      <c r="L2847" s="87">
        <v>58</v>
      </c>
      <c r="M2847" s="87"/>
      <c r="N2847" s="87"/>
      <c r="O2847" s="87">
        <v>34</v>
      </c>
      <c r="P2847" s="87"/>
      <c r="Q2847" s="87"/>
      <c r="R2847" s="87">
        <v>14</v>
      </c>
      <c r="S2847" s="87"/>
      <c r="T2847" s="87"/>
      <c r="U2847" s="87"/>
      <c r="V2847" s="87">
        <v>32</v>
      </c>
      <c r="W2847" s="87"/>
      <c r="X2847" s="87">
        <v>26</v>
      </c>
      <c r="Y2847" s="87"/>
      <c r="Z2847" s="87"/>
      <c r="AA2847" s="87"/>
      <c r="AB2847" s="87"/>
      <c r="AC2847" s="87"/>
      <c r="AD2847" s="87"/>
      <c r="AE2847" s="87"/>
      <c r="AF2847" s="87"/>
      <c r="AG2847" s="87"/>
      <c r="AH2847" s="87">
        <v>398</v>
      </c>
      <c r="AI2847" s="87"/>
      <c r="AJ2847" s="87"/>
      <c r="AK2847" s="87"/>
      <c r="AL2847" s="87"/>
      <c r="AM2847" s="87"/>
      <c r="AN2847" s="87">
        <v>17</v>
      </c>
      <c r="AO2847" s="87">
        <v>35</v>
      </c>
      <c r="AP2847" s="87">
        <v>30</v>
      </c>
      <c r="AQ2847" s="87">
        <v>80</v>
      </c>
      <c r="AR2847" s="87">
        <v>109</v>
      </c>
      <c r="AS2847" s="87">
        <v>51</v>
      </c>
      <c r="AT2847" s="87">
        <v>11</v>
      </c>
      <c r="AU2847" s="87">
        <v>47</v>
      </c>
      <c r="AV2847" s="87">
        <v>18</v>
      </c>
      <c r="AW2847" s="88" t="str">
        <f>HYPERLINK("http://www.openstreetmap.org/?mlat=35.5803&amp;mlon=45.3836&amp;zoom=12#map=12/35.5803/45.3836","Maplink1")</f>
        <v>Maplink1</v>
      </c>
      <c r="AX2847" s="88" t="str">
        <f>HYPERLINK("https://www.google.iq/maps/search/+35.5803,45.3836/@35.5803,45.3836,14z?hl=en","Maplink2")</f>
        <v>Maplink2</v>
      </c>
      <c r="AY2847" s="88" t="str">
        <f>HYPERLINK("http://www.bing.com/maps/?lvl=14&amp;sty=h&amp;cp=35.5803~45.3836&amp;sp=point.35.5803_45.3836","Maplink3")</f>
        <v>Maplink3</v>
      </c>
      <c r="AZ2847" s="76"/>
    </row>
    <row r="2848" spans="1:52" x14ac:dyDescent="0.25">
      <c r="A2848" s="86">
        <v>24258</v>
      </c>
      <c r="B2848" s="87" t="s">
        <v>27</v>
      </c>
      <c r="C2848" s="87" t="s">
        <v>5030</v>
      </c>
      <c r="D2848" s="87" t="s">
        <v>5400</v>
      </c>
      <c r="E2848" s="87" t="s">
        <v>5401</v>
      </c>
      <c r="F2848" s="87">
        <v>35.540676099999999</v>
      </c>
      <c r="G2848" s="87">
        <v>45.477035299999997</v>
      </c>
      <c r="H2848" s="86">
        <v>2</v>
      </c>
      <c r="I2848" s="86">
        <v>12</v>
      </c>
      <c r="J2848" s="87">
        <v>1</v>
      </c>
      <c r="K2848" s="87"/>
      <c r="L2848" s="87"/>
      <c r="M2848" s="87"/>
      <c r="N2848" s="87"/>
      <c r="O2848" s="87">
        <v>1</v>
      </c>
      <c r="P2848" s="87"/>
      <c r="Q2848" s="87"/>
      <c r="R2848" s="87"/>
      <c r="S2848" s="87"/>
      <c r="T2848" s="87"/>
      <c r="U2848" s="87"/>
      <c r="V2848" s="87"/>
      <c r="W2848" s="87"/>
      <c r="X2848" s="87"/>
      <c r="Y2848" s="87"/>
      <c r="Z2848" s="87"/>
      <c r="AA2848" s="87"/>
      <c r="AB2848" s="87"/>
      <c r="AC2848" s="87"/>
      <c r="AD2848" s="87"/>
      <c r="AE2848" s="87"/>
      <c r="AF2848" s="87"/>
      <c r="AG2848" s="87"/>
      <c r="AH2848" s="87">
        <v>2</v>
      </c>
      <c r="AI2848" s="87"/>
      <c r="AJ2848" s="87"/>
      <c r="AK2848" s="87"/>
      <c r="AL2848" s="87"/>
      <c r="AM2848" s="87"/>
      <c r="AN2848" s="87">
        <v>1</v>
      </c>
      <c r="AO2848" s="87"/>
      <c r="AP2848" s="87"/>
      <c r="AQ2848" s="87">
        <v>1</v>
      </c>
      <c r="AR2848" s="87"/>
      <c r="AS2848" s="87"/>
      <c r="AT2848" s="87"/>
      <c r="AU2848" s="87"/>
      <c r="AV2848" s="87"/>
      <c r="AW2848" s="88" t="str">
        <f>HYPERLINK("http://www.openstreetmap.org/?mlat=35.5407&amp;mlon=45.477&amp;zoom=12#map=12/35.5407/45.477","Maplink1")</f>
        <v>Maplink1</v>
      </c>
      <c r="AX2848" s="88" t="str">
        <f>HYPERLINK("https://www.google.iq/maps/search/+35.5407,45.477/@35.5407,45.477,14z?hl=en","Maplink2")</f>
        <v>Maplink2</v>
      </c>
      <c r="AY2848" s="88" t="str">
        <f>HYPERLINK("http://www.bing.com/maps/?lvl=14&amp;sty=h&amp;cp=35.5407~45.477&amp;sp=point.35.5407_45.477","Maplink3")</f>
        <v>Maplink3</v>
      </c>
      <c r="AZ2848" s="76"/>
    </row>
    <row r="2849" spans="1:52" x14ac:dyDescent="0.25">
      <c r="A2849" s="86">
        <v>24961</v>
      </c>
      <c r="B2849" s="87" t="s">
        <v>27</v>
      </c>
      <c r="C2849" s="87" t="s">
        <v>5030</v>
      </c>
      <c r="D2849" s="87" t="s">
        <v>5402</v>
      </c>
      <c r="E2849" s="87" t="s">
        <v>5403</v>
      </c>
      <c r="F2849" s="87">
        <v>35.588731000000003</v>
      </c>
      <c r="G2849" s="87">
        <v>45.428782699999999</v>
      </c>
      <c r="H2849" s="86">
        <v>71</v>
      </c>
      <c r="I2849" s="86">
        <v>426</v>
      </c>
      <c r="J2849" s="87">
        <v>26</v>
      </c>
      <c r="K2849" s="87"/>
      <c r="L2849" s="87">
        <v>15</v>
      </c>
      <c r="M2849" s="87"/>
      <c r="N2849" s="87"/>
      <c r="O2849" s="87">
        <v>6</v>
      </c>
      <c r="P2849" s="87"/>
      <c r="Q2849" s="87"/>
      <c r="R2849" s="87">
        <v>6</v>
      </c>
      <c r="S2849" s="87"/>
      <c r="T2849" s="87"/>
      <c r="U2849" s="87"/>
      <c r="V2849" s="87">
        <v>12</v>
      </c>
      <c r="W2849" s="87"/>
      <c r="X2849" s="87">
        <v>6</v>
      </c>
      <c r="Y2849" s="87"/>
      <c r="Z2849" s="87"/>
      <c r="AA2849" s="87"/>
      <c r="AB2849" s="87"/>
      <c r="AC2849" s="87"/>
      <c r="AD2849" s="87"/>
      <c r="AE2849" s="87"/>
      <c r="AF2849" s="87"/>
      <c r="AG2849" s="87"/>
      <c r="AH2849" s="87">
        <v>71</v>
      </c>
      <c r="AI2849" s="87"/>
      <c r="AJ2849" s="87"/>
      <c r="AK2849" s="87"/>
      <c r="AL2849" s="87"/>
      <c r="AM2849" s="87"/>
      <c r="AN2849" s="87">
        <v>4</v>
      </c>
      <c r="AO2849" s="87">
        <v>10</v>
      </c>
      <c r="AP2849" s="87">
        <v>25</v>
      </c>
      <c r="AQ2849" s="87">
        <v>11</v>
      </c>
      <c r="AR2849" s="87">
        <v>8</v>
      </c>
      <c r="AS2849" s="87">
        <v>6</v>
      </c>
      <c r="AT2849" s="87"/>
      <c r="AU2849" s="87">
        <v>7</v>
      </c>
      <c r="AV2849" s="87"/>
      <c r="AW2849" s="88" t="str">
        <f>HYPERLINK("http://www.openstreetmap.org/?mlat=35.5887&amp;mlon=45.4288&amp;zoom=12#map=12/35.5887/45.4288","Maplink1")</f>
        <v>Maplink1</v>
      </c>
      <c r="AX2849" s="88" t="str">
        <f>HYPERLINK("https://www.google.iq/maps/search/+35.5887,45.4288/@35.5887,45.4288,14z?hl=en","Maplink2")</f>
        <v>Maplink2</v>
      </c>
      <c r="AY2849" s="88" t="str">
        <f>HYPERLINK("http://www.bing.com/maps/?lvl=14&amp;sty=h&amp;cp=35.5887~45.4288&amp;sp=point.35.5887_45.4288","Maplink3")</f>
        <v>Maplink3</v>
      </c>
      <c r="AZ2849" s="76"/>
    </row>
    <row r="2850" spans="1:52" x14ac:dyDescent="0.25">
      <c r="A2850" s="86">
        <v>21023</v>
      </c>
      <c r="B2850" s="87" t="s">
        <v>27</v>
      </c>
      <c r="C2850" s="87" t="s">
        <v>5030</v>
      </c>
      <c r="D2850" s="87" t="s">
        <v>5404</v>
      </c>
      <c r="E2850" s="87" t="s">
        <v>5405</v>
      </c>
      <c r="F2850" s="87">
        <v>35.547179200000002</v>
      </c>
      <c r="G2850" s="87">
        <v>45.434860299999997</v>
      </c>
      <c r="H2850" s="86">
        <v>41</v>
      </c>
      <c r="I2850" s="86">
        <v>246</v>
      </c>
      <c r="J2850" s="87">
        <v>20</v>
      </c>
      <c r="K2850" s="87"/>
      <c r="L2850" s="87">
        <v>10</v>
      </c>
      <c r="M2850" s="87"/>
      <c r="N2850" s="87"/>
      <c r="O2850" s="87">
        <v>1</v>
      </c>
      <c r="P2850" s="87"/>
      <c r="Q2850" s="87"/>
      <c r="R2850" s="87">
        <v>2</v>
      </c>
      <c r="S2850" s="87"/>
      <c r="T2850" s="87"/>
      <c r="U2850" s="87"/>
      <c r="V2850" s="87"/>
      <c r="W2850" s="87"/>
      <c r="X2850" s="87">
        <v>8</v>
      </c>
      <c r="Y2850" s="87"/>
      <c r="Z2850" s="87"/>
      <c r="AA2850" s="87"/>
      <c r="AB2850" s="87"/>
      <c r="AC2850" s="87"/>
      <c r="AD2850" s="87"/>
      <c r="AE2850" s="87"/>
      <c r="AF2850" s="87"/>
      <c r="AG2850" s="87"/>
      <c r="AH2850" s="87">
        <v>41</v>
      </c>
      <c r="AI2850" s="87"/>
      <c r="AJ2850" s="87"/>
      <c r="AK2850" s="87"/>
      <c r="AL2850" s="87"/>
      <c r="AM2850" s="87"/>
      <c r="AN2850" s="87">
        <v>5</v>
      </c>
      <c r="AO2850" s="87">
        <v>5</v>
      </c>
      <c r="AP2850" s="87">
        <v>3</v>
      </c>
      <c r="AQ2850" s="87">
        <v>5</v>
      </c>
      <c r="AR2850" s="87">
        <v>9</v>
      </c>
      <c r="AS2850" s="87">
        <v>12</v>
      </c>
      <c r="AT2850" s="87"/>
      <c r="AU2850" s="87">
        <v>2</v>
      </c>
      <c r="AV2850" s="87"/>
      <c r="AW2850" s="88" t="str">
        <f>HYPERLINK("http://www.openstreetmap.org/?mlat=35.5472&amp;mlon=45.4349&amp;zoom=12#map=12/35.5472/45.4349","Maplink1")</f>
        <v>Maplink1</v>
      </c>
      <c r="AX2850" s="88" t="str">
        <f>HYPERLINK("https://www.google.iq/maps/search/+35.5472,45.4349/@35.5472,45.4349,14z?hl=en","Maplink2")</f>
        <v>Maplink2</v>
      </c>
      <c r="AY2850" s="88" t="str">
        <f>HYPERLINK("http://www.bing.com/maps/?lvl=14&amp;sty=h&amp;cp=35.5472~45.4349&amp;sp=point.35.5472_45.4349","Maplink3")</f>
        <v>Maplink3</v>
      </c>
      <c r="AZ2850" s="76"/>
    </row>
    <row r="2851" spans="1:52" x14ac:dyDescent="0.25">
      <c r="A2851" s="86">
        <v>24255</v>
      </c>
      <c r="B2851" s="87" t="s">
        <v>27</v>
      </c>
      <c r="C2851" s="87" t="s">
        <v>5030</v>
      </c>
      <c r="D2851" s="87" t="s">
        <v>5406</v>
      </c>
      <c r="E2851" s="87" t="s">
        <v>5407</v>
      </c>
      <c r="F2851" s="87">
        <v>35.583409699999997</v>
      </c>
      <c r="G2851" s="87">
        <v>45.416355000000003</v>
      </c>
      <c r="H2851" s="86">
        <v>102</v>
      </c>
      <c r="I2851" s="86">
        <v>612</v>
      </c>
      <c r="J2851" s="87">
        <v>30</v>
      </c>
      <c r="K2851" s="87">
        <v>4</v>
      </c>
      <c r="L2851" s="87">
        <v>43</v>
      </c>
      <c r="M2851" s="87"/>
      <c r="N2851" s="87"/>
      <c r="O2851" s="87">
        <v>7</v>
      </c>
      <c r="P2851" s="87"/>
      <c r="Q2851" s="87"/>
      <c r="R2851" s="87">
        <v>1</v>
      </c>
      <c r="S2851" s="87"/>
      <c r="T2851" s="87"/>
      <c r="U2851" s="87"/>
      <c r="V2851" s="87">
        <v>5</v>
      </c>
      <c r="W2851" s="87"/>
      <c r="X2851" s="87">
        <v>12</v>
      </c>
      <c r="Y2851" s="87"/>
      <c r="Z2851" s="87"/>
      <c r="AA2851" s="87"/>
      <c r="AB2851" s="87"/>
      <c r="AC2851" s="87"/>
      <c r="AD2851" s="87"/>
      <c r="AE2851" s="87"/>
      <c r="AF2851" s="87"/>
      <c r="AG2851" s="87"/>
      <c r="AH2851" s="87">
        <v>99</v>
      </c>
      <c r="AI2851" s="87"/>
      <c r="AJ2851" s="87"/>
      <c r="AK2851" s="87"/>
      <c r="AL2851" s="87">
        <v>3</v>
      </c>
      <c r="AM2851" s="87"/>
      <c r="AN2851" s="87">
        <v>8</v>
      </c>
      <c r="AO2851" s="87">
        <v>22</v>
      </c>
      <c r="AP2851" s="87">
        <v>13</v>
      </c>
      <c r="AQ2851" s="87">
        <v>23</v>
      </c>
      <c r="AR2851" s="87">
        <v>12</v>
      </c>
      <c r="AS2851" s="87">
        <v>20</v>
      </c>
      <c r="AT2851" s="87">
        <v>3</v>
      </c>
      <c r="AU2851" s="87">
        <v>1</v>
      </c>
      <c r="AV2851" s="87"/>
      <c r="AW2851" s="88" t="str">
        <f>HYPERLINK("http://www.openstreetmap.org/?mlat=35.5834&amp;mlon=45.4164&amp;zoom=12#map=12/35.5834/45.4164","Maplink1")</f>
        <v>Maplink1</v>
      </c>
      <c r="AX2851" s="88" t="str">
        <f>HYPERLINK("https://www.google.iq/maps/search/+35.5834,45.4164/@35.5834,45.4164,14z?hl=en","Maplink2")</f>
        <v>Maplink2</v>
      </c>
      <c r="AY2851" s="88" t="str">
        <f>HYPERLINK("http://www.bing.com/maps/?lvl=14&amp;sty=h&amp;cp=35.5834~45.4164&amp;sp=point.35.5834_45.4164","Maplink3")</f>
        <v>Maplink3</v>
      </c>
      <c r="AZ2851" s="76"/>
    </row>
    <row r="2852" spans="1:52" x14ac:dyDescent="0.25">
      <c r="A2852" s="86">
        <v>24815</v>
      </c>
      <c r="B2852" s="87" t="s">
        <v>27</v>
      </c>
      <c r="C2852" s="87" t="s">
        <v>5030</v>
      </c>
      <c r="D2852" s="87" t="s">
        <v>5408</v>
      </c>
      <c r="E2852" s="87" t="s">
        <v>5409</v>
      </c>
      <c r="F2852" s="87">
        <v>35.607059300000003</v>
      </c>
      <c r="G2852" s="87">
        <v>45.343018600000001</v>
      </c>
      <c r="H2852" s="86">
        <v>90</v>
      </c>
      <c r="I2852" s="86">
        <v>540</v>
      </c>
      <c r="J2852" s="87">
        <v>17</v>
      </c>
      <c r="K2852" s="87"/>
      <c r="L2852" s="87">
        <v>7</v>
      </c>
      <c r="M2852" s="87"/>
      <c r="N2852" s="87"/>
      <c r="O2852" s="87">
        <v>2</v>
      </c>
      <c r="P2852" s="87"/>
      <c r="Q2852" s="87"/>
      <c r="R2852" s="87"/>
      <c r="S2852" s="87"/>
      <c r="T2852" s="87"/>
      <c r="U2852" s="87"/>
      <c r="V2852" s="87">
        <v>4</v>
      </c>
      <c r="W2852" s="87"/>
      <c r="X2852" s="87">
        <v>60</v>
      </c>
      <c r="Y2852" s="87"/>
      <c r="Z2852" s="87"/>
      <c r="AA2852" s="87"/>
      <c r="AB2852" s="87"/>
      <c r="AC2852" s="87"/>
      <c r="AD2852" s="87"/>
      <c r="AE2852" s="87"/>
      <c r="AF2852" s="87"/>
      <c r="AG2852" s="87"/>
      <c r="AH2852" s="87">
        <v>80</v>
      </c>
      <c r="AI2852" s="87"/>
      <c r="AJ2852" s="87"/>
      <c r="AK2852" s="87"/>
      <c r="AL2852" s="87">
        <v>10</v>
      </c>
      <c r="AM2852" s="87"/>
      <c r="AN2852" s="87">
        <v>6</v>
      </c>
      <c r="AO2852" s="87">
        <v>39</v>
      </c>
      <c r="AP2852" s="87">
        <v>16</v>
      </c>
      <c r="AQ2852" s="87">
        <v>7</v>
      </c>
      <c r="AR2852" s="87"/>
      <c r="AS2852" s="87"/>
      <c r="AT2852" s="87"/>
      <c r="AU2852" s="87">
        <v>22</v>
      </c>
      <c r="AV2852" s="87"/>
      <c r="AW2852" s="88" t="str">
        <f>HYPERLINK("http://www.openstreetmap.org/?mlat=35.6071&amp;mlon=45.343&amp;zoom=12#map=12/35.6071/45.343","Maplink1")</f>
        <v>Maplink1</v>
      </c>
      <c r="AX2852" s="88" t="str">
        <f>HYPERLINK("https://www.google.iq/maps/search/+35.6071,45.343/@35.6071,45.343,14z?hl=en","Maplink2")</f>
        <v>Maplink2</v>
      </c>
      <c r="AY2852" s="88" t="str">
        <f>HYPERLINK("http://www.bing.com/maps/?lvl=14&amp;sty=h&amp;cp=35.6071~45.343&amp;sp=point.35.6071_45.343","Maplink3")</f>
        <v>Maplink3</v>
      </c>
      <c r="AZ2852" s="76"/>
    </row>
    <row r="2853" spans="1:52" x14ac:dyDescent="0.25">
      <c r="A2853" s="86">
        <v>4575</v>
      </c>
      <c r="B2853" s="87" t="s">
        <v>27</v>
      </c>
      <c r="C2853" s="87" t="s">
        <v>5030</v>
      </c>
      <c r="D2853" s="87" t="s">
        <v>5927</v>
      </c>
      <c r="E2853" s="87" t="s">
        <v>5928</v>
      </c>
      <c r="F2853" s="87">
        <v>35.218265700000003</v>
      </c>
      <c r="G2853" s="87">
        <v>45.495958899999998</v>
      </c>
      <c r="H2853" s="86">
        <v>1</v>
      </c>
      <c r="I2853" s="86">
        <v>6</v>
      </c>
      <c r="J2853" s="87"/>
      <c r="K2853" s="87"/>
      <c r="L2853" s="87"/>
      <c r="M2853" s="87"/>
      <c r="N2853" s="87"/>
      <c r="O2853" s="87"/>
      <c r="P2853" s="87"/>
      <c r="Q2853" s="87"/>
      <c r="R2853" s="87"/>
      <c r="S2853" s="87"/>
      <c r="T2853" s="87"/>
      <c r="U2853" s="87"/>
      <c r="V2853" s="87"/>
      <c r="W2853" s="87"/>
      <c r="X2853" s="87">
        <v>1</v>
      </c>
      <c r="Y2853" s="87"/>
      <c r="Z2853" s="87"/>
      <c r="AA2853" s="87"/>
      <c r="AB2853" s="87"/>
      <c r="AC2853" s="87"/>
      <c r="AD2853" s="87"/>
      <c r="AE2853" s="87"/>
      <c r="AF2853" s="87"/>
      <c r="AG2853" s="87"/>
      <c r="AH2853" s="87">
        <v>1</v>
      </c>
      <c r="AI2853" s="87"/>
      <c r="AJ2853" s="87"/>
      <c r="AK2853" s="87"/>
      <c r="AL2853" s="87"/>
      <c r="AM2853" s="87"/>
      <c r="AN2853" s="87"/>
      <c r="AO2853" s="87"/>
      <c r="AP2853" s="87"/>
      <c r="AQ2853" s="87"/>
      <c r="AR2853" s="87"/>
      <c r="AS2853" s="87"/>
      <c r="AT2853" s="87"/>
      <c r="AU2853" s="87"/>
      <c r="AV2853" s="87">
        <v>1</v>
      </c>
      <c r="AW2853" s="88" t="str">
        <f>HYPERLINK("http://www.openstreetmap.org/?mlat=35.2183&amp;mlon=45.496&amp;zoom=12#map=12/35.2183/45.496","Maplink1")</f>
        <v>Maplink1</v>
      </c>
      <c r="AX2853" s="88" t="str">
        <f>HYPERLINK("https://www.google.iq/maps/search/+35.2183,45.496/@35.2183,45.496,14z?hl=en","Maplink2")</f>
        <v>Maplink2</v>
      </c>
      <c r="AY2853" s="88" t="str">
        <f>HYPERLINK("http://www.bing.com/maps/?lvl=14&amp;sty=h&amp;cp=35.2183~45.496&amp;sp=point.35.2183_45.496","Maplink3")</f>
        <v>Maplink3</v>
      </c>
      <c r="AZ2853" s="76"/>
    </row>
    <row r="2854" spans="1:52" x14ac:dyDescent="0.25">
      <c r="A2854" s="86">
        <v>32067</v>
      </c>
      <c r="B2854" s="87" t="s">
        <v>27</v>
      </c>
      <c r="C2854" s="87" t="s">
        <v>5030</v>
      </c>
      <c r="D2854" s="87" t="s">
        <v>5410</v>
      </c>
      <c r="E2854" s="87" t="s">
        <v>5411</v>
      </c>
      <c r="F2854" s="87">
        <v>35.556034400000001</v>
      </c>
      <c r="G2854" s="87">
        <v>45.348507499999997</v>
      </c>
      <c r="H2854" s="86">
        <v>113</v>
      </c>
      <c r="I2854" s="86">
        <v>678</v>
      </c>
      <c r="J2854" s="87">
        <v>25</v>
      </c>
      <c r="K2854" s="87"/>
      <c r="L2854" s="87">
        <v>26</v>
      </c>
      <c r="M2854" s="87"/>
      <c r="N2854" s="87"/>
      <c r="O2854" s="87">
        <v>10</v>
      </c>
      <c r="P2854" s="87"/>
      <c r="Q2854" s="87"/>
      <c r="R2854" s="87">
        <v>35</v>
      </c>
      <c r="S2854" s="87"/>
      <c r="T2854" s="87"/>
      <c r="U2854" s="87"/>
      <c r="V2854" s="87">
        <v>7</v>
      </c>
      <c r="W2854" s="87"/>
      <c r="X2854" s="87">
        <v>10</v>
      </c>
      <c r="Y2854" s="87"/>
      <c r="Z2854" s="87"/>
      <c r="AA2854" s="87"/>
      <c r="AB2854" s="87"/>
      <c r="AC2854" s="87"/>
      <c r="AD2854" s="87"/>
      <c r="AE2854" s="87"/>
      <c r="AF2854" s="87"/>
      <c r="AG2854" s="87"/>
      <c r="AH2854" s="87">
        <v>113</v>
      </c>
      <c r="AI2854" s="87"/>
      <c r="AJ2854" s="87"/>
      <c r="AK2854" s="87"/>
      <c r="AL2854" s="87"/>
      <c r="AM2854" s="87"/>
      <c r="AN2854" s="87">
        <v>12</v>
      </c>
      <c r="AO2854" s="87">
        <v>24</v>
      </c>
      <c r="AP2854" s="87">
        <v>13</v>
      </c>
      <c r="AQ2854" s="87">
        <v>15</v>
      </c>
      <c r="AR2854" s="87">
        <v>4</v>
      </c>
      <c r="AS2854" s="87">
        <v>4</v>
      </c>
      <c r="AT2854" s="87">
        <v>6</v>
      </c>
      <c r="AU2854" s="87">
        <v>35</v>
      </c>
      <c r="AV2854" s="87"/>
      <c r="AW2854" s="88" t="str">
        <f>HYPERLINK("http://www.openstreetmap.org/?mlat=35.556&amp;mlon=45.3485&amp;zoom=12#map=12/35.556/45.3485","Maplink1")</f>
        <v>Maplink1</v>
      </c>
      <c r="AX2854" s="88" t="str">
        <f>HYPERLINK("https://www.google.iq/maps/search/+35.556,45.3485/@35.556,45.3485,14z?hl=en","Maplink2")</f>
        <v>Maplink2</v>
      </c>
      <c r="AY2854" s="88" t="str">
        <f>HYPERLINK("http://www.bing.com/maps/?lvl=14&amp;sty=h&amp;cp=35.556~45.3485&amp;sp=point.35.556_45.3485","Maplink3")</f>
        <v>Maplink3</v>
      </c>
      <c r="AZ2854" s="76"/>
    </row>
    <row r="2855" spans="1:52" x14ac:dyDescent="0.25">
      <c r="A2855" s="86">
        <v>33379</v>
      </c>
      <c r="B2855" s="87" t="s">
        <v>27</v>
      </c>
      <c r="C2855" s="87" t="s">
        <v>5030</v>
      </c>
      <c r="D2855" s="87" t="s">
        <v>5412</v>
      </c>
      <c r="E2855" s="87" t="s">
        <v>5413</v>
      </c>
      <c r="F2855" s="87">
        <v>35.5652271063</v>
      </c>
      <c r="G2855" s="87">
        <v>45.463033699999997</v>
      </c>
      <c r="H2855" s="86">
        <v>29</v>
      </c>
      <c r="I2855" s="86">
        <v>174</v>
      </c>
      <c r="J2855" s="87">
        <v>8</v>
      </c>
      <c r="K2855" s="87">
        <v>9</v>
      </c>
      <c r="L2855" s="87">
        <v>6</v>
      </c>
      <c r="M2855" s="87"/>
      <c r="N2855" s="87"/>
      <c r="O2855" s="87"/>
      <c r="P2855" s="87"/>
      <c r="Q2855" s="87"/>
      <c r="R2855" s="87"/>
      <c r="S2855" s="87"/>
      <c r="T2855" s="87"/>
      <c r="U2855" s="87"/>
      <c r="V2855" s="87"/>
      <c r="W2855" s="87"/>
      <c r="X2855" s="87">
        <v>6</v>
      </c>
      <c r="Y2855" s="87"/>
      <c r="Z2855" s="87"/>
      <c r="AA2855" s="87"/>
      <c r="AB2855" s="87"/>
      <c r="AC2855" s="87"/>
      <c r="AD2855" s="87"/>
      <c r="AE2855" s="87"/>
      <c r="AF2855" s="87"/>
      <c r="AG2855" s="87"/>
      <c r="AH2855" s="87">
        <v>29</v>
      </c>
      <c r="AI2855" s="87"/>
      <c r="AJ2855" s="87"/>
      <c r="AK2855" s="87"/>
      <c r="AL2855" s="87"/>
      <c r="AM2855" s="87"/>
      <c r="AN2855" s="87">
        <v>8</v>
      </c>
      <c r="AO2855" s="87">
        <v>14</v>
      </c>
      <c r="AP2855" s="87"/>
      <c r="AQ2855" s="87"/>
      <c r="AR2855" s="87">
        <v>3</v>
      </c>
      <c r="AS2855" s="87">
        <v>4</v>
      </c>
      <c r="AT2855" s="87"/>
      <c r="AU2855" s="87"/>
      <c r="AV2855" s="87"/>
      <c r="AW2855" s="88" t="str">
        <f>HYPERLINK("http://www.openstreetmap.org/?mlat=35.5652&amp;mlon=45.463&amp;zoom=12#map=12/35.5652/45.463","Maplink1")</f>
        <v>Maplink1</v>
      </c>
      <c r="AX2855" s="88" t="str">
        <f>HYPERLINK("https://www.google.iq/maps/search/+35.5652,45.463/@35.5652,45.463,14z?hl=en","Maplink2")</f>
        <v>Maplink2</v>
      </c>
      <c r="AY2855" s="88" t="str">
        <f>HYPERLINK("http://www.bing.com/maps/?lvl=14&amp;sty=h&amp;cp=35.5652~45.463&amp;sp=point.35.5652_45.463","Maplink3")</f>
        <v>Maplink3</v>
      </c>
      <c r="AZ2855" s="76"/>
    </row>
    <row r="2856" spans="1:52" x14ac:dyDescent="0.25">
      <c r="A2856" s="86">
        <v>24902</v>
      </c>
      <c r="B2856" s="87" t="s">
        <v>27</v>
      </c>
      <c r="C2856" s="87" t="s">
        <v>5030</v>
      </c>
      <c r="D2856" s="87" t="s">
        <v>5414</v>
      </c>
      <c r="E2856" s="87" t="s">
        <v>5415</v>
      </c>
      <c r="F2856" s="87">
        <v>35.568739000000001</v>
      </c>
      <c r="G2856" s="87">
        <v>45.378121999999998</v>
      </c>
      <c r="H2856" s="86">
        <v>29</v>
      </c>
      <c r="I2856" s="86">
        <v>174</v>
      </c>
      <c r="J2856" s="87">
        <v>2</v>
      </c>
      <c r="K2856" s="87"/>
      <c r="L2856" s="87">
        <v>12</v>
      </c>
      <c r="M2856" s="87"/>
      <c r="N2856" s="87"/>
      <c r="O2856" s="87">
        <v>6</v>
      </c>
      <c r="P2856" s="87"/>
      <c r="Q2856" s="87"/>
      <c r="R2856" s="87"/>
      <c r="S2856" s="87"/>
      <c r="T2856" s="87"/>
      <c r="U2856" s="87"/>
      <c r="V2856" s="87">
        <v>3</v>
      </c>
      <c r="W2856" s="87"/>
      <c r="X2856" s="87">
        <v>6</v>
      </c>
      <c r="Y2856" s="87"/>
      <c r="Z2856" s="87"/>
      <c r="AA2856" s="87"/>
      <c r="AB2856" s="87"/>
      <c r="AC2856" s="87"/>
      <c r="AD2856" s="87"/>
      <c r="AE2856" s="87"/>
      <c r="AF2856" s="87"/>
      <c r="AG2856" s="87"/>
      <c r="AH2856" s="87">
        <v>29</v>
      </c>
      <c r="AI2856" s="87"/>
      <c r="AJ2856" s="87"/>
      <c r="AK2856" s="87"/>
      <c r="AL2856" s="87"/>
      <c r="AM2856" s="87"/>
      <c r="AN2856" s="87">
        <v>1</v>
      </c>
      <c r="AO2856" s="87">
        <v>6</v>
      </c>
      <c r="AP2856" s="87">
        <v>1</v>
      </c>
      <c r="AQ2856" s="87">
        <v>2</v>
      </c>
      <c r="AR2856" s="87">
        <v>2</v>
      </c>
      <c r="AS2856" s="87"/>
      <c r="AT2856" s="87">
        <v>1</v>
      </c>
      <c r="AU2856" s="87">
        <v>12</v>
      </c>
      <c r="AV2856" s="87">
        <v>4</v>
      </c>
      <c r="AW2856" s="88" t="str">
        <f>HYPERLINK("http://www.openstreetmap.org/?mlat=35.5687&amp;mlon=45.3781&amp;zoom=12#map=12/35.5687/45.3781","Maplink1")</f>
        <v>Maplink1</v>
      </c>
      <c r="AX2856" s="88" t="str">
        <f>HYPERLINK("https://www.google.iq/maps/search/+35.5687,45.3781/@35.5687,45.3781,14z?hl=en","Maplink2")</f>
        <v>Maplink2</v>
      </c>
      <c r="AY2856" s="88" t="str">
        <f>HYPERLINK("http://www.bing.com/maps/?lvl=14&amp;sty=h&amp;cp=35.5687~45.3781&amp;sp=point.35.5687_45.3781","Maplink3")</f>
        <v>Maplink3</v>
      </c>
      <c r="AZ2856" s="76"/>
    </row>
    <row r="2857" spans="1:52" x14ac:dyDescent="0.25">
      <c r="A2857" s="86">
        <v>5800</v>
      </c>
      <c r="B2857" s="87" t="s">
        <v>27</v>
      </c>
      <c r="C2857" s="87" t="s">
        <v>5030</v>
      </c>
      <c r="D2857" s="87" t="s">
        <v>5416</v>
      </c>
      <c r="E2857" s="87" t="s">
        <v>5417</v>
      </c>
      <c r="F2857" s="87">
        <v>35.527146500000001</v>
      </c>
      <c r="G2857" s="87">
        <v>45.428749600000003</v>
      </c>
      <c r="H2857" s="86">
        <v>52</v>
      </c>
      <c r="I2857" s="86">
        <v>312</v>
      </c>
      <c r="J2857" s="87">
        <v>24</v>
      </c>
      <c r="K2857" s="87">
        <v>1</v>
      </c>
      <c r="L2857" s="87">
        <v>10</v>
      </c>
      <c r="M2857" s="87"/>
      <c r="N2857" s="87"/>
      <c r="O2857" s="87">
        <v>4</v>
      </c>
      <c r="P2857" s="87"/>
      <c r="Q2857" s="87"/>
      <c r="R2857" s="87"/>
      <c r="S2857" s="87"/>
      <c r="T2857" s="87"/>
      <c r="U2857" s="87"/>
      <c r="V2857" s="87">
        <v>6</v>
      </c>
      <c r="W2857" s="87"/>
      <c r="X2857" s="87">
        <v>7</v>
      </c>
      <c r="Y2857" s="87"/>
      <c r="Z2857" s="87"/>
      <c r="AA2857" s="87"/>
      <c r="AB2857" s="87"/>
      <c r="AC2857" s="87"/>
      <c r="AD2857" s="87"/>
      <c r="AE2857" s="87"/>
      <c r="AF2857" s="87"/>
      <c r="AG2857" s="87"/>
      <c r="AH2857" s="87">
        <v>52</v>
      </c>
      <c r="AI2857" s="87"/>
      <c r="AJ2857" s="87"/>
      <c r="AK2857" s="87"/>
      <c r="AL2857" s="87"/>
      <c r="AM2857" s="87"/>
      <c r="AN2857" s="87">
        <v>4</v>
      </c>
      <c r="AO2857" s="87">
        <v>14</v>
      </c>
      <c r="AP2857" s="87"/>
      <c r="AQ2857" s="87">
        <v>14</v>
      </c>
      <c r="AR2857" s="87">
        <v>7</v>
      </c>
      <c r="AS2857" s="87">
        <v>9</v>
      </c>
      <c r="AT2857" s="87">
        <v>4</v>
      </c>
      <c r="AU2857" s="87"/>
      <c r="AV2857" s="87"/>
      <c r="AW2857" s="88" t="str">
        <f>HYPERLINK("http://www.openstreetmap.org/?mlat=35.5271&amp;mlon=45.4287&amp;zoom=12#map=12/35.5271/45.4287","Maplink1")</f>
        <v>Maplink1</v>
      </c>
      <c r="AX2857" s="88" t="str">
        <f>HYPERLINK("https://www.google.iq/maps/search/+35.5271,45.4287/@35.5271,45.4287,14z?hl=en","Maplink2")</f>
        <v>Maplink2</v>
      </c>
      <c r="AY2857" s="88" t="str">
        <f>HYPERLINK("http://www.bing.com/maps/?lvl=14&amp;sty=h&amp;cp=35.5271~45.4287&amp;sp=point.35.5271_45.4287","Maplink3")</f>
        <v>Maplink3</v>
      </c>
      <c r="AZ2857" s="76"/>
    </row>
    <row r="2858" spans="1:52" x14ac:dyDescent="0.25">
      <c r="A2858" s="86">
        <v>32070</v>
      </c>
      <c r="B2858" s="87" t="s">
        <v>27</v>
      </c>
      <c r="C2858" s="87" t="s">
        <v>5030</v>
      </c>
      <c r="D2858" s="87" t="s">
        <v>5418</v>
      </c>
      <c r="E2858" s="87" t="s">
        <v>5419</v>
      </c>
      <c r="F2858" s="87">
        <v>35.558461899999998</v>
      </c>
      <c r="G2858" s="87">
        <v>45.355767</v>
      </c>
      <c r="H2858" s="86">
        <v>95</v>
      </c>
      <c r="I2858" s="86">
        <v>570</v>
      </c>
      <c r="J2858" s="87">
        <v>17</v>
      </c>
      <c r="K2858" s="87"/>
      <c r="L2858" s="87">
        <v>25</v>
      </c>
      <c r="M2858" s="87"/>
      <c r="N2858" s="87"/>
      <c r="O2858" s="87">
        <v>4</v>
      </c>
      <c r="P2858" s="87"/>
      <c r="Q2858" s="87"/>
      <c r="R2858" s="87">
        <v>30</v>
      </c>
      <c r="S2858" s="87"/>
      <c r="T2858" s="87"/>
      <c r="U2858" s="87"/>
      <c r="V2858" s="87">
        <v>4</v>
      </c>
      <c r="W2858" s="87"/>
      <c r="X2858" s="87">
        <v>15</v>
      </c>
      <c r="Y2858" s="87"/>
      <c r="Z2858" s="87"/>
      <c r="AA2858" s="87"/>
      <c r="AB2858" s="87"/>
      <c r="AC2858" s="87"/>
      <c r="AD2858" s="87"/>
      <c r="AE2858" s="87"/>
      <c r="AF2858" s="87"/>
      <c r="AG2858" s="87"/>
      <c r="AH2858" s="87">
        <v>95</v>
      </c>
      <c r="AI2858" s="87"/>
      <c r="AJ2858" s="87"/>
      <c r="AK2858" s="87"/>
      <c r="AL2858" s="87"/>
      <c r="AM2858" s="87"/>
      <c r="AN2858" s="87">
        <v>7</v>
      </c>
      <c r="AO2858" s="87">
        <v>14</v>
      </c>
      <c r="AP2858" s="87">
        <v>8</v>
      </c>
      <c r="AQ2858" s="87">
        <v>10</v>
      </c>
      <c r="AR2858" s="87"/>
      <c r="AS2858" s="87">
        <v>8</v>
      </c>
      <c r="AT2858" s="87">
        <v>3</v>
      </c>
      <c r="AU2858" s="87">
        <v>45</v>
      </c>
      <c r="AV2858" s="87"/>
      <c r="AW2858" s="88" t="str">
        <f>HYPERLINK("http://www.openstreetmap.org/?mlat=35.5585&amp;mlon=45.3558&amp;zoom=12#map=12/35.5585/45.3558","Maplink1")</f>
        <v>Maplink1</v>
      </c>
      <c r="AX2858" s="88" t="str">
        <f>HYPERLINK("https://www.google.iq/maps/search/+35.5585,45.3558/@35.5585,45.3558,14z?hl=en","Maplink2")</f>
        <v>Maplink2</v>
      </c>
      <c r="AY2858" s="88" t="str">
        <f>HYPERLINK("http://www.bing.com/maps/?lvl=14&amp;sty=h&amp;cp=35.5585~45.3558&amp;sp=point.35.5585_45.3558","Maplink3")</f>
        <v>Maplink3</v>
      </c>
      <c r="AZ2858" s="76"/>
    </row>
    <row r="2859" spans="1:52" x14ac:dyDescent="0.25">
      <c r="A2859" s="86">
        <v>31976</v>
      </c>
      <c r="B2859" s="87" t="s">
        <v>27</v>
      </c>
      <c r="C2859" s="87" t="s">
        <v>5030</v>
      </c>
      <c r="D2859" s="87" t="s">
        <v>5420</v>
      </c>
      <c r="E2859" s="87" t="s">
        <v>5421</v>
      </c>
      <c r="F2859" s="87">
        <v>35.526733399999998</v>
      </c>
      <c r="G2859" s="87">
        <v>45.459918299999998</v>
      </c>
      <c r="H2859" s="86">
        <v>20</v>
      </c>
      <c r="I2859" s="86">
        <v>120</v>
      </c>
      <c r="J2859" s="87">
        <v>4</v>
      </c>
      <c r="K2859" s="87"/>
      <c r="L2859" s="87">
        <v>12</v>
      </c>
      <c r="M2859" s="87"/>
      <c r="N2859" s="87"/>
      <c r="O2859" s="87"/>
      <c r="P2859" s="87"/>
      <c r="Q2859" s="87"/>
      <c r="R2859" s="87">
        <v>1</v>
      </c>
      <c r="S2859" s="87"/>
      <c r="T2859" s="87"/>
      <c r="U2859" s="87"/>
      <c r="V2859" s="87">
        <v>3</v>
      </c>
      <c r="W2859" s="87"/>
      <c r="X2859" s="87"/>
      <c r="Y2859" s="87"/>
      <c r="Z2859" s="87"/>
      <c r="AA2859" s="87"/>
      <c r="AB2859" s="87"/>
      <c r="AC2859" s="87"/>
      <c r="AD2859" s="87"/>
      <c r="AE2859" s="87"/>
      <c r="AF2859" s="87"/>
      <c r="AG2859" s="87"/>
      <c r="AH2859" s="87">
        <v>13</v>
      </c>
      <c r="AI2859" s="87"/>
      <c r="AJ2859" s="87"/>
      <c r="AK2859" s="87"/>
      <c r="AL2859" s="87">
        <v>7</v>
      </c>
      <c r="AM2859" s="87"/>
      <c r="AN2859" s="87">
        <v>4</v>
      </c>
      <c r="AO2859" s="87">
        <v>6</v>
      </c>
      <c r="AP2859" s="87"/>
      <c r="AQ2859" s="87">
        <v>3</v>
      </c>
      <c r="AR2859" s="87">
        <v>2</v>
      </c>
      <c r="AS2859" s="87"/>
      <c r="AT2859" s="87">
        <v>4</v>
      </c>
      <c r="AU2859" s="87">
        <v>1</v>
      </c>
      <c r="AV2859" s="87"/>
      <c r="AW2859" s="88" t="str">
        <f>HYPERLINK("http://www.openstreetmap.org/?mlat=35.5267&amp;mlon=45.4599&amp;zoom=12#map=12/35.5267/45.4599","Maplink1")</f>
        <v>Maplink1</v>
      </c>
      <c r="AX2859" s="88" t="str">
        <f>HYPERLINK("https://www.google.iq/maps/search/+35.5267,45.4599/@35.5267,45.4599,14z?hl=en","Maplink2")</f>
        <v>Maplink2</v>
      </c>
      <c r="AY2859" s="88" t="str">
        <f>HYPERLINK("http://www.bing.com/maps/?lvl=14&amp;sty=h&amp;cp=35.5267~45.4599&amp;sp=point.35.5267_45.4599","Maplink3")</f>
        <v>Maplink3</v>
      </c>
      <c r="AZ2859" s="76"/>
    </row>
    <row r="2860" spans="1:52" x14ac:dyDescent="0.25">
      <c r="A2860" s="86">
        <v>31977</v>
      </c>
      <c r="B2860" s="87" t="s">
        <v>27</v>
      </c>
      <c r="C2860" s="87" t="s">
        <v>5030</v>
      </c>
      <c r="D2860" s="87" t="s">
        <v>5422</v>
      </c>
      <c r="E2860" s="87" t="s">
        <v>5423</v>
      </c>
      <c r="F2860" s="87">
        <v>35.527396400000001</v>
      </c>
      <c r="G2860" s="87">
        <v>45.457053999999999</v>
      </c>
      <c r="H2860" s="86">
        <v>25</v>
      </c>
      <c r="I2860" s="86">
        <v>150</v>
      </c>
      <c r="J2860" s="87">
        <v>10</v>
      </c>
      <c r="K2860" s="87"/>
      <c r="L2860" s="87">
        <v>11</v>
      </c>
      <c r="M2860" s="87"/>
      <c r="N2860" s="87"/>
      <c r="O2860" s="87">
        <v>1</v>
      </c>
      <c r="P2860" s="87"/>
      <c r="Q2860" s="87"/>
      <c r="R2860" s="87"/>
      <c r="S2860" s="87"/>
      <c r="T2860" s="87"/>
      <c r="U2860" s="87"/>
      <c r="V2860" s="87"/>
      <c r="W2860" s="87"/>
      <c r="X2860" s="87">
        <v>3</v>
      </c>
      <c r="Y2860" s="87"/>
      <c r="Z2860" s="87"/>
      <c r="AA2860" s="87"/>
      <c r="AB2860" s="87"/>
      <c r="AC2860" s="87"/>
      <c r="AD2860" s="87"/>
      <c r="AE2860" s="87"/>
      <c r="AF2860" s="87"/>
      <c r="AG2860" s="87"/>
      <c r="AH2860" s="87">
        <v>19</v>
      </c>
      <c r="AI2860" s="87"/>
      <c r="AJ2860" s="87"/>
      <c r="AK2860" s="87"/>
      <c r="AL2860" s="87">
        <v>6</v>
      </c>
      <c r="AM2860" s="87"/>
      <c r="AN2860" s="87">
        <v>1</v>
      </c>
      <c r="AO2860" s="87">
        <v>9</v>
      </c>
      <c r="AP2860" s="87">
        <v>2</v>
      </c>
      <c r="AQ2860" s="87">
        <v>6</v>
      </c>
      <c r="AR2860" s="87">
        <v>2</v>
      </c>
      <c r="AS2860" s="87">
        <v>4</v>
      </c>
      <c r="AT2860" s="87"/>
      <c r="AU2860" s="87">
        <v>1</v>
      </c>
      <c r="AV2860" s="87"/>
      <c r="AW2860" s="88" t="str">
        <f>HYPERLINK("http://www.openstreetmap.org/?mlat=35.5274&amp;mlon=45.4571&amp;zoom=12#map=12/35.5274/45.4571","Maplink1")</f>
        <v>Maplink1</v>
      </c>
      <c r="AX2860" s="88" t="str">
        <f>HYPERLINK("https://www.google.iq/maps/search/+35.5274,45.4571/@35.5274,45.4571,14z?hl=en","Maplink2")</f>
        <v>Maplink2</v>
      </c>
      <c r="AY2860" s="88" t="str">
        <f>HYPERLINK("http://www.bing.com/maps/?lvl=14&amp;sty=h&amp;cp=35.5274~45.4571&amp;sp=point.35.5274_45.4571","Maplink3")</f>
        <v>Maplink3</v>
      </c>
      <c r="AZ2860" s="76"/>
    </row>
    <row r="2861" spans="1:52" x14ac:dyDescent="0.25">
      <c r="A2861" s="86">
        <v>21284</v>
      </c>
      <c r="B2861" s="87" t="s">
        <v>27</v>
      </c>
      <c r="C2861" s="87" t="s">
        <v>5030</v>
      </c>
      <c r="D2861" s="87" t="s">
        <v>5424</v>
      </c>
      <c r="E2861" s="87" t="s">
        <v>5425</v>
      </c>
      <c r="F2861" s="87">
        <v>35.553421399999998</v>
      </c>
      <c r="G2861" s="87">
        <v>45.420930200000001</v>
      </c>
      <c r="H2861" s="86">
        <v>43</v>
      </c>
      <c r="I2861" s="86">
        <v>258</v>
      </c>
      <c r="J2861" s="87">
        <v>5</v>
      </c>
      <c r="K2861" s="87">
        <v>5</v>
      </c>
      <c r="L2861" s="87">
        <v>9</v>
      </c>
      <c r="M2861" s="87"/>
      <c r="N2861" s="87"/>
      <c r="O2861" s="87">
        <v>8</v>
      </c>
      <c r="P2861" s="87"/>
      <c r="Q2861" s="87"/>
      <c r="R2861" s="87">
        <v>3</v>
      </c>
      <c r="S2861" s="87"/>
      <c r="T2861" s="87"/>
      <c r="U2861" s="87"/>
      <c r="V2861" s="87">
        <v>8</v>
      </c>
      <c r="W2861" s="87"/>
      <c r="X2861" s="87">
        <v>5</v>
      </c>
      <c r="Y2861" s="87"/>
      <c r="Z2861" s="87"/>
      <c r="AA2861" s="87"/>
      <c r="AB2861" s="87"/>
      <c r="AC2861" s="87"/>
      <c r="AD2861" s="87"/>
      <c r="AE2861" s="87"/>
      <c r="AF2861" s="87"/>
      <c r="AG2861" s="87"/>
      <c r="AH2861" s="87">
        <v>43</v>
      </c>
      <c r="AI2861" s="87"/>
      <c r="AJ2861" s="87"/>
      <c r="AK2861" s="87"/>
      <c r="AL2861" s="87"/>
      <c r="AM2861" s="87"/>
      <c r="AN2861" s="87">
        <v>4</v>
      </c>
      <c r="AO2861" s="87">
        <v>5</v>
      </c>
      <c r="AP2861" s="87">
        <v>2</v>
      </c>
      <c r="AQ2861" s="87">
        <v>18</v>
      </c>
      <c r="AR2861" s="87">
        <v>3</v>
      </c>
      <c r="AS2861" s="87">
        <v>1</v>
      </c>
      <c r="AT2861" s="87">
        <v>5</v>
      </c>
      <c r="AU2861" s="87">
        <v>5</v>
      </c>
      <c r="AV2861" s="87"/>
      <c r="AW2861" s="88" t="str">
        <f>HYPERLINK("http://www.openstreetmap.org/?mlat=35.5534&amp;mlon=45.4209&amp;zoom=12#map=12/35.5534/45.4209","Maplink1")</f>
        <v>Maplink1</v>
      </c>
      <c r="AX2861" s="88" t="str">
        <f>HYPERLINK("https://www.google.iq/maps/search/+35.5534,45.4209/@35.5534,45.4209,14z?hl=en","Maplink2")</f>
        <v>Maplink2</v>
      </c>
      <c r="AY2861" s="88" t="str">
        <f>HYPERLINK("http://www.bing.com/maps/?lvl=14&amp;sty=h&amp;cp=35.5534~45.4209&amp;sp=point.35.5534_45.4209","Maplink3")</f>
        <v>Maplink3</v>
      </c>
      <c r="AZ2861" s="76"/>
    </row>
    <row r="2862" spans="1:52" x14ac:dyDescent="0.25">
      <c r="A2862" s="86">
        <v>24099</v>
      </c>
      <c r="B2862" s="87" t="s">
        <v>27</v>
      </c>
      <c r="C2862" s="87" t="s">
        <v>5030</v>
      </c>
      <c r="D2862" s="87" t="s">
        <v>5426</v>
      </c>
      <c r="E2862" s="87" t="s">
        <v>5427</v>
      </c>
      <c r="F2862" s="87">
        <v>35.546827200000003</v>
      </c>
      <c r="G2862" s="87">
        <v>45.366918099999999</v>
      </c>
      <c r="H2862" s="86">
        <v>46</v>
      </c>
      <c r="I2862" s="86">
        <v>276</v>
      </c>
      <c r="J2862" s="87">
        <v>5</v>
      </c>
      <c r="K2862" s="87"/>
      <c r="L2862" s="87">
        <v>24</v>
      </c>
      <c r="M2862" s="87"/>
      <c r="N2862" s="87"/>
      <c r="O2862" s="87">
        <v>1</v>
      </c>
      <c r="P2862" s="87"/>
      <c r="Q2862" s="87"/>
      <c r="R2862" s="87">
        <v>6</v>
      </c>
      <c r="S2862" s="87"/>
      <c r="T2862" s="87"/>
      <c r="U2862" s="87"/>
      <c r="V2862" s="87">
        <v>6</v>
      </c>
      <c r="W2862" s="87"/>
      <c r="X2862" s="87">
        <v>4</v>
      </c>
      <c r="Y2862" s="87"/>
      <c r="Z2862" s="87"/>
      <c r="AA2862" s="87"/>
      <c r="AB2862" s="87"/>
      <c r="AC2862" s="87"/>
      <c r="AD2862" s="87"/>
      <c r="AE2862" s="87"/>
      <c r="AF2862" s="87"/>
      <c r="AG2862" s="87"/>
      <c r="AH2862" s="87">
        <v>46</v>
      </c>
      <c r="AI2862" s="87"/>
      <c r="AJ2862" s="87"/>
      <c r="AK2862" s="87"/>
      <c r="AL2862" s="87"/>
      <c r="AM2862" s="87"/>
      <c r="AN2862" s="87"/>
      <c r="AO2862" s="87">
        <v>12</v>
      </c>
      <c r="AP2862" s="87">
        <v>9</v>
      </c>
      <c r="AQ2862" s="87">
        <v>3</v>
      </c>
      <c r="AR2862" s="87">
        <v>3</v>
      </c>
      <c r="AS2862" s="87">
        <v>5</v>
      </c>
      <c r="AT2862" s="87">
        <v>1</v>
      </c>
      <c r="AU2862" s="87">
        <v>9</v>
      </c>
      <c r="AV2862" s="87">
        <v>4</v>
      </c>
      <c r="AW2862" s="88" t="str">
        <f>HYPERLINK("http://www.openstreetmap.org/?mlat=35.5468&amp;mlon=45.3669&amp;zoom=12#map=12/35.5468/45.3669","Maplink1")</f>
        <v>Maplink1</v>
      </c>
      <c r="AX2862" s="88" t="str">
        <f>HYPERLINK("https://www.google.iq/maps/search/+35.5468,45.3669/@35.5468,45.3669,14z?hl=en","Maplink2")</f>
        <v>Maplink2</v>
      </c>
      <c r="AY2862" s="88" t="str">
        <f>HYPERLINK("http://www.bing.com/maps/?lvl=14&amp;sty=h&amp;cp=35.5468~45.3669&amp;sp=point.35.5468_45.3669","Maplink3")</f>
        <v>Maplink3</v>
      </c>
      <c r="AZ2862" s="76"/>
    </row>
    <row r="2863" spans="1:52" x14ac:dyDescent="0.25">
      <c r="A2863" s="86">
        <v>31973</v>
      </c>
      <c r="B2863" s="87" t="s">
        <v>27</v>
      </c>
      <c r="C2863" s="87" t="s">
        <v>5030</v>
      </c>
      <c r="D2863" s="87" t="s">
        <v>5428</v>
      </c>
      <c r="E2863" s="87" t="s">
        <v>5429</v>
      </c>
      <c r="F2863" s="87">
        <v>35.5267841</v>
      </c>
      <c r="G2863" s="87">
        <v>45.435788100000003</v>
      </c>
      <c r="H2863" s="86">
        <v>27</v>
      </c>
      <c r="I2863" s="86">
        <v>162</v>
      </c>
      <c r="J2863" s="87">
        <v>6</v>
      </c>
      <c r="K2863" s="87"/>
      <c r="L2863" s="87">
        <v>5</v>
      </c>
      <c r="M2863" s="87"/>
      <c r="N2863" s="87"/>
      <c r="O2863" s="87">
        <v>2</v>
      </c>
      <c r="P2863" s="87"/>
      <c r="Q2863" s="87"/>
      <c r="R2863" s="87"/>
      <c r="S2863" s="87"/>
      <c r="T2863" s="87"/>
      <c r="U2863" s="87"/>
      <c r="V2863" s="87">
        <v>3</v>
      </c>
      <c r="W2863" s="87"/>
      <c r="X2863" s="87">
        <v>11</v>
      </c>
      <c r="Y2863" s="87"/>
      <c r="Z2863" s="87"/>
      <c r="AA2863" s="87"/>
      <c r="AB2863" s="87"/>
      <c r="AC2863" s="87"/>
      <c r="AD2863" s="87"/>
      <c r="AE2863" s="87"/>
      <c r="AF2863" s="87"/>
      <c r="AG2863" s="87"/>
      <c r="AH2863" s="87">
        <v>27</v>
      </c>
      <c r="AI2863" s="87"/>
      <c r="AJ2863" s="87"/>
      <c r="AK2863" s="87"/>
      <c r="AL2863" s="87"/>
      <c r="AM2863" s="87"/>
      <c r="AN2863" s="87">
        <v>5</v>
      </c>
      <c r="AO2863" s="87">
        <v>11</v>
      </c>
      <c r="AP2863" s="87">
        <v>3</v>
      </c>
      <c r="AQ2863" s="87">
        <v>4</v>
      </c>
      <c r="AR2863" s="87"/>
      <c r="AS2863" s="87">
        <v>3</v>
      </c>
      <c r="AT2863" s="87">
        <v>1</v>
      </c>
      <c r="AU2863" s="87"/>
      <c r="AV2863" s="87"/>
      <c r="AW2863" s="88" t="str">
        <f>HYPERLINK("http://www.openstreetmap.org/?mlat=35.5268&amp;mlon=45.4358&amp;zoom=12#map=12/35.5268/45.4358","Maplink1")</f>
        <v>Maplink1</v>
      </c>
      <c r="AX2863" s="88" t="str">
        <f>HYPERLINK("https://www.google.iq/maps/search/+35.5268,45.4358/@35.5268,45.4358,14z?hl=en","Maplink2")</f>
        <v>Maplink2</v>
      </c>
      <c r="AY2863" s="88" t="str">
        <f>HYPERLINK("http://www.bing.com/maps/?lvl=14&amp;sty=h&amp;cp=35.5268~45.4358&amp;sp=point.35.5268_45.4358","Maplink3")</f>
        <v>Maplink3</v>
      </c>
      <c r="AZ2863" s="76"/>
    </row>
    <row r="2864" spans="1:52" x14ac:dyDescent="0.25">
      <c r="A2864" s="86">
        <v>33354</v>
      </c>
      <c r="B2864" s="87" t="s">
        <v>27</v>
      </c>
      <c r="C2864" s="87" t="s">
        <v>5030</v>
      </c>
      <c r="D2864" s="87" t="s">
        <v>5430</v>
      </c>
      <c r="E2864" s="87" t="s">
        <v>5431</v>
      </c>
      <c r="F2864" s="87">
        <v>35.559447499999997</v>
      </c>
      <c r="G2864" s="87">
        <v>45.4267574</v>
      </c>
      <c r="H2864" s="86">
        <v>20</v>
      </c>
      <c r="I2864" s="86">
        <v>120</v>
      </c>
      <c r="J2864" s="87">
        <v>6</v>
      </c>
      <c r="K2864" s="87">
        <v>4</v>
      </c>
      <c r="L2864" s="87">
        <v>5</v>
      </c>
      <c r="M2864" s="87"/>
      <c r="N2864" s="87"/>
      <c r="O2864" s="87">
        <v>2</v>
      </c>
      <c r="P2864" s="87"/>
      <c r="Q2864" s="87"/>
      <c r="R2864" s="87"/>
      <c r="S2864" s="87"/>
      <c r="T2864" s="87"/>
      <c r="U2864" s="87"/>
      <c r="V2864" s="87">
        <v>1</v>
      </c>
      <c r="W2864" s="87"/>
      <c r="X2864" s="87">
        <v>2</v>
      </c>
      <c r="Y2864" s="87"/>
      <c r="Z2864" s="87"/>
      <c r="AA2864" s="87"/>
      <c r="AB2864" s="87"/>
      <c r="AC2864" s="87"/>
      <c r="AD2864" s="87"/>
      <c r="AE2864" s="87"/>
      <c r="AF2864" s="87"/>
      <c r="AG2864" s="87"/>
      <c r="AH2864" s="87">
        <v>20</v>
      </c>
      <c r="AI2864" s="87"/>
      <c r="AJ2864" s="87"/>
      <c r="AK2864" s="87"/>
      <c r="AL2864" s="87"/>
      <c r="AM2864" s="87"/>
      <c r="AN2864" s="87">
        <v>3</v>
      </c>
      <c r="AO2864" s="87"/>
      <c r="AP2864" s="87">
        <v>1</v>
      </c>
      <c r="AQ2864" s="87">
        <v>1</v>
      </c>
      <c r="AR2864" s="87">
        <v>4</v>
      </c>
      <c r="AS2864" s="87"/>
      <c r="AT2864" s="87">
        <v>10</v>
      </c>
      <c r="AU2864" s="87">
        <v>1</v>
      </c>
      <c r="AV2864" s="87"/>
      <c r="AW2864" s="88" t="str">
        <f>HYPERLINK("http://www.openstreetmap.org/?mlat=35.5594&amp;mlon=45.4268&amp;zoom=12#map=12/35.5594/45.4268","Maplink1")</f>
        <v>Maplink1</v>
      </c>
      <c r="AX2864" s="88" t="str">
        <f>HYPERLINK("https://www.google.iq/maps/search/+35.5594,45.4268/@35.5594,45.4268,14z?hl=en","Maplink2")</f>
        <v>Maplink2</v>
      </c>
      <c r="AY2864" s="88" t="str">
        <f>HYPERLINK("http://www.bing.com/maps/?lvl=14&amp;sty=h&amp;cp=35.5594~45.4268&amp;sp=point.35.5594_45.4268","Maplink3")</f>
        <v>Maplink3</v>
      </c>
      <c r="AZ2864" s="76"/>
    </row>
    <row r="2865" spans="1:52" x14ac:dyDescent="0.25">
      <c r="A2865" s="86">
        <v>21024</v>
      </c>
      <c r="B2865" s="87" t="s">
        <v>27</v>
      </c>
      <c r="C2865" s="87" t="s">
        <v>5030</v>
      </c>
      <c r="D2865" s="87" t="s">
        <v>5432</v>
      </c>
      <c r="E2865" s="87" t="s">
        <v>5433</v>
      </c>
      <c r="F2865" s="87">
        <v>35.566328599999999</v>
      </c>
      <c r="G2865" s="87">
        <v>45.440874999999998</v>
      </c>
      <c r="H2865" s="86">
        <v>65</v>
      </c>
      <c r="I2865" s="86">
        <v>390</v>
      </c>
      <c r="J2865" s="87">
        <v>11</v>
      </c>
      <c r="K2865" s="87">
        <v>6</v>
      </c>
      <c r="L2865" s="87">
        <v>7</v>
      </c>
      <c r="M2865" s="87"/>
      <c r="N2865" s="87"/>
      <c r="O2865" s="87">
        <v>10</v>
      </c>
      <c r="P2865" s="87"/>
      <c r="Q2865" s="87"/>
      <c r="R2865" s="87"/>
      <c r="S2865" s="87"/>
      <c r="T2865" s="87"/>
      <c r="U2865" s="87"/>
      <c r="V2865" s="87">
        <v>6</v>
      </c>
      <c r="W2865" s="87"/>
      <c r="X2865" s="87">
        <v>25</v>
      </c>
      <c r="Y2865" s="87"/>
      <c r="Z2865" s="87"/>
      <c r="AA2865" s="87"/>
      <c r="AB2865" s="87"/>
      <c r="AC2865" s="87"/>
      <c r="AD2865" s="87"/>
      <c r="AE2865" s="87"/>
      <c r="AF2865" s="87"/>
      <c r="AG2865" s="87"/>
      <c r="AH2865" s="87">
        <v>65</v>
      </c>
      <c r="AI2865" s="87"/>
      <c r="AJ2865" s="87"/>
      <c r="AK2865" s="87"/>
      <c r="AL2865" s="87"/>
      <c r="AM2865" s="87"/>
      <c r="AN2865" s="87">
        <v>7</v>
      </c>
      <c r="AO2865" s="87">
        <v>17</v>
      </c>
      <c r="AP2865" s="87">
        <v>7</v>
      </c>
      <c r="AQ2865" s="87">
        <v>9</v>
      </c>
      <c r="AR2865" s="87">
        <v>2</v>
      </c>
      <c r="AS2865" s="87">
        <v>12</v>
      </c>
      <c r="AT2865" s="87">
        <v>11</v>
      </c>
      <c r="AU2865" s="87"/>
      <c r="AV2865" s="87"/>
      <c r="AW2865" s="88" t="str">
        <f>HYPERLINK("http://www.openstreetmap.org/?mlat=35.5663&amp;mlon=45.4409&amp;zoom=12#map=12/35.5663/45.4409","Maplink1")</f>
        <v>Maplink1</v>
      </c>
      <c r="AX2865" s="88" t="str">
        <f>HYPERLINK("https://www.google.iq/maps/search/+35.5663,45.4409/@35.5663,45.4409,14z?hl=en","Maplink2")</f>
        <v>Maplink2</v>
      </c>
      <c r="AY2865" s="88" t="str">
        <f>HYPERLINK("http://www.bing.com/maps/?lvl=14&amp;sty=h&amp;cp=35.5663~45.4409&amp;sp=point.35.5663_45.4409","Maplink3")</f>
        <v>Maplink3</v>
      </c>
      <c r="AZ2865" s="76"/>
    </row>
    <row r="2866" spans="1:52" x14ac:dyDescent="0.25">
      <c r="A2866" s="86">
        <v>31960</v>
      </c>
      <c r="B2866" s="87" t="s">
        <v>27</v>
      </c>
      <c r="C2866" s="87" t="s">
        <v>5030</v>
      </c>
      <c r="D2866" s="87" t="s">
        <v>5434</v>
      </c>
      <c r="E2866" s="87" t="s">
        <v>5435</v>
      </c>
      <c r="F2866" s="87">
        <v>35.580537800000002</v>
      </c>
      <c r="G2866" s="87">
        <v>45.429789100000001</v>
      </c>
      <c r="H2866" s="86">
        <v>36</v>
      </c>
      <c r="I2866" s="86">
        <v>216</v>
      </c>
      <c r="J2866" s="87">
        <v>13</v>
      </c>
      <c r="K2866" s="87">
        <v>1</v>
      </c>
      <c r="L2866" s="87">
        <v>6</v>
      </c>
      <c r="M2866" s="87"/>
      <c r="N2866" s="87"/>
      <c r="O2866" s="87">
        <v>2</v>
      </c>
      <c r="P2866" s="87"/>
      <c r="Q2866" s="87"/>
      <c r="R2866" s="87">
        <v>2</v>
      </c>
      <c r="S2866" s="87"/>
      <c r="T2866" s="87"/>
      <c r="U2866" s="87"/>
      <c r="V2866" s="87"/>
      <c r="W2866" s="87"/>
      <c r="X2866" s="87">
        <v>12</v>
      </c>
      <c r="Y2866" s="87"/>
      <c r="Z2866" s="87"/>
      <c r="AA2866" s="87"/>
      <c r="AB2866" s="87"/>
      <c r="AC2866" s="87"/>
      <c r="AD2866" s="87"/>
      <c r="AE2866" s="87"/>
      <c r="AF2866" s="87"/>
      <c r="AG2866" s="87"/>
      <c r="AH2866" s="87">
        <v>36</v>
      </c>
      <c r="AI2866" s="87"/>
      <c r="AJ2866" s="87"/>
      <c r="AK2866" s="87"/>
      <c r="AL2866" s="87"/>
      <c r="AM2866" s="87"/>
      <c r="AN2866" s="87">
        <v>1</v>
      </c>
      <c r="AO2866" s="87">
        <v>7</v>
      </c>
      <c r="AP2866" s="87"/>
      <c r="AQ2866" s="87">
        <v>3</v>
      </c>
      <c r="AR2866" s="87">
        <v>9</v>
      </c>
      <c r="AS2866" s="87">
        <v>4</v>
      </c>
      <c r="AT2866" s="87">
        <v>4</v>
      </c>
      <c r="AU2866" s="87">
        <v>8</v>
      </c>
      <c r="AV2866" s="87"/>
      <c r="AW2866" s="88" t="str">
        <f>HYPERLINK("http://www.openstreetmap.org/?mlat=35.5805&amp;mlon=45.4298&amp;zoom=12#map=12/35.5805/45.4298","Maplink1")</f>
        <v>Maplink1</v>
      </c>
      <c r="AX2866" s="88" t="str">
        <f>HYPERLINK("https://www.google.iq/maps/search/+35.5805,45.4298/@35.5805,45.4298,14z?hl=en","Maplink2")</f>
        <v>Maplink2</v>
      </c>
      <c r="AY2866" s="88" t="str">
        <f>HYPERLINK("http://www.bing.com/maps/?lvl=14&amp;sty=h&amp;cp=35.5805~45.4298&amp;sp=point.35.5805_45.4298","Maplink3")</f>
        <v>Maplink3</v>
      </c>
      <c r="AZ2866" s="76"/>
    </row>
    <row r="2867" spans="1:52" x14ac:dyDescent="0.25">
      <c r="A2867" s="86">
        <v>31950</v>
      </c>
      <c r="B2867" s="87" t="s">
        <v>27</v>
      </c>
      <c r="C2867" s="87" t="s">
        <v>5030</v>
      </c>
      <c r="D2867" s="87" t="s">
        <v>5436</v>
      </c>
      <c r="E2867" s="87" t="s">
        <v>5437</v>
      </c>
      <c r="F2867" s="87">
        <v>35.532958700000002</v>
      </c>
      <c r="G2867" s="87">
        <v>45.469792900000002</v>
      </c>
      <c r="H2867" s="86">
        <v>26</v>
      </c>
      <c r="I2867" s="86">
        <v>156</v>
      </c>
      <c r="J2867" s="87">
        <v>5</v>
      </c>
      <c r="K2867" s="87">
        <v>1</v>
      </c>
      <c r="L2867" s="87">
        <v>9</v>
      </c>
      <c r="M2867" s="87"/>
      <c r="N2867" s="87"/>
      <c r="O2867" s="87">
        <v>4</v>
      </c>
      <c r="P2867" s="87"/>
      <c r="Q2867" s="87"/>
      <c r="R2867" s="87"/>
      <c r="S2867" s="87"/>
      <c r="T2867" s="87"/>
      <c r="U2867" s="87"/>
      <c r="V2867" s="87">
        <v>2</v>
      </c>
      <c r="W2867" s="87"/>
      <c r="X2867" s="87">
        <v>5</v>
      </c>
      <c r="Y2867" s="87"/>
      <c r="Z2867" s="87"/>
      <c r="AA2867" s="87"/>
      <c r="AB2867" s="87"/>
      <c r="AC2867" s="87"/>
      <c r="AD2867" s="87"/>
      <c r="AE2867" s="87"/>
      <c r="AF2867" s="87"/>
      <c r="AG2867" s="87"/>
      <c r="AH2867" s="87">
        <v>26</v>
      </c>
      <c r="AI2867" s="87"/>
      <c r="AJ2867" s="87"/>
      <c r="AK2867" s="87"/>
      <c r="AL2867" s="87"/>
      <c r="AM2867" s="87"/>
      <c r="AN2867" s="87">
        <v>3</v>
      </c>
      <c r="AO2867" s="87">
        <v>1</v>
      </c>
      <c r="AP2867" s="87"/>
      <c r="AQ2867" s="87">
        <v>5</v>
      </c>
      <c r="AR2867" s="87">
        <v>4</v>
      </c>
      <c r="AS2867" s="87">
        <v>5</v>
      </c>
      <c r="AT2867" s="87">
        <v>8</v>
      </c>
      <c r="AU2867" s="87"/>
      <c r="AV2867" s="87"/>
      <c r="AW2867" s="88" t="str">
        <f>HYPERLINK("http://www.openstreetmap.org/?mlat=35.533&amp;mlon=45.4698&amp;zoom=12#map=12/35.533/45.4698","Maplink1")</f>
        <v>Maplink1</v>
      </c>
      <c r="AX2867" s="88" t="str">
        <f>HYPERLINK("https://www.google.iq/maps/search/+35.533,45.4698/@35.533,45.4698,14z?hl=en","Maplink2")</f>
        <v>Maplink2</v>
      </c>
      <c r="AY2867" s="88" t="str">
        <f>HYPERLINK("http://www.bing.com/maps/?lvl=14&amp;sty=h&amp;cp=35.533~45.4698&amp;sp=point.35.533_45.4698","Maplink3")</f>
        <v>Maplink3</v>
      </c>
      <c r="AZ2867" s="76"/>
    </row>
    <row r="2868" spans="1:52" x14ac:dyDescent="0.25">
      <c r="A2868" s="86">
        <v>25305</v>
      </c>
      <c r="B2868" s="87" t="s">
        <v>27</v>
      </c>
      <c r="C2868" s="87" t="s">
        <v>5030</v>
      </c>
      <c r="D2868" s="87" t="s">
        <v>5438</v>
      </c>
      <c r="E2868" s="87" t="s">
        <v>5439</v>
      </c>
      <c r="F2868" s="87">
        <v>35.545586499999999</v>
      </c>
      <c r="G2868" s="87">
        <v>45.424741500000003</v>
      </c>
      <c r="H2868" s="86">
        <v>60</v>
      </c>
      <c r="I2868" s="86">
        <v>360</v>
      </c>
      <c r="J2868" s="87">
        <v>6</v>
      </c>
      <c r="K2868" s="87">
        <v>9</v>
      </c>
      <c r="L2868" s="87">
        <v>15</v>
      </c>
      <c r="M2868" s="87"/>
      <c r="N2868" s="87"/>
      <c r="O2868" s="87">
        <v>14</v>
      </c>
      <c r="P2868" s="87"/>
      <c r="Q2868" s="87"/>
      <c r="R2868" s="87">
        <v>3</v>
      </c>
      <c r="S2868" s="87"/>
      <c r="T2868" s="87"/>
      <c r="U2868" s="87"/>
      <c r="V2868" s="87">
        <v>7</v>
      </c>
      <c r="W2868" s="87"/>
      <c r="X2868" s="87">
        <v>6</v>
      </c>
      <c r="Y2868" s="87"/>
      <c r="Z2868" s="87"/>
      <c r="AA2868" s="87"/>
      <c r="AB2868" s="87"/>
      <c r="AC2868" s="87"/>
      <c r="AD2868" s="87"/>
      <c r="AE2868" s="87"/>
      <c r="AF2868" s="87"/>
      <c r="AG2868" s="87"/>
      <c r="AH2868" s="87">
        <v>60</v>
      </c>
      <c r="AI2868" s="87"/>
      <c r="AJ2868" s="87"/>
      <c r="AK2868" s="87"/>
      <c r="AL2868" s="87"/>
      <c r="AM2868" s="87"/>
      <c r="AN2868" s="87">
        <v>4</v>
      </c>
      <c r="AO2868" s="87">
        <v>7</v>
      </c>
      <c r="AP2868" s="87">
        <v>2</v>
      </c>
      <c r="AQ2868" s="87">
        <v>12</v>
      </c>
      <c r="AR2868" s="87">
        <v>6</v>
      </c>
      <c r="AS2868" s="87">
        <v>11</v>
      </c>
      <c r="AT2868" s="87">
        <v>11</v>
      </c>
      <c r="AU2868" s="87">
        <v>6</v>
      </c>
      <c r="AV2868" s="87">
        <v>1</v>
      </c>
      <c r="AW2868" s="88" t="str">
        <f>HYPERLINK("http://www.openstreetmap.org/?mlat=35.5456&amp;mlon=45.4247&amp;zoom=12#map=12/35.5456/45.4247","Maplink1")</f>
        <v>Maplink1</v>
      </c>
      <c r="AX2868" s="88" t="str">
        <f>HYPERLINK("https://www.google.iq/maps/search/+35.5456,45.4247/@35.5456,45.4247,14z?hl=en","Maplink2")</f>
        <v>Maplink2</v>
      </c>
      <c r="AY2868" s="88" t="str">
        <f>HYPERLINK("http://www.bing.com/maps/?lvl=14&amp;sty=h&amp;cp=35.5456~45.4247&amp;sp=point.35.5456_45.4247","Maplink3")</f>
        <v>Maplink3</v>
      </c>
      <c r="AZ2868" s="76"/>
    </row>
    <row r="2869" spans="1:52" x14ac:dyDescent="0.25">
      <c r="A2869" s="86">
        <v>29628</v>
      </c>
      <c r="B2869" s="87" t="s">
        <v>27</v>
      </c>
      <c r="C2869" s="87" t="s">
        <v>5030</v>
      </c>
      <c r="D2869" s="87" t="s">
        <v>5440</v>
      </c>
      <c r="E2869" s="87" t="s">
        <v>5441</v>
      </c>
      <c r="F2869" s="87">
        <v>35.5416685</v>
      </c>
      <c r="G2869" s="87">
        <v>45.437710199999998</v>
      </c>
      <c r="H2869" s="86">
        <v>107</v>
      </c>
      <c r="I2869" s="86">
        <v>642</v>
      </c>
      <c r="J2869" s="87">
        <v>29</v>
      </c>
      <c r="K2869" s="87">
        <v>7</v>
      </c>
      <c r="L2869" s="87">
        <v>25</v>
      </c>
      <c r="M2869" s="87"/>
      <c r="N2869" s="87"/>
      <c r="O2869" s="87">
        <v>15</v>
      </c>
      <c r="P2869" s="87"/>
      <c r="Q2869" s="87"/>
      <c r="R2869" s="87"/>
      <c r="S2869" s="87"/>
      <c r="T2869" s="87"/>
      <c r="U2869" s="87"/>
      <c r="V2869" s="87">
        <v>10</v>
      </c>
      <c r="W2869" s="87"/>
      <c r="X2869" s="87">
        <v>21</v>
      </c>
      <c r="Y2869" s="87"/>
      <c r="Z2869" s="87"/>
      <c r="AA2869" s="87"/>
      <c r="AB2869" s="87"/>
      <c r="AC2869" s="87"/>
      <c r="AD2869" s="87"/>
      <c r="AE2869" s="87"/>
      <c r="AF2869" s="87"/>
      <c r="AG2869" s="87"/>
      <c r="AH2869" s="87">
        <v>106</v>
      </c>
      <c r="AI2869" s="87"/>
      <c r="AJ2869" s="87"/>
      <c r="AK2869" s="87"/>
      <c r="AL2869" s="87">
        <v>1</v>
      </c>
      <c r="AM2869" s="87"/>
      <c r="AN2869" s="87">
        <v>6</v>
      </c>
      <c r="AO2869" s="87">
        <v>24</v>
      </c>
      <c r="AP2869" s="87">
        <v>20</v>
      </c>
      <c r="AQ2869" s="87">
        <v>22</v>
      </c>
      <c r="AR2869" s="87">
        <v>14</v>
      </c>
      <c r="AS2869" s="87">
        <v>15</v>
      </c>
      <c r="AT2869" s="87">
        <v>6</v>
      </c>
      <c r="AU2869" s="87"/>
      <c r="AV2869" s="87"/>
      <c r="AW2869" s="88" t="str">
        <f>HYPERLINK("http://www.openstreetmap.org/?mlat=35.5417&amp;mlon=45.4377&amp;zoom=12#map=12/35.5417/45.4377","Maplink1")</f>
        <v>Maplink1</v>
      </c>
      <c r="AX2869" s="88" t="str">
        <f>HYPERLINK("https://www.google.iq/maps/search/+35.5417,45.4377/@35.5417,45.4377,14z?hl=en","Maplink2")</f>
        <v>Maplink2</v>
      </c>
      <c r="AY2869" s="88" t="str">
        <f>HYPERLINK("http://www.bing.com/maps/?lvl=14&amp;sty=h&amp;cp=35.5417~45.4377&amp;sp=point.35.5417_45.4377","Maplink3")</f>
        <v>Maplink3</v>
      </c>
      <c r="AZ2869" s="76"/>
    </row>
    <row r="2870" spans="1:52" x14ac:dyDescent="0.25">
      <c r="A2870" s="86">
        <v>5809</v>
      </c>
      <c r="B2870" s="87" t="s">
        <v>27</v>
      </c>
      <c r="C2870" s="87" t="s">
        <v>5030</v>
      </c>
      <c r="D2870" s="87" t="s">
        <v>5442</v>
      </c>
      <c r="E2870" s="87" t="s">
        <v>5443</v>
      </c>
      <c r="F2870" s="87">
        <v>35.595429699999997</v>
      </c>
      <c r="G2870" s="87">
        <v>45.2289052</v>
      </c>
      <c r="H2870" s="86">
        <v>224</v>
      </c>
      <c r="I2870" s="86">
        <v>1344</v>
      </c>
      <c r="J2870" s="87">
        <v>48</v>
      </c>
      <c r="K2870" s="87">
        <v>7</v>
      </c>
      <c r="L2870" s="87">
        <v>6</v>
      </c>
      <c r="M2870" s="87"/>
      <c r="N2870" s="87"/>
      <c r="O2870" s="87">
        <v>16</v>
      </c>
      <c r="P2870" s="87"/>
      <c r="Q2870" s="87"/>
      <c r="R2870" s="87">
        <v>20</v>
      </c>
      <c r="S2870" s="87"/>
      <c r="T2870" s="87"/>
      <c r="U2870" s="87"/>
      <c r="V2870" s="87">
        <v>84</v>
      </c>
      <c r="W2870" s="87"/>
      <c r="X2870" s="87">
        <v>43</v>
      </c>
      <c r="Y2870" s="87"/>
      <c r="Z2870" s="87"/>
      <c r="AA2870" s="87"/>
      <c r="AB2870" s="87"/>
      <c r="AC2870" s="87"/>
      <c r="AD2870" s="87"/>
      <c r="AE2870" s="87"/>
      <c r="AF2870" s="87"/>
      <c r="AG2870" s="87"/>
      <c r="AH2870" s="87">
        <v>212</v>
      </c>
      <c r="AI2870" s="87"/>
      <c r="AJ2870" s="87"/>
      <c r="AK2870" s="87"/>
      <c r="AL2870" s="87">
        <v>12</v>
      </c>
      <c r="AM2870" s="87"/>
      <c r="AN2870" s="87">
        <v>9</v>
      </c>
      <c r="AO2870" s="87">
        <v>42</v>
      </c>
      <c r="AP2870" s="87">
        <v>99</v>
      </c>
      <c r="AQ2870" s="87">
        <v>15</v>
      </c>
      <c r="AR2870" s="87">
        <v>11</v>
      </c>
      <c r="AS2870" s="87">
        <v>11</v>
      </c>
      <c r="AT2870" s="87"/>
      <c r="AU2870" s="87">
        <v>35</v>
      </c>
      <c r="AV2870" s="87">
        <v>2</v>
      </c>
      <c r="AW2870" s="88" t="str">
        <f>HYPERLINK("http://www.openstreetmap.org/?mlat=35.5954&amp;mlon=45.2289&amp;zoom=12#map=12/35.5954/45.2289","Maplink1")</f>
        <v>Maplink1</v>
      </c>
      <c r="AX2870" s="88" t="str">
        <f>HYPERLINK("https://www.google.iq/maps/search/+35.5954,45.2289/@35.5954,45.2289,14z?hl=en","Maplink2")</f>
        <v>Maplink2</v>
      </c>
      <c r="AY2870" s="88" t="str">
        <f>HYPERLINK("http://www.bing.com/maps/?lvl=14&amp;sty=h&amp;cp=35.5954~45.2289&amp;sp=point.35.5954_45.2289","Maplink3")</f>
        <v>Maplink3</v>
      </c>
      <c r="AZ2870" s="76"/>
    </row>
    <row r="2871" spans="1:52" x14ac:dyDescent="0.25">
      <c r="A2871" s="86">
        <v>4732</v>
      </c>
      <c r="B2871" s="87" t="s">
        <v>27</v>
      </c>
      <c r="C2871" s="87" t="s">
        <v>5030</v>
      </c>
      <c r="D2871" s="87" t="s">
        <v>5444</v>
      </c>
      <c r="E2871" s="87" t="s">
        <v>5445</v>
      </c>
      <c r="F2871" s="87">
        <v>35.311274699999998</v>
      </c>
      <c r="G2871" s="87">
        <v>45.365736499999997</v>
      </c>
      <c r="H2871" s="86">
        <v>4</v>
      </c>
      <c r="I2871" s="86">
        <v>24</v>
      </c>
      <c r="J2871" s="87"/>
      <c r="K2871" s="87"/>
      <c r="L2871" s="87"/>
      <c r="M2871" s="87"/>
      <c r="N2871" s="87"/>
      <c r="O2871" s="87">
        <v>1</v>
      </c>
      <c r="P2871" s="87"/>
      <c r="Q2871" s="87"/>
      <c r="R2871" s="87"/>
      <c r="S2871" s="87"/>
      <c r="T2871" s="87"/>
      <c r="U2871" s="87"/>
      <c r="V2871" s="87">
        <v>1</v>
      </c>
      <c r="W2871" s="87"/>
      <c r="X2871" s="87">
        <v>2</v>
      </c>
      <c r="Y2871" s="87"/>
      <c r="Z2871" s="87"/>
      <c r="AA2871" s="87"/>
      <c r="AB2871" s="87"/>
      <c r="AC2871" s="87"/>
      <c r="AD2871" s="87"/>
      <c r="AE2871" s="87"/>
      <c r="AF2871" s="87"/>
      <c r="AG2871" s="87"/>
      <c r="AH2871" s="87">
        <v>4</v>
      </c>
      <c r="AI2871" s="87"/>
      <c r="AJ2871" s="87"/>
      <c r="AK2871" s="87"/>
      <c r="AL2871" s="87"/>
      <c r="AM2871" s="87"/>
      <c r="AN2871" s="87"/>
      <c r="AO2871" s="87">
        <v>1</v>
      </c>
      <c r="AP2871" s="87"/>
      <c r="AQ2871" s="87">
        <v>1</v>
      </c>
      <c r="AR2871" s="87">
        <v>1</v>
      </c>
      <c r="AS2871" s="87">
        <v>1</v>
      </c>
      <c r="AT2871" s="87"/>
      <c r="AU2871" s="87"/>
      <c r="AV2871" s="87"/>
      <c r="AW2871" s="88" t="str">
        <f>HYPERLINK("http://www.openstreetmap.org/?mlat=35.3113&amp;mlon=45.3657&amp;zoom=12#map=12/35.3113/45.3657","Maplink1")</f>
        <v>Maplink1</v>
      </c>
      <c r="AX2871" s="88" t="str">
        <f>HYPERLINK("https://www.google.iq/maps/search/+35.3113,45.3657/@35.3113,45.3657,14z?hl=en","Maplink2")</f>
        <v>Maplink2</v>
      </c>
      <c r="AY2871" s="88" t="str">
        <f>HYPERLINK("http://www.bing.com/maps/?lvl=14&amp;sty=h&amp;cp=35.3113~45.3657&amp;sp=point.35.3113_45.3657","Maplink3")</f>
        <v>Maplink3</v>
      </c>
      <c r="AZ2871" s="76"/>
    </row>
    <row r="2872" spans="1:52" x14ac:dyDescent="0.25">
      <c r="A2872" s="86">
        <v>21033</v>
      </c>
      <c r="B2872" s="87" t="s">
        <v>27</v>
      </c>
      <c r="C2872" s="87" t="s">
        <v>5030</v>
      </c>
      <c r="D2872" s="87" t="s">
        <v>5446</v>
      </c>
      <c r="E2872" s="87" t="s">
        <v>5447</v>
      </c>
      <c r="F2872" s="87">
        <v>35.598323100000002</v>
      </c>
      <c r="G2872" s="87">
        <v>45.3944926</v>
      </c>
      <c r="H2872" s="86">
        <v>72</v>
      </c>
      <c r="I2872" s="86">
        <v>432</v>
      </c>
      <c r="J2872" s="87">
        <v>23</v>
      </c>
      <c r="K2872" s="87"/>
      <c r="L2872" s="87">
        <v>14</v>
      </c>
      <c r="M2872" s="87"/>
      <c r="N2872" s="87"/>
      <c r="O2872" s="87">
        <v>2</v>
      </c>
      <c r="P2872" s="87"/>
      <c r="Q2872" s="87"/>
      <c r="R2872" s="87">
        <v>20</v>
      </c>
      <c r="S2872" s="87"/>
      <c r="T2872" s="87"/>
      <c r="U2872" s="87"/>
      <c r="V2872" s="87">
        <v>3</v>
      </c>
      <c r="W2872" s="87"/>
      <c r="X2872" s="87">
        <v>10</v>
      </c>
      <c r="Y2872" s="87"/>
      <c r="Z2872" s="87"/>
      <c r="AA2872" s="87"/>
      <c r="AB2872" s="87"/>
      <c r="AC2872" s="87"/>
      <c r="AD2872" s="87"/>
      <c r="AE2872" s="87"/>
      <c r="AF2872" s="87"/>
      <c r="AG2872" s="87"/>
      <c r="AH2872" s="87">
        <v>72</v>
      </c>
      <c r="AI2872" s="87"/>
      <c r="AJ2872" s="87"/>
      <c r="AK2872" s="87"/>
      <c r="AL2872" s="87"/>
      <c r="AM2872" s="87"/>
      <c r="AN2872" s="87">
        <v>5</v>
      </c>
      <c r="AO2872" s="87">
        <v>15</v>
      </c>
      <c r="AP2872" s="87">
        <v>3</v>
      </c>
      <c r="AQ2872" s="87">
        <v>11</v>
      </c>
      <c r="AR2872" s="87">
        <v>5</v>
      </c>
      <c r="AS2872" s="87">
        <v>8</v>
      </c>
      <c r="AT2872" s="87"/>
      <c r="AU2872" s="87">
        <v>25</v>
      </c>
      <c r="AV2872" s="87"/>
      <c r="AW2872" s="88" t="str">
        <f>HYPERLINK("http://www.openstreetmap.org/?mlat=35.5983&amp;mlon=45.3945&amp;zoom=12#map=12/35.5983/45.3945","Maplink1")</f>
        <v>Maplink1</v>
      </c>
      <c r="AX2872" s="88" t="str">
        <f>HYPERLINK("https://www.google.iq/maps/search/+35.5983,45.3945/@35.5983,45.3945,14z?hl=en","Maplink2")</f>
        <v>Maplink2</v>
      </c>
      <c r="AY2872" s="88" t="str">
        <f>HYPERLINK("http://www.bing.com/maps/?lvl=14&amp;sty=h&amp;cp=35.5983~45.3945&amp;sp=point.35.5983_45.3945","Maplink3")</f>
        <v>Maplink3</v>
      </c>
      <c r="AZ2872" s="76"/>
    </row>
    <row r="2873" spans="1:52" x14ac:dyDescent="0.25">
      <c r="A2873" s="86">
        <v>5056</v>
      </c>
      <c r="B2873" s="87" t="s">
        <v>27</v>
      </c>
      <c r="C2873" s="87" t="s">
        <v>5030</v>
      </c>
      <c r="D2873" s="87" t="s">
        <v>4808</v>
      </c>
      <c r="E2873" s="87" t="s">
        <v>4809</v>
      </c>
      <c r="F2873" s="87">
        <v>35.393278299999999</v>
      </c>
      <c r="G2873" s="87">
        <v>45.378865400000002</v>
      </c>
      <c r="H2873" s="86">
        <v>6</v>
      </c>
      <c r="I2873" s="86">
        <v>36</v>
      </c>
      <c r="J2873" s="87"/>
      <c r="K2873" s="87"/>
      <c r="L2873" s="87">
        <v>2</v>
      </c>
      <c r="M2873" s="87"/>
      <c r="N2873" s="87"/>
      <c r="O2873" s="87">
        <v>1</v>
      </c>
      <c r="P2873" s="87"/>
      <c r="Q2873" s="87"/>
      <c r="R2873" s="87"/>
      <c r="S2873" s="87"/>
      <c r="T2873" s="87"/>
      <c r="U2873" s="87"/>
      <c r="V2873" s="87"/>
      <c r="W2873" s="87"/>
      <c r="X2873" s="87">
        <v>3</v>
      </c>
      <c r="Y2873" s="87"/>
      <c r="Z2873" s="87"/>
      <c r="AA2873" s="87"/>
      <c r="AB2873" s="87"/>
      <c r="AC2873" s="87"/>
      <c r="AD2873" s="87"/>
      <c r="AE2873" s="87"/>
      <c r="AF2873" s="87"/>
      <c r="AG2873" s="87"/>
      <c r="AH2873" s="87">
        <v>6</v>
      </c>
      <c r="AI2873" s="87"/>
      <c r="AJ2873" s="87"/>
      <c r="AK2873" s="87"/>
      <c r="AL2873" s="87"/>
      <c r="AM2873" s="87"/>
      <c r="AN2873" s="87"/>
      <c r="AO2873" s="87"/>
      <c r="AP2873" s="87"/>
      <c r="AQ2873" s="87"/>
      <c r="AR2873" s="87">
        <v>1</v>
      </c>
      <c r="AS2873" s="87">
        <v>2</v>
      </c>
      <c r="AT2873" s="87">
        <v>1</v>
      </c>
      <c r="AU2873" s="87"/>
      <c r="AV2873" s="87">
        <v>2</v>
      </c>
      <c r="AW2873" s="88" t="str">
        <f>HYPERLINK("http://www.openstreetmap.org/?mlat=35.3933&amp;mlon=45.3789&amp;zoom=12#map=12/35.3933/45.3789","Maplink1")</f>
        <v>Maplink1</v>
      </c>
      <c r="AX2873" s="88" t="str">
        <f>HYPERLINK("https://www.google.iq/maps/search/+35.3933,45.3789/@35.3933,45.3789,14z?hl=en","Maplink2")</f>
        <v>Maplink2</v>
      </c>
      <c r="AY2873" s="88" t="str">
        <f>HYPERLINK("http://www.bing.com/maps/?lvl=14&amp;sty=h&amp;cp=35.3933~45.3789&amp;sp=point.35.3933_45.3789","Maplink3")</f>
        <v>Maplink3</v>
      </c>
      <c r="AZ2873" s="76"/>
    </row>
    <row r="2874" spans="1:52" x14ac:dyDescent="0.25">
      <c r="A2874" s="86">
        <v>21029</v>
      </c>
      <c r="B2874" s="87" t="s">
        <v>27</v>
      </c>
      <c r="C2874" s="87" t="s">
        <v>5030</v>
      </c>
      <c r="D2874" s="87" t="s">
        <v>5448</v>
      </c>
      <c r="E2874" s="87" t="s">
        <v>5449</v>
      </c>
      <c r="F2874" s="87">
        <v>35.570284000000001</v>
      </c>
      <c r="G2874" s="87">
        <v>45.452570700000003</v>
      </c>
      <c r="H2874" s="86">
        <v>16</v>
      </c>
      <c r="I2874" s="86">
        <v>96</v>
      </c>
      <c r="J2874" s="87">
        <v>7</v>
      </c>
      <c r="K2874" s="87">
        <v>1</v>
      </c>
      <c r="L2874" s="87">
        <v>5</v>
      </c>
      <c r="M2874" s="87"/>
      <c r="N2874" s="87"/>
      <c r="O2874" s="87"/>
      <c r="P2874" s="87"/>
      <c r="Q2874" s="87"/>
      <c r="R2874" s="87"/>
      <c r="S2874" s="87"/>
      <c r="T2874" s="87"/>
      <c r="U2874" s="87"/>
      <c r="V2874" s="87">
        <v>2</v>
      </c>
      <c r="W2874" s="87"/>
      <c r="X2874" s="87">
        <v>1</v>
      </c>
      <c r="Y2874" s="87"/>
      <c r="Z2874" s="87"/>
      <c r="AA2874" s="87"/>
      <c r="AB2874" s="87"/>
      <c r="AC2874" s="87"/>
      <c r="AD2874" s="87"/>
      <c r="AE2874" s="87"/>
      <c r="AF2874" s="87"/>
      <c r="AG2874" s="87"/>
      <c r="AH2874" s="87">
        <v>16</v>
      </c>
      <c r="AI2874" s="87"/>
      <c r="AJ2874" s="87"/>
      <c r="AK2874" s="87"/>
      <c r="AL2874" s="87"/>
      <c r="AM2874" s="87"/>
      <c r="AN2874" s="87">
        <v>5</v>
      </c>
      <c r="AO2874" s="87">
        <v>1</v>
      </c>
      <c r="AP2874" s="87">
        <v>1</v>
      </c>
      <c r="AQ2874" s="87">
        <v>2</v>
      </c>
      <c r="AR2874" s="87">
        <v>2</v>
      </c>
      <c r="AS2874" s="87">
        <v>1</v>
      </c>
      <c r="AT2874" s="87">
        <v>2</v>
      </c>
      <c r="AU2874" s="87">
        <v>2</v>
      </c>
      <c r="AV2874" s="87"/>
      <c r="AW2874" s="88" t="str">
        <f>HYPERLINK("http://www.openstreetmap.org/?mlat=35.5703&amp;mlon=45.4526&amp;zoom=12#map=12/35.5703/45.4526","Maplink1")</f>
        <v>Maplink1</v>
      </c>
      <c r="AX2874" s="88" t="str">
        <f>HYPERLINK("https://www.google.iq/maps/search/+35.5703,45.4526/@35.5703,45.4526,14z?hl=en","Maplink2")</f>
        <v>Maplink2</v>
      </c>
      <c r="AY2874" s="88" t="str">
        <f>HYPERLINK("http://www.bing.com/maps/?lvl=14&amp;sty=h&amp;cp=35.5703~45.4526&amp;sp=point.35.5703_45.4526","Maplink3")</f>
        <v>Maplink3</v>
      </c>
      <c r="AZ2874" s="76"/>
    </row>
    <row r="2875" spans="1:52" x14ac:dyDescent="0.25">
      <c r="A2875" s="86">
        <v>25523</v>
      </c>
      <c r="B2875" s="87" t="s">
        <v>27</v>
      </c>
      <c r="C2875" s="87" t="s">
        <v>5030</v>
      </c>
      <c r="D2875" s="87" t="s">
        <v>5450</v>
      </c>
      <c r="E2875" s="87" t="s">
        <v>5451</v>
      </c>
      <c r="F2875" s="87">
        <v>35.429555399999998</v>
      </c>
      <c r="G2875" s="87">
        <v>45.450667899999999</v>
      </c>
      <c r="H2875" s="86">
        <v>14</v>
      </c>
      <c r="I2875" s="86">
        <v>84</v>
      </c>
      <c r="J2875" s="87"/>
      <c r="K2875" s="87">
        <v>3</v>
      </c>
      <c r="L2875" s="87">
        <v>5</v>
      </c>
      <c r="M2875" s="87"/>
      <c r="N2875" s="87"/>
      <c r="O2875" s="87">
        <v>1</v>
      </c>
      <c r="P2875" s="87"/>
      <c r="Q2875" s="87"/>
      <c r="R2875" s="87"/>
      <c r="S2875" s="87"/>
      <c r="T2875" s="87"/>
      <c r="U2875" s="87"/>
      <c r="V2875" s="87">
        <v>4</v>
      </c>
      <c r="W2875" s="87"/>
      <c r="X2875" s="87">
        <v>1</v>
      </c>
      <c r="Y2875" s="87"/>
      <c r="Z2875" s="87"/>
      <c r="AA2875" s="87"/>
      <c r="AB2875" s="87"/>
      <c r="AC2875" s="87"/>
      <c r="AD2875" s="87"/>
      <c r="AE2875" s="87"/>
      <c r="AF2875" s="87"/>
      <c r="AG2875" s="87"/>
      <c r="AH2875" s="87">
        <v>14</v>
      </c>
      <c r="AI2875" s="87"/>
      <c r="AJ2875" s="87"/>
      <c r="AK2875" s="87"/>
      <c r="AL2875" s="87"/>
      <c r="AM2875" s="87"/>
      <c r="AN2875" s="87"/>
      <c r="AO2875" s="87">
        <v>5</v>
      </c>
      <c r="AP2875" s="87">
        <v>5</v>
      </c>
      <c r="AQ2875" s="87">
        <v>3</v>
      </c>
      <c r="AR2875" s="87">
        <v>1</v>
      </c>
      <c r="AS2875" s="87"/>
      <c r="AT2875" s="87"/>
      <c r="AU2875" s="87"/>
      <c r="AV2875" s="87"/>
      <c r="AW2875" s="88" t="str">
        <f>HYPERLINK("http://www.openstreetmap.org/?mlat=35.4296&amp;mlon=45.4507&amp;zoom=12#map=12/35.4296/45.4507","Maplink1")</f>
        <v>Maplink1</v>
      </c>
      <c r="AX2875" s="88" t="str">
        <f>HYPERLINK("https://www.google.iq/maps/search/+35.4296,45.4507/@35.4296,45.4507,14z?hl=en","Maplink2")</f>
        <v>Maplink2</v>
      </c>
      <c r="AY2875" s="88" t="str">
        <f>HYPERLINK("http://www.bing.com/maps/?lvl=14&amp;sty=h&amp;cp=35.4296~45.4507&amp;sp=point.35.4296_45.4507","Maplink3")</f>
        <v>Maplink3</v>
      </c>
      <c r="AZ2875" s="76"/>
    </row>
    <row r="2876" spans="1:52" x14ac:dyDescent="0.25">
      <c r="A2876" s="86">
        <v>33351</v>
      </c>
      <c r="B2876" s="87" t="s">
        <v>27</v>
      </c>
      <c r="C2876" s="87" t="s">
        <v>5030</v>
      </c>
      <c r="D2876" s="87" t="s">
        <v>5452</v>
      </c>
      <c r="E2876" s="87" t="s">
        <v>5453</v>
      </c>
      <c r="F2876" s="87">
        <v>35.553872900000002</v>
      </c>
      <c r="G2876" s="87">
        <v>45.431890600000003</v>
      </c>
      <c r="H2876" s="86">
        <v>7</v>
      </c>
      <c r="I2876" s="86">
        <v>42</v>
      </c>
      <c r="J2876" s="87">
        <v>2</v>
      </c>
      <c r="K2876" s="87"/>
      <c r="L2876" s="87">
        <v>1</v>
      </c>
      <c r="M2876" s="87"/>
      <c r="N2876" s="87"/>
      <c r="O2876" s="87"/>
      <c r="P2876" s="87"/>
      <c r="Q2876" s="87"/>
      <c r="R2876" s="87"/>
      <c r="S2876" s="87"/>
      <c r="T2876" s="87"/>
      <c r="U2876" s="87"/>
      <c r="V2876" s="87">
        <v>3</v>
      </c>
      <c r="W2876" s="87"/>
      <c r="X2876" s="87">
        <v>1</v>
      </c>
      <c r="Y2876" s="87"/>
      <c r="Z2876" s="87"/>
      <c r="AA2876" s="87"/>
      <c r="AB2876" s="87"/>
      <c r="AC2876" s="87"/>
      <c r="AD2876" s="87"/>
      <c r="AE2876" s="87"/>
      <c r="AF2876" s="87"/>
      <c r="AG2876" s="87"/>
      <c r="AH2876" s="87">
        <v>7</v>
      </c>
      <c r="AI2876" s="87"/>
      <c r="AJ2876" s="87"/>
      <c r="AK2876" s="87"/>
      <c r="AL2876" s="87"/>
      <c r="AM2876" s="87"/>
      <c r="AN2876" s="87"/>
      <c r="AO2876" s="87">
        <v>1</v>
      </c>
      <c r="AP2876" s="87">
        <v>1</v>
      </c>
      <c r="AQ2876" s="87">
        <v>1</v>
      </c>
      <c r="AR2876" s="87">
        <v>1</v>
      </c>
      <c r="AS2876" s="87">
        <v>3</v>
      </c>
      <c r="AT2876" s="87"/>
      <c r="AU2876" s="87"/>
      <c r="AV2876" s="87"/>
      <c r="AW2876" s="88" t="str">
        <f>HYPERLINK("http://www.openstreetmap.org/?mlat=35.5539&amp;mlon=45.4319&amp;zoom=12#map=12/35.5539/45.4319","Maplink1")</f>
        <v>Maplink1</v>
      </c>
      <c r="AX2876" s="88" t="str">
        <f>HYPERLINK("https://www.google.iq/maps/search/+35.5539,45.4319/@35.5539,45.4319,14z?hl=en","Maplink2")</f>
        <v>Maplink2</v>
      </c>
      <c r="AY2876" s="88" t="str">
        <f>HYPERLINK("http://www.bing.com/maps/?lvl=14&amp;sty=h&amp;cp=35.5539~45.4319&amp;sp=point.35.5539_45.4319","Maplink3")</f>
        <v>Maplink3</v>
      </c>
      <c r="AZ2876" s="76"/>
    </row>
    <row r="2877" spans="1:52" x14ac:dyDescent="0.25">
      <c r="A2877" s="86">
        <v>5930</v>
      </c>
      <c r="B2877" s="87" t="s">
        <v>27</v>
      </c>
      <c r="C2877" s="87" t="s">
        <v>5030</v>
      </c>
      <c r="D2877" s="87" t="s">
        <v>5454</v>
      </c>
      <c r="E2877" s="87" t="s">
        <v>5455</v>
      </c>
      <c r="F2877" s="87">
        <v>35.534237500000003</v>
      </c>
      <c r="G2877" s="87">
        <v>45.429516300000003</v>
      </c>
      <c r="H2877" s="86">
        <v>158</v>
      </c>
      <c r="I2877" s="86">
        <v>948</v>
      </c>
      <c r="J2877" s="87">
        <v>57</v>
      </c>
      <c r="K2877" s="87">
        <v>13</v>
      </c>
      <c r="L2877" s="87">
        <v>38</v>
      </c>
      <c r="M2877" s="87"/>
      <c r="N2877" s="87"/>
      <c r="O2877" s="87">
        <v>1</v>
      </c>
      <c r="P2877" s="87"/>
      <c r="Q2877" s="87"/>
      <c r="R2877" s="87">
        <v>4</v>
      </c>
      <c r="S2877" s="87"/>
      <c r="T2877" s="87"/>
      <c r="U2877" s="87"/>
      <c r="V2877" s="87">
        <v>17</v>
      </c>
      <c r="W2877" s="87"/>
      <c r="X2877" s="87">
        <v>28</v>
      </c>
      <c r="Y2877" s="87"/>
      <c r="Z2877" s="87"/>
      <c r="AA2877" s="87"/>
      <c r="AB2877" s="87"/>
      <c r="AC2877" s="87"/>
      <c r="AD2877" s="87"/>
      <c r="AE2877" s="87"/>
      <c r="AF2877" s="87"/>
      <c r="AG2877" s="87"/>
      <c r="AH2877" s="87">
        <v>158</v>
      </c>
      <c r="AI2877" s="87"/>
      <c r="AJ2877" s="87"/>
      <c r="AK2877" s="87"/>
      <c r="AL2877" s="87"/>
      <c r="AM2877" s="87"/>
      <c r="AN2877" s="87">
        <v>3</v>
      </c>
      <c r="AO2877" s="87">
        <v>21</v>
      </c>
      <c r="AP2877" s="87">
        <v>37</v>
      </c>
      <c r="AQ2877" s="87">
        <v>35</v>
      </c>
      <c r="AR2877" s="87">
        <v>22</v>
      </c>
      <c r="AS2877" s="87">
        <v>29</v>
      </c>
      <c r="AT2877" s="87"/>
      <c r="AU2877" s="87">
        <v>11</v>
      </c>
      <c r="AV2877" s="87"/>
      <c r="AW2877" s="88" t="str">
        <f>HYPERLINK("http://www.openstreetmap.org/?mlat=35.5342&amp;mlon=45.4295&amp;zoom=12#map=12/35.5342/45.4295","Maplink1")</f>
        <v>Maplink1</v>
      </c>
      <c r="AX2877" s="88" t="str">
        <f>HYPERLINK("https://www.google.iq/maps/search/+35.5342,45.4295/@35.5342,45.4295,14z?hl=en","Maplink2")</f>
        <v>Maplink2</v>
      </c>
      <c r="AY2877" s="88" t="str">
        <f>HYPERLINK("http://www.bing.com/maps/?lvl=14&amp;sty=h&amp;cp=35.5342~45.4295&amp;sp=point.35.5342_45.4295","Maplink3")</f>
        <v>Maplink3</v>
      </c>
      <c r="AZ2877" s="76"/>
    </row>
    <row r="2878" spans="1:52" x14ac:dyDescent="0.25">
      <c r="A2878" s="86">
        <v>32071</v>
      </c>
      <c r="B2878" s="87" t="s">
        <v>27</v>
      </c>
      <c r="C2878" s="87" t="s">
        <v>5030</v>
      </c>
      <c r="D2878" s="87" t="s">
        <v>5456</v>
      </c>
      <c r="E2878" s="87" t="s">
        <v>5457</v>
      </c>
      <c r="F2878" s="87">
        <v>35.554370800000001</v>
      </c>
      <c r="G2878" s="87">
        <v>45.363036000000001</v>
      </c>
      <c r="H2878" s="86">
        <v>99</v>
      </c>
      <c r="I2878" s="86">
        <v>594</v>
      </c>
      <c r="J2878" s="87">
        <v>22</v>
      </c>
      <c r="K2878" s="87">
        <v>2</v>
      </c>
      <c r="L2878" s="87">
        <v>38</v>
      </c>
      <c r="M2878" s="87"/>
      <c r="N2878" s="87"/>
      <c r="O2878" s="87">
        <v>4</v>
      </c>
      <c r="P2878" s="87"/>
      <c r="Q2878" s="87"/>
      <c r="R2878" s="87">
        <v>10</v>
      </c>
      <c r="S2878" s="87"/>
      <c r="T2878" s="87"/>
      <c r="U2878" s="87"/>
      <c r="V2878" s="87">
        <v>9</v>
      </c>
      <c r="W2878" s="87"/>
      <c r="X2878" s="87">
        <v>14</v>
      </c>
      <c r="Y2878" s="87"/>
      <c r="Z2878" s="87"/>
      <c r="AA2878" s="87"/>
      <c r="AB2878" s="87"/>
      <c r="AC2878" s="87"/>
      <c r="AD2878" s="87"/>
      <c r="AE2878" s="87"/>
      <c r="AF2878" s="87"/>
      <c r="AG2878" s="87"/>
      <c r="AH2878" s="87">
        <v>99</v>
      </c>
      <c r="AI2878" s="87"/>
      <c r="AJ2878" s="87"/>
      <c r="AK2878" s="87"/>
      <c r="AL2878" s="87"/>
      <c r="AM2878" s="87"/>
      <c r="AN2878" s="87">
        <v>11</v>
      </c>
      <c r="AO2878" s="87">
        <v>23</v>
      </c>
      <c r="AP2878" s="87">
        <v>22</v>
      </c>
      <c r="AQ2878" s="87">
        <v>19</v>
      </c>
      <c r="AR2878" s="87">
        <v>6</v>
      </c>
      <c r="AS2878" s="87">
        <v>6</v>
      </c>
      <c r="AT2878" s="87">
        <v>2</v>
      </c>
      <c r="AU2878" s="87">
        <v>10</v>
      </c>
      <c r="AV2878" s="87"/>
      <c r="AW2878" s="88" t="str">
        <f>HYPERLINK("http://www.openstreetmap.org/?mlat=35.5544&amp;mlon=45.363&amp;zoom=12#map=12/35.5544/45.363","Maplink1")</f>
        <v>Maplink1</v>
      </c>
      <c r="AX2878" s="88" t="str">
        <f>HYPERLINK("https://www.google.iq/maps/search/+35.5544,45.363/@35.5544,45.363,14z?hl=en","Maplink2")</f>
        <v>Maplink2</v>
      </c>
      <c r="AY2878" s="88" t="str">
        <f>HYPERLINK("http://www.bing.com/maps/?lvl=14&amp;sty=h&amp;cp=35.5544~45.363&amp;sp=point.35.5544_45.363","Maplink3")</f>
        <v>Maplink3</v>
      </c>
      <c r="AZ2878" s="76"/>
    </row>
    <row r="2879" spans="1:52" x14ac:dyDescent="0.25">
      <c r="A2879" s="86">
        <v>5813</v>
      </c>
      <c r="B2879" s="87" t="s">
        <v>27</v>
      </c>
      <c r="C2879" s="87" t="s">
        <v>5030</v>
      </c>
      <c r="D2879" s="87" t="s">
        <v>5458</v>
      </c>
      <c r="E2879" s="87" t="s">
        <v>5459</v>
      </c>
      <c r="F2879" s="87">
        <v>35.577118900000002</v>
      </c>
      <c r="G2879" s="87">
        <v>45.407854899999997</v>
      </c>
      <c r="H2879" s="86">
        <v>102</v>
      </c>
      <c r="I2879" s="86">
        <v>612</v>
      </c>
      <c r="J2879" s="87">
        <v>29</v>
      </c>
      <c r="K2879" s="87">
        <v>1</v>
      </c>
      <c r="L2879" s="87">
        <v>51</v>
      </c>
      <c r="M2879" s="87"/>
      <c r="N2879" s="87"/>
      <c r="O2879" s="87">
        <v>8</v>
      </c>
      <c r="P2879" s="87"/>
      <c r="Q2879" s="87"/>
      <c r="R2879" s="87"/>
      <c r="S2879" s="87"/>
      <c r="T2879" s="87"/>
      <c r="U2879" s="87"/>
      <c r="V2879" s="87">
        <v>5</v>
      </c>
      <c r="W2879" s="87"/>
      <c r="X2879" s="87">
        <v>8</v>
      </c>
      <c r="Y2879" s="87"/>
      <c r="Z2879" s="87"/>
      <c r="AA2879" s="87"/>
      <c r="AB2879" s="87"/>
      <c r="AC2879" s="87"/>
      <c r="AD2879" s="87"/>
      <c r="AE2879" s="87"/>
      <c r="AF2879" s="87"/>
      <c r="AG2879" s="87"/>
      <c r="AH2879" s="87">
        <v>102</v>
      </c>
      <c r="AI2879" s="87"/>
      <c r="AJ2879" s="87"/>
      <c r="AK2879" s="87"/>
      <c r="AL2879" s="87"/>
      <c r="AM2879" s="87"/>
      <c r="AN2879" s="87">
        <v>8</v>
      </c>
      <c r="AO2879" s="87">
        <v>23</v>
      </c>
      <c r="AP2879" s="87">
        <v>11</v>
      </c>
      <c r="AQ2879" s="87">
        <v>17</v>
      </c>
      <c r="AR2879" s="87">
        <v>15</v>
      </c>
      <c r="AS2879" s="87">
        <v>9</v>
      </c>
      <c r="AT2879" s="87">
        <v>5</v>
      </c>
      <c r="AU2879" s="87">
        <v>8</v>
      </c>
      <c r="AV2879" s="87">
        <v>6</v>
      </c>
      <c r="AW2879" s="88" t="str">
        <f>HYPERLINK("http://www.openstreetmap.org/?mlat=35.5771&amp;mlon=45.4079&amp;zoom=12#map=12/35.5771/45.4079","Maplink1")</f>
        <v>Maplink1</v>
      </c>
      <c r="AX2879" s="88" t="str">
        <f>HYPERLINK("https://www.google.iq/maps/search/+35.5771,45.4079/@35.5771,45.4079,14z?hl=en","Maplink2")</f>
        <v>Maplink2</v>
      </c>
      <c r="AY2879" s="88" t="str">
        <f>HYPERLINK("http://www.bing.com/maps/?lvl=14&amp;sty=h&amp;cp=35.5771~45.4079&amp;sp=point.35.5771_45.4079","Maplink3")</f>
        <v>Maplink3</v>
      </c>
      <c r="AZ2879" s="76"/>
    </row>
    <row r="2880" spans="1:52" x14ac:dyDescent="0.25">
      <c r="A2880" s="86">
        <v>31866</v>
      </c>
      <c r="B2880" s="87" t="s">
        <v>27</v>
      </c>
      <c r="C2880" s="87" t="s">
        <v>5030</v>
      </c>
      <c r="D2880" s="87" t="s">
        <v>5460</v>
      </c>
      <c r="E2880" s="87" t="s">
        <v>5461</v>
      </c>
      <c r="F2880" s="87">
        <v>35.415684200000001</v>
      </c>
      <c r="G2880" s="87">
        <v>45.460663799999999</v>
      </c>
      <c r="H2880" s="86">
        <v>26</v>
      </c>
      <c r="I2880" s="86">
        <v>156</v>
      </c>
      <c r="J2880" s="87">
        <v>4</v>
      </c>
      <c r="K2880" s="87">
        <v>2</v>
      </c>
      <c r="L2880" s="87">
        <v>2</v>
      </c>
      <c r="M2880" s="87"/>
      <c r="N2880" s="87"/>
      <c r="O2880" s="87">
        <v>4</v>
      </c>
      <c r="P2880" s="87"/>
      <c r="Q2880" s="87"/>
      <c r="R2880" s="87">
        <v>1</v>
      </c>
      <c r="S2880" s="87"/>
      <c r="T2880" s="87"/>
      <c r="U2880" s="87"/>
      <c r="V2880" s="87"/>
      <c r="W2880" s="87"/>
      <c r="X2880" s="87">
        <v>13</v>
      </c>
      <c r="Y2880" s="87"/>
      <c r="Z2880" s="87"/>
      <c r="AA2880" s="87"/>
      <c r="AB2880" s="87"/>
      <c r="AC2880" s="87"/>
      <c r="AD2880" s="87"/>
      <c r="AE2880" s="87"/>
      <c r="AF2880" s="87"/>
      <c r="AG2880" s="87"/>
      <c r="AH2880" s="87">
        <v>26</v>
      </c>
      <c r="AI2880" s="87"/>
      <c r="AJ2880" s="87"/>
      <c r="AK2880" s="87"/>
      <c r="AL2880" s="87"/>
      <c r="AM2880" s="87"/>
      <c r="AN2880" s="87"/>
      <c r="AO2880" s="87">
        <v>2</v>
      </c>
      <c r="AP2880" s="87">
        <v>14</v>
      </c>
      <c r="AQ2880" s="87">
        <v>6</v>
      </c>
      <c r="AR2880" s="87">
        <v>2</v>
      </c>
      <c r="AS2880" s="87"/>
      <c r="AT2880" s="87">
        <v>1</v>
      </c>
      <c r="AU2880" s="87">
        <v>1</v>
      </c>
      <c r="AV2880" s="87"/>
      <c r="AW2880" s="88" t="str">
        <f>HYPERLINK("http://www.openstreetmap.org/?mlat=35.4157&amp;mlon=45.4607&amp;zoom=12#map=12/35.4157/45.4607","Maplink1")</f>
        <v>Maplink1</v>
      </c>
      <c r="AX2880" s="88" t="str">
        <f>HYPERLINK("https://www.google.iq/maps/search/+35.4157,45.4607/@35.4157,45.4607,14z?hl=en","Maplink2")</f>
        <v>Maplink2</v>
      </c>
      <c r="AY2880" s="88" t="str">
        <f>HYPERLINK("http://www.bing.com/maps/?lvl=14&amp;sty=h&amp;cp=35.4157~45.4607&amp;sp=point.35.4157_45.4607","Maplink3")</f>
        <v>Maplink3</v>
      </c>
      <c r="AZ2880" s="76"/>
    </row>
    <row r="2881" spans="1:52" x14ac:dyDescent="0.25">
      <c r="A2881" s="86">
        <v>31990</v>
      </c>
      <c r="B2881" s="87" t="s">
        <v>27</v>
      </c>
      <c r="C2881" s="87" t="s">
        <v>5030</v>
      </c>
      <c r="D2881" s="87" t="s">
        <v>5462</v>
      </c>
      <c r="E2881" s="87" t="s">
        <v>5463</v>
      </c>
      <c r="F2881" s="87">
        <v>35.587657999999998</v>
      </c>
      <c r="G2881" s="87">
        <v>45.4201774</v>
      </c>
      <c r="H2881" s="86">
        <v>80</v>
      </c>
      <c r="I2881" s="86">
        <v>480</v>
      </c>
      <c r="J2881" s="87">
        <v>34</v>
      </c>
      <c r="K2881" s="87"/>
      <c r="L2881" s="87">
        <v>24</v>
      </c>
      <c r="M2881" s="87"/>
      <c r="N2881" s="87"/>
      <c r="O2881" s="87">
        <v>7</v>
      </c>
      <c r="P2881" s="87"/>
      <c r="Q2881" s="87"/>
      <c r="R2881" s="87"/>
      <c r="S2881" s="87"/>
      <c r="T2881" s="87"/>
      <c r="U2881" s="87"/>
      <c r="V2881" s="87">
        <v>6</v>
      </c>
      <c r="W2881" s="87"/>
      <c r="X2881" s="87">
        <v>9</v>
      </c>
      <c r="Y2881" s="87"/>
      <c r="Z2881" s="87"/>
      <c r="AA2881" s="87"/>
      <c r="AB2881" s="87"/>
      <c r="AC2881" s="87"/>
      <c r="AD2881" s="87"/>
      <c r="AE2881" s="87"/>
      <c r="AF2881" s="87"/>
      <c r="AG2881" s="87"/>
      <c r="AH2881" s="87">
        <v>80</v>
      </c>
      <c r="AI2881" s="87"/>
      <c r="AJ2881" s="87"/>
      <c r="AK2881" s="87"/>
      <c r="AL2881" s="87"/>
      <c r="AM2881" s="87"/>
      <c r="AN2881" s="87">
        <v>6</v>
      </c>
      <c r="AO2881" s="87">
        <v>9</v>
      </c>
      <c r="AP2881" s="87">
        <v>11</v>
      </c>
      <c r="AQ2881" s="87">
        <v>11</v>
      </c>
      <c r="AR2881" s="87">
        <v>21</v>
      </c>
      <c r="AS2881" s="87">
        <v>17</v>
      </c>
      <c r="AT2881" s="87">
        <v>3</v>
      </c>
      <c r="AU2881" s="87">
        <v>1</v>
      </c>
      <c r="AV2881" s="87">
        <v>1</v>
      </c>
      <c r="AW2881" s="88" t="str">
        <f>HYPERLINK("http://www.openstreetmap.org/?mlat=35.5877&amp;mlon=45.4202&amp;zoom=12#map=12/35.5877/45.4202","Maplink1")</f>
        <v>Maplink1</v>
      </c>
      <c r="AX2881" s="88" t="str">
        <f>HYPERLINK("https://www.google.iq/maps/search/+35.5877,45.4202/@35.5877,45.4202,14z?hl=en","Maplink2")</f>
        <v>Maplink2</v>
      </c>
      <c r="AY2881" s="88" t="str">
        <f>HYPERLINK("http://www.bing.com/maps/?lvl=14&amp;sty=h&amp;cp=35.5877~45.4202&amp;sp=point.35.5877_45.4202","Maplink3")</f>
        <v>Maplink3</v>
      </c>
      <c r="AZ2881" s="76"/>
    </row>
    <row r="2882" spans="1:52" x14ac:dyDescent="0.25">
      <c r="A2882" s="86">
        <v>32004</v>
      </c>
      <c r="B2882" s="87" t="s">
        <v>27</v>
      </c>
      <c r="C2882" s="87" t="s">
        <v>5030</v>
      </c>
      <c r="D2882" s="87" t="s">
        <v>5464</v>
      </c>
      <c r="E2882" s="87" t="s">
        <v>5465</v>
      </c>
      <c r="F2882" s="87">
        <v>35.597855299999999</v>
      </c>
      <c r="G2882" s="87">
        <v>45.4174559</v>
      </c>
      <c r="H2882" s="86">
        <v>33</v>
      </c>
      <c r="I2882" s="86">
        <v>198</v>
      </c>
      <c r="J2882" s="87">
        <v>21</v>
      </c>
      <c r="K2882" s="87"/>
      <c r="L2882" s="87">
        <v>8</v>
      </c>
      <c r="M2882" s="87"/>
      <c r="N2882" s="87"/>
      <c r="O2882" s="87"/>
      <c r="P2882" s="87"/>
      <c r="Q2882" s="87"/>
      <c r="R2882" s="87"/>
      <c r="S2882" s="87"/>
      <c r="T2882" s="87"/>
      <c r="U2882" s="87"/>
      <c r="V2882" s="87">
        <v>2</v>
      </c>
      <c r="W2882" s="87"/>
      <c r="X2882" s="87">
        <v>2</v>
      </c>
      <c r="Y2882" s="87"/>
      <c r="Z2882" s="87"/>
      <c r="AA2882" s="87"/>
      <c r="AB2882" s="87"/>
      <c r="AC2882" s="87"/>
      <c r="AD2882" s="87"/>
      <c r="AE2882" s="87"/>
      <c r="AF2882" s="87"/>
      <c r="AG2882" s="87"/>
      <c r="AH2882" s="87">
        <v>33</v>
      </c>
      <c r="AI2882" s="87"/>
      <c r="AJ2882" s="87"/>
      <c r="AK2882" s="87"/>
      <c r="AL2882" s="87"/>
      <c r="AM2882" s="87"/>
      <c r="AN2882" s="87">
        <v>4</v>
      </c>
      <c r="AO2882" s="87">
        <v>11</v>
      </c>
      <c r="AP2882" s="87">
        <v>3</v>
      </c>
      <c r="AQ2882" s="87">
        <v>9</v>
      </c>
      <c r="AR2882" s="87">
        <v>4</v>
      </c>
      <c r="AS2882" s="87">
        <v>2</v>
      </c>
      <c r="AT2882" s="87"/>
      <c r="AU2882" s="87"/>
      <c r="AV2882" s="87"/>
      <c r="AW2882" s="88" t="str">
        <f>HYPERLINK("http://www.openstreetmap.org/?mlat=35.5979&amp;mlon=45.4175&amp;zoom=12#map=12/35.5979/45.4175","Maplink1")</f>
        <v>Maplink1</v>
      </c>
      <c r="AX2882" s="88" t="str">
        <f>HYPERLINK("https://www.google.iq/maps/search/+35.5979,45.4175/@35.5979,45.4175,14z?hl=en","Maplink2")</f>
        <v>Maplink2</v>
      </c>
      <c r="AY2882" s="88" t="str">
        <f>HYPERLINK("http://www.bing.com/maps/?lvl=14&amp;sty=h&amp;cp=35.5979~45.4175&amp;sp=point.35.5979_45.4175","Maplink3")</f>
        <v>Maplink3</v>
      </c>
      <c r="AZ2882" s="76"/>
    </row>
    <row r="2883" spans="1:52" x14ac:dyDescent="0.25">
      <c r="A2883" s="86">
        <v>33807</v>
      </c>
      <c r="B2883" s="87" t="s">
        <v>28</v>
      </c>
      <c r="C2883" s="87" t="s">
        <v>5466</v>
      </c>
      <c r="D2883" s="87" t="s">
        <v>5838</v>
      </c>
      <c r="E2883" s="87" t="s">
        <v>5839</v>
      </c>
      <c r="F2883" s="87">
        <v>30.972159999999999</v>
      </c>
      <c r="G2883" s="87">
        <v>46.722549999999998</v>
      </c>
      <c r="H2883" s="86">
        <v>2</v>
      </c>
      <c r="I2883" s="86">
        <v>12</v>
      </c>
      <c r="J2883" s="87"/>
      <c r="K2883" s="87"/>
      <c r="L2883" s="87"/>
      <c r="M2883" s="87"/>
      <c r="N2883" s="87"/>
      <c r="O2883" s="87"/>
      <c r="P2883" s="87"/>
      <c r="Q2883" s="87"/>
      <c r="R2883" s="87"/>
      <c r="S2883" s="87"/>
      <c r="T2883" s="87"/>
      <c r="U2883" s="87"/>
      <c r="V2883" s="87">
        <v>2</v>
      </c>
      <c r="W2883" s="87"/>
      <c r="X2883" s="87"/>
      <c r="Y2883" s="87"/>
      <c r="Z2883" s="87"/>
      <c r="AA2883" s="87"/>
      <c r="AB2883" s="87"/>
      <c r="AC2883" s="87"/>
      <c r="AD2883" s="87"/>
      <c r="AE2883" s="87"/>
      <c r="AF2883" s="87"/>
      <c r="AG2883" s="87"/>
      <c r="AH2883" s="87">
        <v>2</v>
      </c>
      <c r="AI2883" s="87"/>
      <c r="AJ2883" s="87"/>
      <c r="AK2883" s="87"/>
      <c r="AL2883" s="87"/>
      <c r="AM2883" s="87"/>
      <c r="AN2883" s="87">
        <v>2</v>
      </c>
      <c r="AO2883" s="87"/>
      <c r="AP2883" s="87"/>
      <c r="AQ2883" s="87"/>
      <c r="AR2883" s="87"/>
      <c r="AS2883" s="87"/>
      <c r="AT2883" s="87"/>
      <c r="AU2883" s="87"/>
      <c r="AV2883" s="87"/>
      <c r="AW2883" s="88" t="str">
        <f>HYPERLINK("http://www.openstreetmap.org/?mlat=30.9722&amp;mlon=46.7225&amp;zoom=12#map=12/30.9722/46.7225","Maplink1")</f>
        <v>Maplink1</v>
      </c>
      <c r="AX2883" s="88" t="str">
        <f>HYPERLINK("https://www.google.iq/maps/search/+30.9722,46.7225/@30.9722,46.7225,14z?hl=en","Maplink2")</f>
        <v>Maplink2</v>
      </c>
      <c r="AY2883" s="88" t="str">
        <f>HYPERLINK("http://www.bing.com/maps/?lvl=14&amp;sty=h&amp;cp=30.9722~46.7225&amp;sp=point.30.9722_46.7225","Maplink3")</f>
        <v>Maplink3</v>
      </c>
      <c r="AZ2883" s="76"/>
    </row>
    <row r="2884" spans="1:52" x14ac:dyDescent="0.25">
      <c r="A2884" s="86">
        <v>33808</v>
      </c>
      <c r="B2884" s="87" t="s">
        <v>28</v>
      </c>
      <c r="C2884" s="87" t="s">
        <v>5466</v>
      </c>
      <c r="D2884" s="87" t="s">
        <v>5840</v>
      </c>
      <c r="E2884" s="87" t="s">
        <v>55</v>
      </c>
      <c r="F2884" s="87">
        <v>30.958465</v>
      </c>
      <c r="G2884" s="87">
        <v>46.847506000000003</v>
      </c>
      <c r="H2884" s="86">
        <v>2</v>
      </c>
      <c r="I2884" s="86">
        <v>12</v>
      </c>
      <c r="J2884" s="87"/>
      <c r="K2884" s="87"/>
      <c r="L2884" s="87"/>
      <c r="M2884" s="87"/>
      <c r="N2884" s="87"/>
      <c r="O2884" s="87"/>
      <c r="P2884" s="87"/>
      <c r="Q2884" s="87"/>
      <c r="R2884" s="87"/>
      <c r="S2884" s="87"/>
      <c r="T2884" s="87"/>
      <c r="U2884" s="87"/>
      <c r="V2884" s="87">
        <v>2</v>
      </c>
      <c r="W2884" s="87"/>
      <c r="X2884" s="87"/>
      <c r="Y2884" s="87"/>
      <c r="Z2884" s="87"/>
      <c r="AA2884" s="87"/>
      <c r="AB2884" s="87"/>
      <c r="AC2884" s="87"/>
      <c r="AD2884" s="87"/>
      <c r="AE2884" s="87"/>
      <c r="AF2884" s="87"/>
      <c r="AG2884" s="87"/>
      <c r="AH2884" s="87">
        <v>2</v>
      </c>
      <c r="AI2884" s="87"/>
      <c r="AJ2884" s="87"/>
      <c r="AK2884" s="87"/>
      <c r="AL2884" s="87"/>
      <c r="AM2884" s="87"/>
      <c r="AN2884" s="87"/>
      <c r="AO2884" s="87">
        <v>2</v>
      </c>
      <c r="AP2884" s="87"/>
      <c r="AQ2884" s="87"/>
      <c r="AR2884" s="87"/>
      <c r="AS2884" s="87"/>
      <c r="AT2884" s="87"/>
      <c r="AU2884" s="87"/>
      <c r="AV2884" s="87"/>
      <c r="AW2884" s="88" t="str">
        <f>HYPERLINK("http://www.openstreetmap.org/?mlat=30.9585&amp;mlon=46.8475&amp;zoom=12#map=12/30.9585/46.8475","Maplink1")</f>
        <v>Maplink1</v>
      </c>
      <c r="AX2884" s="88" t="str">
        <f>HYPERLINK("https://www.google.iq/maps/search/+30.9585,46.8475/@30.9585,46.8475,14z?hl=en","Maplink2")</f>
        <v>Maplink2</v>
      </c>
      <c r="AY2884" s="88" t="str">
        <f>HYPERLINK("http://www.bing.com/maps/?lvl=14&amp;sty=h&amp;cp=30.9585~46.8475&amp;sp=point.30.9585_46.8475","Maplink3")</f>
        <v>Maplink3</v>
      </c>
      <c r="AZ2884" s="76"/>
    </row>
    <row r="2885" spans="1:52" x14ac:dyDescent="0.25">
      <c r="A2885" s="86">
        <v>33802</v>
      </c>
      <c r="B2885" s="87" t="s">
        <v>28</v>
      </c>
      <c r="C2885" s="87" t="s">
        <v>5467</v>
      </c>
      <c r="D2885" s="87" t="s">
        <v>5841</v>
      </c>
      <c r="E2885" s="87" t="s">
        <v>5842</v>
      </c>
      <c r="F2885" s="87">
        <v>31.530290999999998</v>
      </c>
      <c r="G2885" s="87">
        <v>46.116779000000001</v>
      </c>
      <c r="H2885" s="86">
        <v>8</v>
      </c>
      <c r="I2885" s="86">
        <v>48</v>
      </c>
      <c r="J2885" s="87"/>
      <c r="K2885" s="87"/>
      <c r="L2885" s="87"/>
      <c r="M2885" s="87"/>
      <c r="N2885" s="87"/>
      <c r="O2885" s="87"/>
      <c r="P2885" s="87"/>
      <c r="Q2885" s="87"/>
      <c r="R2885" s="87"/>
      <c r="S2885" s="87"/>
      <c r="T2885" s="87"/>
      <c r="U2885" s="87"/>
      <c r="V2885" s="87">
        <v>8</v>
      </c>
      <c r="W2885" s="87"/>
      <c r="X2885" s="87"/>
      <c r="Y2885" s="87"/>
      <c r="Z2885" s="87"/>
      <c r="AA2885" s="87"/>
      <c r="AB2885" s="87"/>
      <c r="AC2885" s="87"/>
      <c r="AD2885" s="87"/>
      <c r="AE2885" s="87"/>
      <c r="AF2885" s="87"/>
      <c r="AG2885" s="87"/>
      <c r="AH2885" s="87">
        <v>8</v>
      </c>
      <c r="AI2885" s="87"/>
      <c r="AJ2885" s="87"/>
      <c r="AK2885" s="87"/>
      <c r="AL2885" s="87"/>
      <c r="AM2885" s="87"/>
      <c r="AN2885" s="87"/>
      <c r="AO2885" s="87">
        <v>7</v>
      </c>
      <c r="AP2885" s="87">
        <v>1</v>
      </c>
      <c r="AQ2885" s="87"/>
      <c r="AR2885" s="87"/>
      <c r="AS2885" s="87"/>
      <c r="AT2885" s="87"/>
      <c r="AU2885" s="87"/>
      <c r="AV2885" s="87"/>
      <c r="AW2885" s="88" t="str">
        <f>HYPERLINK("http://www.openstreetmap.org/?mlat=31.5303&amp;mlon=46.1168&amp;zoom=12#map=12/31.5303/46.1168","Maplink1")</f>
        <v>Maplink1</v>
      </c>
      <c r="AX2885" s="88" t="str">
        <f>HYPERLINK("https://www.google.iq/maps/search/+31.5303,46.1168/@31.5303,46.1168,14z?hl=en","Maplink2")</f>
        <v>Maplink2</v>
      </c>
      <c r="AY2885" s="88" t="str">
        <f>HYPERLINK("http://www.bing.com/maps/?lvl=14&amp;sty=h&amp;cp=31.5303~46.1168&amp;sp=point.31.5303_46.1168","Maplink3")</f>
        <v>Maplink3</v>
      </c>
      <c r="AZ2885" s="76"/>
    </row>
    <row r="2886" spans="1:52" x14ac:dyDescent="0.25">
      <c r="A2886" s="86">
        <v>33803</v>
      </c>
      <c r="B2886" s="87" t="s">
        <v>28</v>
      </c>
      <c r="C2886" s="87" t="s">
        <v>5467</v>
      </c>
      <c r="D2886" s="87" t="s">
        <v>5843</v>
      </c>
      <c r="E2886" s="87" t="s">
        <v>5844</v>
      </c>
      <c r="F2886" s="87">
        <v>31.543367</v>
      </c>
      <c r="G2886" s="87">
        <v>46.119889000000001</v>
      </c>
      <c r="H2886" s="86">
        <v>12</v>
      </c>
      <c r="I2886" s="86">
        <v>72</v>
      </c>
      <c r="J2886" s="87"/>
      <c r="K2886" s="87"/>
      <c r="L2886" s="87">
        <v>2</v>
      </c>
      <c r="M2886" s="87"/>
      <c r="N2886" s="87"/>
      <c r="O2886" s="87"/>
      <c r="P2886" s="87"/>
      <c r="Q2886" s="87"/>
      <c r="R2886" s="87"/>
      <c r="S2886" s="87"/>
      <c r="T2886" s="87"/>
      <c r="U2886" s="87"/>
      <c r="V2886" s="87">
        <v>10</v>
      </c>
      <c r="W2886" s="87"/>
      <c r="X2886" s="87"/>
      <c r="Y2886" s="87"/>
      <c r="Z2886" s="87"/>
      <c r="AA2886" s="87"/>
      <c r="AB2886" s="87"/>
      <c r="AC2886" s="87">
        <v>3</v>
      </c>
      <c r="AD2886" s="87"/>
      <c r="AE2886" s="87"/>
      <c r="AF2886" s="87"/>
      <c r="AG2886" s="87"/>
      <c r="AH2886" s="87">
        <v>9</v>
      </c>
      <c r="AI2886" s="87"/>
      <c r="AJ2886" s="87"/>
      <c r="AK2886" s="87"/>
      <c r="AL2886" s="87"/>
      <c r="AM2886" s="87"/>
      <c r="AN2886" s="87"/>
      <c r="AO2886" s="87">
        <v>6</v>
      </c>
      <c r="AP2886" s="87">
        <v>6</v>
      </c>
      <c r="AQ2886" s="87"/>
      <c r="AR2886" s="87"/>
      <c r="AS2886" s="87"/>
      <c r="AT2886" s="87"/>
      <c r="AU2886" s="87"/>
      <c r="AV2886" s="87"/>
      <c r="AW2886" s="88" t="str">
        <f>HYPERLINK("http://www.openstreetmap.org/?mlat=31.5434&amp;mlon=46.1199&amp;zoom=12#map=12/31.5434/46.1199","Maplink1")</f>
        <v>Maplink1</v>
      </c>
      <c r="AX2886" s="88" t="str">
        <f>HYPERLINK("https://www.google.iq/maps/search/+31.5434,46.1199/@31.5434,46.1199,14z?hl=en","Maplink2")</f>
        <v>Maplink2</v>
      </c>
      <c r="AY2886" s="88" t="str">
        <f>HYPERLINK("http://www.bing.com/maps/?lvl=14&amp;sty=h&amp;cp=31.5434~46.1199&amp;sp=point.31.5434_46.1199","Maplink3")</f>
        <v>Maplink3</v>
      </c>
      <c r="AZ2886" s="76"/>
    </row>
    <row r="2887" spans="1:52" x14ac:dyDescent="0.25">
      <c r="A2887" s="86">
        <v>10297</v>
      </c>
      <c r="B2887" s="87" t="s">
        <v>28</v>
      </c>
      <c r="C2887" s="87" t="s">
        <v>5467</v>
      </c>
      <c r="D2887" s="87" t="s">
        <v>3858</v>
      </c>
      <c r="E2887" s="87" t="s">
        <v>122</v>
      </c>
      <c r="F2887" s="87">
        <v>31.7132135578</v>
      </c>
      <c r="G2887" s="87">
        <v>46.111245599999997</v>
      </c>
      <c r="H2887" s="86">
        <v>9</v>
      </c>
      <c r="I2887" s="86">
        <v>54</v>
      </c>
      <c r="J2887" s="87"/>
      <c r="K2887" s="87"/>
      <c r="L2887" s="87"/>
      <c r="M2887" s="87"/>
      <c r="N2887" s="87"/>
      <c r="O2887" s="87"/>
      <c r="P2887" s="87"/>
      <c r="Q2887" s="87"/>
      <c r="R2887" s="87">
        <v>5</v>
      </c>
      <c r="S2887" s="87"/>
      <c r="T2887" s="87"/>
      <c r="U2887" s="87"/>
      <c r="V2887" s="87">
        <v>4</v>
      </c>
      <c r="W2887" s="87"/>
      <c r="X2887" s="87"/>
      <c r="Y2887" s="87"/>
      <c r="Z2887" s="87"/>
      <c r="AA2887" s="87"/>
      <c r="AB2887" s="87"/>
      <c r="AC2887" s="87"/>
      <c r="AD2887" s="87"/>
      <c r="AE2887" s="87"/>
      <c r="AF2887" s="87"/>
      <c r="AG2887" s="87"/>
      <c r="AH2887" s="87">
        <v>9</v>
      </c>
      <c r="AI2887" s="87"/>
      <c r="AJ2887" s="87"/>
      <c r="AK2887" s="87"/>
      <c r="AL2887" s="87"/>
      <c r="AM2887" s="87"/>
      <c r="AN2887" s="87"/>
      <c r="AO2887" s="87">
        <v>9</v>
      </c>
      <c r="AP2887" s="87"/>
      <c r="AQ2887" s="87"/>
      <c r="AR2887" s="87"/>
      <c r="AS2887" s="87"/>
      <c r="AT2887" s="87"/>
      <c r="AU2887" s="87"/>
      <c r="AV2887" s="87"/>
      <c r="AW2887" s="88" t="str">
        <f>HYPERLINK("http://www.openstreetmap.org/?mlat=31.7132&amp;mlon=46.1112&amp;zoom=12#map=12/31.7132/46.1112","Maplink1")</f>
        <v>Maplink1</v>
      </c>
      <c r="AX2887" s="88" t="str">
        <f>HYPERLINK("https://www.google.iq/maps/search/+31.7132,46.1112/@31.7132,46.1112,14z?hl=en","Maplink2")</f>
        <v>Maplink2</v>
      </c>
      <c r="AY2887" s="88" t="str">
        <f>HYPERLINK("http://www.bing.com/maps/?lvl=14&amp;sty=h&amp;cp=31.7132~46.1112&amp;sp=point.31.7132_46.1112","Maplink3")</f>
        <v>Maplink3</v>
      </c>
      <c r="AZ2887" s="76"/>
    </row>
    <row r="2888" spans="1:52" x14ac:dyDescent="0.25">
      <c r="A2888" s="86">
        <v>33799</v>
      </c>
      <c r="B2888" s="87" t="s">
        <v>28</v>
      </c>
      <c r="C2888" s="87" t="s">
        <v>5467</v>
      </c>
      <c r="D2888" s="87" t="s">
        <v>5845</v>
      </c>
      <c r="E2888" s="87" t="s">
        <v>122</v>
      </c>
      <c r="F2888" s="87">
        <v>31.853400000000001</v>
      </c>
      <c r="G2888" s="87">
        <v>46.085000000000001</v>
      </c>
      <c r="H2888" s="86">
        <v>4</v>
      </c>
      <c r="I2888" s="86">
        <v>24</v>
      </c>
      <c r="J2888" s="87"/>
      <c r="K2888" s="87"/>
      <c r="L2888" s="87"/>
      <c r="M2888" s="87"/>
      <c r="N2888" s="87"/>
      <c r="O2888" s="87"/>
      <c r="P2888" s="87"/>
      <c r="Q2888" s="87"/>
      <c r="R2888" s="87"/>
      <c r="S2888" s="87"/>
      <c r="T2888" s="87"/>
      <c r="U2888" s="87"/>
      <c r="V2888" s="87">
        <v>4</v>
      </c>
      <c r="W2888" s="87"/>
      <c r="X2888" s="87"/>
      <c r="Y2888" s="87"/>
      <c r="Z2888" s="87"/>
      <c r="AA2888" s="87"/>
      <c r="AB2888" s="87"/>
      <c r="AC2888" s="87"/>
      <c r="AD2888" s="87"/>
      <c r="AE2888" s="87"/>
      <c r="AF2888" s="87"/>
      <c r="AG2888" s="87"/>
      <c r="AH2888" s="87">
        <v>4</v>
      </c>
      <c r="AI2888" s="87"/>
      <c r="AJ2888" s="87"/>
      <c r="AK2888" s="87"/>
      <c r="AL2888" s="87"/>
      <c r="AM2888" s="87"/>
      <c r="AN2888" s="87">
        <v>4</v>
      </c>
      <c r="AO2888" s="87"/>
      <c r="AP2888" s="87"/>
      <c r="AQ2888" s="87"/>
      <c r="AR2888" s="87"/>
      <c r="AS2888" s="87"/>
      <c r="AT2888" s="87"/>
      <c r="AU2888" s="87"/>
      <c r="AV2888" s="87"/>
      <c r="AW2888" s="88" t="str">
        <f>HYPERLINK("http://www.openstreetmap.org/?mlat=31.8534&amp;mlon=46.085&amp;zoom=12#map=12/31.8534/46.085","Maplink1")</f>
        <v>Maplink1</v>
      </c>
      <c r="AX2888" s="88" t="str">
        <f>HYPERLINK("https://www.google.iq/maps/search/+31.8534,46.085/@31.8534,46.085,14z?hl=en","Maplink2")</f>
        <v>Maplink2</v>
      </c>
      <c r="AY2888" s="88" t="str">
        <f>HYPERLINK("http://www.bing.com/maps/?lvl=14&amp;sty=h&amp;cp=31.8534~46.085&amp;sp=point.31.8534_46.085","Maplink3")</f>
        <v>Maplink3</v>
      </c>
      <c r="AZ2888" s="76"/>
    </row>
    <row r="2889" spans="1:52" x14ac:dyDescent="0.25">
      <c r="A2889" s="86">
        <v>33800</v>
      </c>
      <c r="B2889" s="87" t="s">
        <v>28</v>
      </c>
      <c r="C2889" s="87" t="s">
        <v>5467</v>
      </c>
      <c r="D2889" s="87" t="s">
        <v>5846</v>
      </c>
      <c r="E2889" s="87" t="s">
        <v>5847</v>
      </c>
      <c r="F2889" s="87">
        <v>31.541273</v>
      </c>
      <c r="G2889" s="87">
        <v>46.125217999999997</v>
      </c>
      <c r="H2889" s="86">
        <v>7</v>
      </c>
      <c r="I2889" s="86">
        <v>42</v>
      </c>
      <c r="J2889" s="87">
        <v>1</v>
      </c>
      <c r="K2889" s="87"/>
      <c r="L2889" s="87"/>
      <c r="M2889" s="87"/>
      <c r="N2889" s="87"/>
      <c r="O2889" s="87"/>
      <c r="P2889" s="87"/>
      <c r="Q2889" s="87"/>
      <c r="R2889" s="87"/>
      <c r="S2889" s="87"/>
      <c r="T2889" s="87"/>
      <c r="U2889" s="87"/>
      <c r="V2889" s="87">
        <v>4</v>
      </c>
      <c r="W2889" s="87"/>
      <c r="X2889" s="87">
        <v>2</v>
      </c>
      <c r="Y2889" s="87"/>
      <c r="Z2889" s="87"/>
      <c r="AA2889" s="87"/>
      <c r="AB2889" s="87"/>
      <c r="AC2889" s="87">
        <v>3</v>
      </c>
      <c r="AD2889" s="87"/>
      <c r="AE2889" s="87"/>
      <c r="AF2889" s="87"/>
      <c r="AG2889" s="87"/>
      <c r="AH2889" s="87">
        <v>4</v>
      </c>
      <c r="AI2889" s="87"/>
      <c r="AJ2889" s="87"/>
      <c r="AK2889" s="87"/>
      <c r="AL2889" s="87"/>
      <c r="AM2889" s="87"/>
      <c r="AN2889" s="87"/>
      <c r="AO2889" s="87">
        <v>4</v>
      </c>
      <c r="AP2889" s="87">
        <v>3</v>
      </c>
      <c r="AQ2889" s="87"/>
      <c r="AR2889" s="87"/>
      <c r="AS2889" s="87"/>
      <c r="AT2889" s="87"/>
      <c r="AU2889" s="87"/>
      <c r="AV2889" s="87"/>
      <c r="AW2889" s="88" t="str">
        <f>HYPERLINK("http://www.openstreetmap.org/?mlat=31.5413&amp;mlon=46.1252&amp;zoom=12#map=12/31.5413/46.1252","Maplink1")</f>
        <v>Maplink1</v>
      </c>
      <c r="AX2889" s="88" t="str">
        <f>HYPERLINK("https://www.google.iq/maps/search/+31.5413,46.1252/@31.5413,46.1252,14z?hl=en","Maplink2")</f>
        <v>Maplink2</v>
      </c>
      <c r="AY2889" s="88" t="str">
        <f>HYPERLINK("http://www.bing.com/maps/?lvl=14&amp;sty=h&amp;cp=31.5413~46.1252&amp;sp=point.31.5413_46.1252","Maplink3")</f>
        <v>Maplink3</v>
      </c>
      <c r="AZ2889" s="76"/>
    </row>
    <row r="2890" spans="1:52" x14ac:dyDescent="0.25">
      <c r="A2890" s="86">
        <v>33795</v>
      </c>
      <c r="B2890" s="87" t="s">
        <v>28</v>
      </c>
      <c r="C2890" s="87" t="s">
        <v>5467</v>
      </c>
      <c r="D2890" s="87" t="s">
        <v>5848</v>
      </c>
      <c r="E2890" s="87" t="s">
        <v>2452</v>
      </c>
      <c r="F2890" s="87">
        <v>31.728400000000001</v>
      </c>
      <c r="G2890" s="87">
        <v>46.110399999999998</v>
      </c>
      <c r="H2890" s="86">
        <v>25</v>
      </c>
      <c r="I2890" s="86">
        <v>150</v>
      </c>
      <c r="J2890" s="87">
        <v>2</v>
      </c>
      <c r="K2890" s="87"/>
      <c r="L2890" s="87"/>
      <c r="M2890" s="87"/>
      <c r="N2890" s="87"/>
      <c r="O2890" s="87"/>
      <c r="P2890" s="87"/>
      <c r="Q2890" s="87"/>
      <c r="R2890" s="87">
        <v>7</v>
      </c>
      <c r="S2890" s="87"/>
      <c r="T2890" s="87"/>
      <c r="U2890" s="87"/>
      <c r="V2890" s="87">
        <v>16</v>
      </c>
      <c r="W2890" s="87"/>
      <c r="X2890" s="87"/>
      <c r="Y2890" s="87"/>
      <c r="Z2890" s="87"/>
      <c r="AA2890" s="87"/>
      <c r="AB2890" s="87"/>
      <c r="AC2890" s="87">
        <v>7</v>
      </c>
      <c r="AD2890" s="87"/>
      <c r="AE2890" s="87"/>
      <c r="AF2890" s="87"/>
      <c r="AG2890" s="87"/>
      <c r="AH2890" s="87">
        <v>18</v>
      </c>
      <c r="AI2890" s="87"/>
      <c r="AJ2890" s="87"/>
      <c r="AK2890" s="87"/>
      <c r="AL2890" s="87"/>
      <c r="AM2890" s="87"/>
      <c r="AN2890" s="87"/>
      <c r="AO2890" s="87"/>
      <c r="AP2890" s="87">
        <v>21</v>
      </c>
      <c r="AQ2890" s="87">
        <v>4</v>
      </c>
      <c r="AR2890" s="87"/>
      <c r="AS2890" s="87"/>
      <c r="AT2890" s="87"/>
      <c r="AU2890" s="87"/>
      <c r="AV2890" s="87"/>
      <c r="AW2890" s="88" t="str">
        <f>HYPERLINK("http://www.openstreetmap.org/?mlat=31.7284&amp;mlon=46.1104&amp;zoom=12#map=12/31.7284/46.1104","Maplink1")</f>
        <v>Maplink1</v>
      </c>
      <c r="AX2890" s="88" t="str">
        <f>HYPERLINK("https://www.google.iq/maps/search/+31.7284,46.1104/@31.7284,46.1104,14z?hl=en","Maplink2")</f>
        <v>Maplink2</v>
      </c>
      <c r="AY2890" s="88" t="str">
        <f>HYPERLINK("http://www.bing.com/maps/?lvl=14&amp;sty=h&amp;cp=31.7284~46.1104&amp;sp=point.31.7284_46.1104","Maplink3")</f>
        <v>Maplink3</v>
      </c>
      <c r="AZ2890" s="76"/>
    </row>
    <row r="2891" spans="1:52" x14ac:dyDescent="0.25">
      <c r="A2891" s="86">
        <v>33801</v>
      </c>
      <c r="B2891" s="87" t="s">
        <v>28</v>
      </c>
      <c r="C2891" s="87" t="s">
        <v>5467</v>
      </c>
      <c r="D2891" s="87" t="s">
        <v>5849</v>
      </c>
      <c r="E2891" s="87" t="s">
        <v>4212</v>
      </c>
      <c r="F2891" s="87">
        <v>31.53961</v>
      </c>
      <c r="G2891" s="87">
        <v>46.119104999999998</v>
      </c>
      <c r="H2891" s="86">
        <v>6</v>
      </c>
      <c r="I2891" s="86">
        <v>36</v>
      </c>
      <c r="J2891" s="87"/>
      <c r="K2891" s="87"/>
      <c r="L2891" s="87"/>
      <c r="M2891" s="87"/>
      <c r="N2891" s="87"/>
      <c r="O2891" s="87"/>
      <c r="P2891" s="87"/>
      <c r="Q2891" s="87"/>
      <c r="R2891" s="87"/>
      <c r="S2891" s="87"/>
      <c r="T2891" s="87"/>
      <c r="U2891" s="87"/>
      <c r="V2891" s="87">
        <v>4</v>
      </c>
      <c r="W2891" s="87"/>
      <c r="X2891" s="87">
        <v>2</v>
      </c>
      <c r="Y2891" s="87"/>
      <c r="Z2891" s="87"/>
      <c r="AA2891" s="87"/>
      <c r="AB2891" s="87"/>
      <c r="AC2891" s="87">
        <v>1</v>
      </c>
      <c r="AD2891" s="87"/>
      <c r="AE2891" s="87"/>
      <c r="AF2891" s="87"/>
      <c r="AG2891" s="87"/>
      <c r="AH2891" s="87">
        <v>5</v>
      </c>
      <c r="AI2891" s="87"/>
      <c r="AJ2891" s="87"/>
      <c r="AK2891" s="87"/>
      <c r="AL2891" s="87"/>
      <c r="AM2891" s="87"/>
      <c r="AN2891" s="87"/>
      <c r="AO2891" s="87">
        <v>1</v>
      </c>
      <c r="AP2891" s="87">
        <v>5</v>
      </c>
      <c r="AQ2891" s="87"/>
      <c r="AR2891" s="87"/>
      <c r="AS2891" s="87"/>
      <c r="AT2891" s="87"/>
      <c r="AU2891" s="87"/>
      <c r="AV2891" s="87"/>
      <c r="AW2891" s="88" t="str">
        <f>HYPERLINK("http://www.openstreetmap.org/?mlat=31.5396&amp;mlon=46.1191&amp;zoom=12#map=12/31.5396/46.1191","Maplink1")</f>
        <v>Maplink1</v>
      </c>
      <c r="AX2891" s="88" t="str">
        <f>HYPERLINK("https://www.google.iq/maps/search/+31.5396,46.1191/@31.5396,46.1191,14z?hl=en","Maplink2")</f>
        <v>Maplink2</v>
      </c>
      <c r="AY2891" s="88" t="str">
        <f>HYPERLINK("http://www.bing.com/maps/?lvl=14&amp;sty=h&amp;cp=31.5396~46.1191&amp;sp=point.31.5396_46.1191","Maplink3")</f>
        <v>Maplink3</v>
      </c>
      <c r="AZ2891" s="76"/>
    </row>
    <row r="2892" spans="1:52" x14ac:dyDescent="0.25">
      <c r="A2892" s="86">
        <v>24722</v>
      </c>
      <c r="B2892" s="87" t="s">
        <v>28</v>
      </c>
      <c r="C2892" s="87" t="s">
        <v>5467</v>
      </c>
      <c r="D2892" s="87" t="s">
        <v>4342</v>
      </c>
      <c r="E2892" s="87" t="s">
        <v>307</v>
      </c>
      <c r="F2892" s="87">
        <v>31.711529196499999</v>
      </c>
      <c r="G2892" s="87">
        <v>46.124556874</v>
      </c>
      <c r="H2892" s="86">
        <v>18</v>
      </c>
      <c r="I2892" s="86">
        <v>108</v>
      </c>
      <c r="J2892" s="87"/>
      <c r="K2892" s="87"/>
      <c r="L2892" s="87"/>
      <c r="M2892" s="87"/>
      <c r="N2892" s="87"/>
      <c r="O2892" s="87"/>
      <c r="P2892" s="87"/>
      <c r="Q2892" s="87"/>
      <c r="R2892" s="87"/>
      <c r="S2892" s="87"/>
      <c r="T2892" s="87"/>
      <c r="U2892" s="87"/>
      <c r="V2892" s="87">
        <v>18</v>
      </c>
      <c r="W2892" s="87"/>
      <c r="X2892" s="87"/>
      <c r="Y2892" s="87"/>
      <c r="Z2892" s="87"/>
      <c r="AA2892" s="87"/>
      <c r="AB2892" s="87"/>
      <c r="AC2892" s="87">
        <v>6</v>
      </c>
      <c r="AD2892" s="87"/>
      <c r="AE2892" s="87"/>
      <c r="AF2892" s="87"/>
      <c r="AG2892" s="87"/>
      <c r="AH2892" s="87">
        <v>12</v>
      </c>
      <c r="AI2892" s="87"/>
      <c r="AJ2892" s="87"/>
      <c r="AK2892" s="87"/>
      <c r="AL2892" s="87"/>
      <c r="AM2892" s="87"/>
      <c r="AN2892" s="87"/>
      <c r="AO2892" s="87">
        <v>18</v>
      </c>
      <c r="AP2892" s="87"/>
      <c r="AQ2892" s="87"/>
      <c r="AR2892" s="87"/>
      <c r="AS2892" s="87"/>
      <c r="AT2892" s="87"/>
      <c r="AU2892" s="87"/>
      <c r="AV2892" s="87"/>
      <c r="AW2892" s="88" t="str">
        <f>HYPERLINK("http://www.openstreetmap.org/?mlat=31.7115&amp;mlon=46.1246&amp;zoom=12#map=12/31.7115/46.1246","Maplink1")</f>
        <v>Maplink1</v>
      </c>
      <c r="AX2892" s="88" t="str">
        <f>HYPERLINK("https://www.google.iq/maps/search/+31.7115,46.1246/@31.7115,46.1246,14z?hl=en","Maplink2")</f>
        <v>Maplink2</v>
      </c>
      <c r="AY2892" s="88" t="str">
        <f>HYPERLINK("http://www.bing.com/maps/?lvl=14&amp;sty=h&amp;cp=31.7115~46.1246&amp;sp=point.31.7115_46.1246","Maplink3")</f>
        <v>Maplink3</v>
      </c>
      <c r="AZ2892" s="76"/>
    </row>
    <row r="2893" spans="1:52" x14ac:dyDescent="0.25">
      <c r="A2893" s="86">
        <v>33796</v>
      </c>
      <c r="B2893" s="87" t="s">
        <v>28</v>
      </c>
      <c r="C2893" s="87" t="s">
        <v>5467</v>
      </c>
      <c r="D2893" s="87" t="s">
        <v>5850</v>
      </c>
      <c r="E2893" s="87" t="s">
        <v>307</v>
      </c>
      <c r="F2893" s="87">
        <v>31.8552</v>
      </c>
      <c r="G2893" s="87">
        <v>46.073500000000003</v>
      </c>
      <c r="H2893" s="86">
        <v>7</v>
      </c>
      <c r="I2893" s="86">
        <v>42</v>
      </c>
      <c r="J2893" s="87"/>
      <c r="K2893" s="87"/>
      <c r="L2893" s="87"/>
      <c r="M2893" s="87"/>
      <c r="N2893" s="87"/>
      <c r="O2893" s="87"/>
      <c r="P2893" s="87"/>
      <c r="Q2893" s="87"/>
      <c r="R2893" s="87">
        <v>3</v>
      </c>
      <c r="S2893" s="87"/>
      <c r="T2893" s="87"/>
      <c r="U2893" s="87"/>
      <c r="V2893" s="87">
        <v>4</v>
      </c>
      <c r="W2893" s="87"/>
      <c r="X2893" s="87"/>
      <c r="Y2893" s="87"/>
      <c r="Z2893" s="87"/>
      <c r="AA2893" s="87"/>
      <c r="AB2893" s="87"/>
      <c r="AC2893" s="87"/>
      <c r="AD2893" s="87"/>
      <c r="AE2893" s="87"/>
      <c r="AF2893" s="87"/>
      <c r="AG2893" s="87"/>
      <c r="AH2893" s="87">
        <v>7</v>
      </c>
      <c r="AI2893" s="87"/>
      <c r="AJ2893" s="87"/>
      <c r="AK2893" s="87"/>
      <c r="AL2893" s="87"/>
      <c r="AM2893" s="87"/>
      <c r="AN2893" s="87">
        <v>4</v>
      </c>
      <c r="AO2893" s="87"/>
      <c r="AP2893" s="87">
        <v>3</v>
      </c>
      <c r="AQ2893" s="87"/>
      <c r="AR2893" s="87"/>
      <c r="AS2893" s="87"/>
      <c r="AT2893" s="87"/>
      <c r="AU2893" s="87"/>
      <c r="AV2893" s="87"/>
      <c r="AW2893" s="88" t="str">
        <f>HYPERLINK("http://www.openstreetmap.org/?mlat=31.8552&amp;mlon=46.0735&amp;zoom=12#map=12/31.8552/46.0735","Maplink1")</f>
        <v>Maplink1</v>
      </c>
      <c r="AX2893" s="88" t="str">
        <f>HYPERLINK("https://www.google.iq/maps/search/+31.8552,46.0735/@31.8552,46.0735,14z?hl=en","Maplink2")</f>
        <v>Maplink2</v>
      </c>
      <c r="AY2893" s="88" t="str">
        <f>HYPERLINK("http://www.bing.com/maps/?lvl=14&amp;sty=h&amp;cp=31.8552~46.0735&amp;sp=point.31.8552_46.0735","Maplink3")</f>
        <v>Maplink3</v>
      </c>
      <c r="AZ2893" s="76"/>
    </row>
    <row r="2894" spans="1:52" x14ac:dyDescent="0.25">
      <c r="A2894" s="86">
        <v>33798</v>
      </c>
      <c r="B2894" s="87" t="s">
        <v>28</v>
      </c>
      <c r="C2894" s="87" t="s">
        <v>5467</v>
      </c>
      <c r="D2894" s="87" t="s">
        <v>5851</v>
      </c>
      <c r="E2894" s="87" t="s">
        <v>2452</v>
      </c>
      <c r="F2894" s="87">
        <v>31.865100000000002</v>
      </c>
      <c r="G2894" s="87">
        <v>46.069600000000001</v>
      </c>
      <c r="H2894" s="86">
        <v>7</v>
      </c>
      <c r="I2894" s="86">
        <v>42</v>
      </c>
      <c r="J2894" s="87">
        <v>1</v>
      </c>
      <c r="K2894" s="87"/>
      <c r="L2894" s="87">
        <v>2</v>
      </c>
      <c r="M2894" s="87"/>
      <c r="N2894" s="87"/>
      <c r="O2894" s="87"/>
      <c r="P2894" s="87"/>
      <c r="Q2894" s="87"/>
      <c r="R2894" s="87"/>
      <c r="S2894" s="87"/>
      <c r="T2894" s="87"/>
      <c r="U2894" s="87"/>
      <c r="V2894" s="87">
        <v>4</v>
      </c>
      <c r="W2894" s="87"/>
      <c r="X2894" s="87"/>
      <c r="Y2894" s="87"/>
      <c r="Z2894" s="87"/>
      <c r="AA2894" s="87"/>
      <c r="AB2894" s="87"/>
      <c r="AC2894" s="87">
        <v>2</v>
      </c>
      <c r="AD2894" s="87"/>
      <c r="AE2894" s="87"/>
      <c r="AF2894" s="87"/>
      <c r="AG2894" s="87"/>
      <c r="AH2894" s="87">
        <v>5</v>
      </c>
      <c r="AI2894" s="87"/>
      <c r="AJ2894" s="87"/>
      <c r="AK2894" s="87"/>
      <c r="AL2894" s="87"/>
      <c r="AM2894" s="87"/>
      <c r="AN2894" s="87"/>
      <c r="AO2894" s="87">
        <v>1</v>
      </c>
      <c r="AP2894" s="87">
        <v>6</v>
      </c>
      <c r="AQ2894" s="87"/>
      <c r="AR2894" s="87"/>
      <c r="AS2894" s="87"/>
      <c r="AT2894" s="87"/>
      <c r="AU2894" s="87"/>
      <c r="AV2894" s="87"/>
      <c r="AW2894" s="88" t="str">
        <f>HYPERLINK("http://www.openstreetmap.org/?mlat=31.8651&amp;mlon=46.0696&amp;zoom=12#map=12/31.8651/46.0696","Maplink1")</f>
        <v>Maplink1</v>
      </c>
      <c r="AX2894" s="88" t="str">
        <f>HYPERLINK("https://www.google.iq/maps/search/+31.8651,46.0696/@31.8651,46.0696,14z?hl=en","Maplink2")</f>
        <v>Maplink2</v>
      </c>
      <c r="AY2894" s="88" t="str">
        <f>HYPERLINK("http://www.bing.com/maps/?lvl=14&amp;sty=h&amp;cp=31.8651~46.0696&amp;sp=point.31.8651_46.0696","Maplink3")</f>
        <v>Maplink3</v>
      </c>
      <c r="AZ2894" s="76"/>
    </row>
    <row r="2895" spans="1:52" x14ac:dyDescent="0.25">
      <c r="A2895" s="86">
        <v>33797</v>
      </c>
      <c r="B2895" s="87" t="s">
        <v>28</v>
      </c>
      <c r="C2895" s="87" t="s">
        <v>5467</v>
      </c>
      <c r="D2895" s="87" t="s">
        <v>5852</v>
      </c>
      <c r="E2895" s="87" t="s">
        <v>5578</v>
      </c>
      <c r="F2895" s="87">
        <v>31.856093999999999</v>
      </c>
      <c r="G2895" s="87">
        <v>46.080125000000002</v>
      </c>
      <c r="H2895" s="86">
        <v>6</v>
      </c>
      <c r="I2895" s="86">
        <v>36</v>
      </c>
      <c r="J2895" s="87"/>
      <c r="K2895" s="87"/>
      <c r="L2895" s="87">
        <v>1</v>
      </c>
      <c r="M2895" s="87"/>
      <c r="N2895" s="87"/>
      <c r="O2895" s="87"/>
      <c r="P2895" s="87"/>
      <c r="Q2895" s="87"/>
      <c r="R2895" s="87">
        <v>1</v>
      </c>
      <c r="S2895" s="87"/>
      <c r="T2895" s="87"/>
      <c r="U2895" s="87"/>
      <c r="V2895" s="87">
        <v>2</v>
      </c>
      <c r="W2895" s="87"/>
      <c r="X2895" s="87">
        <v>2</v>
      </c>
      <c r="Y2895" s="87"/>
      <c r="Z2895" s="87"/>
      <c r="AA2895" s="87"/>
      <c r="AB2895" s="87"/>
      <c r="AC2895" s="87"/>
      <c r="AD2895" s="87"/>
      <c r="AE2895" s="87"/>
      <c r="AF2895" s="87"/>
      <c r="AG2895" s="87"/>
      <c r="AH2895" s="87">
        <v>6</v>
      </c>
      <c r="AI2895" s="87"/>
      <c r="AJ2895" s="87"/>
      <c r="AK2895" s="87"/>
      <c r="AL2895" s="87"/>
      <c r="AM2895" s="87"/>
      <c r="AN2895" s="87">
        <v>2</v>
      </c>
      <c r="AO2895" s="87"/>
      <c r="AP2895" s="87">
        <v>4</v>
      </c>
      <c r="AQ2895" s="87"/>
      <c r="AR2895" s="87"/>
      <c r="AS2895" s="87"/>
      <c r="AT2895" s="87"/>
      <c r="AU2895" s="87"/>
      <c r="AV2895" s="87"/>
      <c r="AW2895" s="88" t="str">
        <f>HYPERLINK("http://www.openstreetmap.org/?mlat=31.8561&amp;mlon=46.0801&amp;zoom=12#map=12/31.8561/46.0801","Maplink1")</f>
        <v>Maplink1</v>
      </c>
      <c r="AX2895" s="88" t="str">
        <f>HYPERLINK("https://www.google.iq/maps/search/+31.8561,46.0801/@31.8561,46.0801,14z?hl=en","Maplink2")</f>
        <v>Maplink2</v>
      </c>
      <c r="AY2895" s="88" t="str">
        <f>HYPERLINK("http://www.bing.com/maps/?lvl=14&amp;sty=h&amp;cp=31.8561~46.0801&amp;sp=point.31.8561_46.0801","Maplink3")</f>
        <v>Maplink3</v>
      </c>
      <c r="AZ2895" s="76"/>
    </row>
    <row r="2896" spans="1:52" x14ac:dyDescent="0.25">
      <c r="A2896" s="86">
        <v>21965</v>
      </c>
      <c r="B2896" s="87" t="s">
        <v>28</v>
      </c>
      <c r="C2896" s="87" t="s">
        <v>5467</v>
      </c>
      <c r="D2896" s="87" t="s">
        <v>5468</v>
      </c>
      <c r="E2896" s="87" t="s">
        <v>5469</v>
      </c>
      <c r="F2896" s="87">
        <v>31.7178490551</v>
      </c>
      <c r="G2896" s="87">
        <v>46.100760389400001</v>
      </c>
      <c r="H2896" s="86">
        <v>17</v>
      </c>
      <c r="I2896" s="86">
        <v>102</v>
      </c>
      <c r="J2896" s="87"/>
      <c r="K2896" s="87"/>
      <c r="L2896" s="87"/>
      <c r="M2896" s="87"/>
      <c r="N2896" s="87"/>
      <c r="O2896" s="87"/>
      <c r="P2896" s="87"/>
      <c r="Q2896" s="87"/>
      <c r="R2896" s="87"/>
      <c r="S2896" s="87"/>
      <c r="T2896" s="87"/>
      <c r="U2896" s="87"/>
      <c r="V2896" s="87">
        <v>12</v>
      </c>
      <c r="W2896" s="87"/>
      <c r="X2896" s="87">
        <v>5</v>
      </c>
      <c r="Y2896" s="87"/>
      <c r="Z2896" s="87"/>
      <c r="AA2896" s="87"/>
      <c r="AB2896" s="87"/>
      <c r="AC2896" s="87"/>
      <c r="AD2896" s="87"/>
      <c r="AE2896" s="87"/>
      <c r="AF2896" s="87"/>
      <c r="AG2896" s="87"/>
      <c r="AH2896" s="87">
        <v>17</v>
      </c>
      <c r="AI2896" s="87"/>
      <c r="AJ2896" s="87"/>
      <c r="AK2896" s="87"/>
      <c r="AL2896" s="87"/>
      <c r="AM2896" s="87"/>
      <c r="AN2896" s="87"/>
      <c r="AO2896" s="87">
        <v>12</v>
      </c>
      <c r="AP2896" s="87">
        <v>5</v>
      </c>
      <c r="AQ2896" s="87"/>
      <c r="AR2896" s="87"/>
      <c r="AS2896" s="87"/>
      <c r="AT2896" s="87"/>
      <c r="AU2896" s="87"/>
      <c r="AV2896" s="87"/>
      <c r="AW2896" s="88" t="str">
        <f>HYPERLINK("http://www.openstreetmap.org/?mlat=31.7178&amp;mlon=46.1008&amp;zoom=12#map=12/31.7178/46.1008","Maplink1")</f>
        <v>Maplink1</v>
      </c>
      <c r="AX2896" s="88" t="str">
        <f>HYPERLINK("https://www.google.iq/maps/search/+31.7178,46.1008/@31.7178,46.1008,14z?hl=en","Maplink2")</f>
        <v>Maplink2</v>
      </c>
      <c r="AY2896" s="88" t="str">
        <f>HYPERLINK("http://www.bing.com/maps/?lvl=14&amp;sty=h&amp;cp=31.7178~46.1008&amp;sp=point.31.7178_46.1008","Maplink3")</f>
        <v>Maplink3</v>
      </c>
      <c r="AZ2896" s="76"/>
    </row>
    <row r="2897" spans="1:52" x14ac:dyDescent="0.25">
      <c r="A2897" s="86">
        <v>10250</v>
      </c>
      <c r="B2897" s="87" t="s">
        <v>28</v>
      </c>
      <c r="C2897" s="87" t="s">
        <v>5470</v>
      </c>
      <c r="D2897" s="87" t="s">
        <v>5471</v>
      </c>
      <c r="E2897" s="87" t="s">
        <v>5472</v>
      </c>
      <c r="F2897" s="87">
        <v>31.4359498874</v>
      </c>
      <c r="G2897" s="87">
        <v>46.172572526899998</v>
      </c>
      <c r="H2897" s="86">
        <v>2</v>
      </c>
      <c r="I2897" s="86">
        <v>12</v>
      </c>
      <c r="J2897" s="87"/>
      <c r="K2897" s="87"/>
      <c r="L2897" s="87"/>
      <c r="M2897" s="87"/>
      <c r="N2897" s="87"/>
      <c r="O2897" s="87"/>
      <c r="P2897" s="87"/>
      <c r="Q2897" s="87"/>
      <c r="R2897" s="87"/>
      <c r="S2897" s="87"/>
      <c r="T2897" s="87"/>
      <c r="U2897" s="87"/>
      <c r="V2897" s="87">
        <v>2</v>
      </c>
      <c r="W2897" s="87"/>
      <c r="X2897" s="87"/>
      <c r="Y2897" s="87"/>
      <c r="Z2897" s="87"/>
      <c r="AA2897" s="87"/>
      <c r="AB2897" s="87"/>
      <c r="AC2897" s="87"/>
      <c r="AD2897" s="87"/>
      <c r="AE2897" s="87"/>
      <c r="AF2897" s="87"/>
      <c r="AG2897" s="87"/>
      <c r="AH2897" s="87">
        <v>2</v>
      </c>
      <c r="AI2897" s="87"/>
      <c r="AJ2897" s="87"/>
      <c r="AK2897" s="87"/>
      <c r="AL2897" s="87"/>
      <c r="AM2897" s="87"/>
      <c r="AN2897" s="87"/>
      <c r="AO2897" s="87"/>
      <c r="AP2897" s="87"/>
      <c r="AQ2897" s="87">
        <v>2</v>
      </c>
      <c r="AR2897" s="87"/>
      <c r="AS2897" s="87"/>
      <c r="AT2897" s="87"/>
      <c r="AU2897" s="87"/>
      <c r="AV2897" s="87"/>
      <c r="AW2897" s="88" t="str">
        <f>HYPERLINK("http://www.openstreetmap.org/?mlat=31.4359&amp;mlon=46.1726&amp;zoom=12#map=12/31.4359/46.1726","Maplink1")</f>
        <v>Maplink1</v>
      </c>
      <c r="AX2897" s="88" t="str">
        <f>HYPERLINK("https://www.google.iq/maps/search/+31.4359,46.1726/@31.4359,46.1726,14z?hl=en","Maplink2")</f>
        <v>Maplink2</v>
      </c>
      <c r="AY2897" s="88" t="str">
        <f>HYPERLINK("http://www.bing.com/maps/?lvl=14&amp;sty=h&amp;cp=31.4359~46.1726&amp;sp=point.31.4359_46.1726","Maplink3")</f>
        <v>Maplink3</v>
      </c>
      <c r="AZ2897" s="76"/>
    </row>
    <row r="2898" spans="1:52" x14ac:dyDescent="0.25">
      <c r="A2898" s="86">
        <v>9880</v>
      </c>
      <c r="B2898" s="87" t="s">
        <v>28</v>
      </c>
      <c r="C2898" s="87" t="s">
        <v>5470</v>
      </c>
      <c r="D2898" s="87" t="s">
        <v>5473</v>
      </c>
      <c r="E2898" s="87" t="s">
        <v>5474</v>
      </c>
      <c r="F2898" s="87">
        <v>31.449220930799999</v>
      </c>
      <c r="G2898" s="87">
        <v>46.174959409000003</v>
      </c>
      <c r="H2898" s="86">
        <v>2</v>
      </c>
      <c r="I2898" s="86">
        <v>12</v>
      </c>
      <c r="J2898" s="87"/>
      <c r="K2898" s="87"/>
      <c r="L2898" s="87"/>
      <c r="M2898" s="87"/>
      <c r="N2898" s="87"/>
      <c r="O2898" s="87"/>
      <c r="P2898" s="87"/>
      <c r="Q2898" s="87"/>
      <c r="R2898" s="87"/>
      <c r="S2898" s="87"/>
      <c r="T2898" s="87"/>
      <c r="U2898" s="87"/>
      <c r="V2898" s="87">
        <v>2</v>
      </c>
      <c r="W2898" s="87"/>
      <c r="X2898" s="87"/>
      <c r="Y2898" s="87"/>
      <c r="Z2898" s="87"/>
      <c r="AA2898" s="87"/>
      <c r="AB2898" s="87"/>
      <c r="AC2898" s="87"/>
      <c r="AD2898" s="87"/>
      <c r="AE2898" s="87"/>
      <c r="AF2898" s="87"/>
      <c r="AG2898" s="87"/>
      <c r="AH2898" s="87">
        <v>2</v>
      </c>
      <c r="AI2898" s="87"/>
      <c r="AJ2898" s="87"/>
      <c r="AK2898" s="87"/>
      <c r="AL2898" s="87"/>
      <c r="AM2898" s="87"/>
      <c r="AN2898" s="87"/>
      <c r="AO2898" s="87">
        <v>2</v>
      </c>
      <c r="AP2898" s="87"/>
      <c r="AQ2898" s="87"/>
      <c r="AR2898" s="87"/>
      <c r="AS2898" s="87"/>
      <c r="AT2898" s="87"/>
      <c r="AU2898" s="87"/>
      <c r="AV2898" s="87"/>
      <c r="AW2898" s="88" t="str">
        <f>HYPERLINK("http://www.openstreetmap.org/?mlat=31.4492&amp;mlon=46.175&amp;zoom=12#map=12/31.4492/46.175","Maplink1")</f>
        <v>Maplink1</v>
      </c>
      <c r="AX2898" s="88" t="str">
        <f>HYPERLINK("https://www.google.iq/maps/search/+31.4492,46.175/@31.4492,46.175,14z?hl=en","Maplink2")</f>
        <v>Maplink2</v>
      </c>
      <c r="AY2898" s="88" t="str">
        <f>HYPERLINK("http://www.bing.com/maps/?lvl=14&amp;sty=h&amp;cp=31.4492~46.175&amp;sp=point.31.4492_46.175","Maplink3")</f>
        <v>Maplink3</v>
      </c>
      <c r="AZ2898" s="76"/>
    </row>
    <row r="2899" spans="1:52" x14ac:dyDescent="0.25">
      <c r="A2899" s="86">
        <v>24538</v>
      </c>
      <c r="B2899" s="87" t="s">
        <v>28</v>
      </c>
      <c r="C2899" s="87" t="s">
        <v>5470</v>
      </c>
      <c r="D2899" s="87" t="s">
        <v>5475</v>
      </c>
      <c r="E2899" s="87" t="s">
        <v>5476</v>
      </c>
      <c r="F2899" s="87">
        <v>31.411450472199999</v>
      </c>
      <c r="G2899" s="87">
        <v>46.162670380400002</v>
      </c>
      <c r="H2899" s="86">
        <v>2</v>
      </c>
      <c r="I2899" s="86">
        <v>12</v>
      </c>
      <c r="J2899" s="87">
        <v>2</v>
      </c>
      <c r="K2899" s="87"/>
      <c r="L2899" s="87"/>
      <c r="M2899" s="87"/>
      <c r="N2899" s="87"/>
      <c r="O2899" s="87"/>
      <c r="P2899" s="87"/>
      <c r="Q2899" s="87"/>
      <c r="R2899" s="87"/>
      <c r="S2899" s="87"/>
      <c r="T2899" s="87"/>
      <c r="U2899" s="87"/>
      <c r="V2899" s="87"/>
      <c r="W2899" s="87"/>
      <c r="X2899" s="87"/>
      <c r="Y2899" s="87"/>
      <c r="Z2899" s="87"/>
      <c r="AA2899" s="87"/>
      <c r="AB2899" s="87"/>
      <c r="AC2899" s="87"/>
      <c r="AD2899" s="87"/>
      <c r="AE2899" s="87"/>
      <c r="AF2899" s="87"/>
      <c r="AG2899" s="87"/>
      <c r="AH2899" s="87">
        <v>2</v>
      </c>
      <c r="AI2899" s="87"/>
      <c r="AJ2899" s="87"/>
      <c r="AK2899" s="87"/>
      <c r="AL2899" s="87"/>
      <c r="AM2899" s="87"/>
      <c r="AN2899" s="87"/>
      <c r="AO2899" s="87"/>
      <c r="AP2899" s="87">
        <v>2</v>
      </c>
      <c r="AQ2899" s="87"/>
      <c r="AR2899" s="87"/>
      <c r="AS2899" s="87"/>
      <c r="AT2899" s="87"/>
      <c r="AU2899" s="87"/>
      <c r="AV2899" s="87"/>
      <c r="AW2899" s="88" t="str">
        <f>HYPERLINK("http://www.openstreetmap.org/?mlat=31.4115&amp;mlon=46.1627&amp;zoom=12#map=12/31.4115/46.1627","Maplink1")</f>
        <v>Maplink1</v>
      </c>
      <c r="AX2899" s="88" t="str">
        <f>HYPERLINK("https://www.google.iq/maps/search/+31.4115,46.1627/@31.4115,46.1627,14z?hl=en","Maplink2")</f>
        <v>Maplink2</v>
      </c>
      <c r="AY2899" s="88" t="str">
        <f>HYPERLINK("http://www.bing.com/maps/?lvl=14&amp;sty=h&amp;cp=31.4115~46.1627&amp;sp=point.31.4115_46.1627","Maplink3")</f>
        <v>Maplink3</v>
      </c>
      <c r="AZ2899" s="76"/>
    </row>
    <row r="2900" spans="1:52" x14ac:dyDescent="0.25">
      <c r="A2900" s="86">
        <v>21209</v>
      </c>
      <c r="B2900" s="87" t="s">
        <v>28</v>
      </c>
      <c r="C2900" s="87" t="s">
        <v>5470</v>
      </c>
      <c r="D2900" s="87" t="s">
        <v>5477</v>
      </c>
      <c r="E2900" s="87" t="s">
        <v>5478</v>
      </c>
      <c r="F2900" s="87">
        <v>31.415689718399999</v>
      </c>
      <c r="G2900" s="87">
        <v>46.163976839100002</v>
      </c>
      <c r="H2900" s="86">
        <v>2</v>
      </c>
      <c r="I2900" s="86">
        <v>12</v>
      </c>
      <c r="J2900" s="87"/>
      <c r="K2900" s="87"/>
      <c r="L2900" s="87"/>
      <c r="M2900" s="87"/>
      <c r="N2900" s="87"/>
      <c r="O2900" s="87"/>
      <c r="P2900" s="87"/>
      <c r="Q2900" s="87"/>
      <c r="R2900" s="87"/>
      <c r="S2900" s="87"/>
      <c r="T2900" s="87"/>
      <c r="U2900" s="87"/>
      <c r="V2900" s="87">
        <v>2</v>
      </c>
      <c r="W2900" s="87"/>
      <c r="X2900" s="87"/>
      <c r="Y2900" s="87"/>
      <c r="Z2900" s="87"/>
      <c r="AA2900" s="87"/>
      <c r="AB2900" s="87"/>
      <c r="AC2900" s="87"/>
      <c r="AD2900" s="87"/>
      <c r="AE2900" s="87"/>
      <c r="AF2900" s="87"/>
      <c r="AG2900" s="87"/>
      <c r="AH2900" s="87">
        <v>2</v>
      </c>
      <c r="AI2900" s="87"/>
      <c r="AJ2900" s="87"/>
      <c r="AK2900" s="87"/>
      <c r="AL2900" s="87"/>
      <c r="AM2900" s="87"/>
      <c r="AN2900" s="87"/>
      <c r="AO2900" s="87"/>
      <c r="AP2900" s="87">
        <v>2</v>
      </c>
      <c r="AQ2900" s="87"/>
      <c r="AR2900" s="87"/>
      <c r="AS2900" s="87"/>
      <c r="AT2900" s="87"/>
      <c r="AU2900" s="87"/>
      <c r="AV2900" s="87"/>
      <c r="AW2900" s="88" t="str">
        <f>HYPERLINK("http://www.openstreetmap.org/?mlat=31.4157&amp;mlon=46.164&amp;zoom=12#map=12/31.4157/46.164","Maplink1")</f>
        <v>Maplink1</v>
      </c>
      <c r="AX2900" s="88" t="str">
        <f>HYPERLINK("https://www.google.iq/maps/search/+31.4157,46.164/@31.4157,46.164,14z?hl=en","Maplink2")</f>
        <v>Maplink2</v>
      </c>
      <c r="AY2900" s="88" t="str">
        <f>HYPERLINK("http://www.bing.com/maps/?lvl=14&amp;sty=h&amp;cp=31.4157~46.164&amp;sp=point.31.4157_46.164","Maplink3")</f>
        <v>Maplink3</v>
      </c>
      <c r="AZ2900" s="76"/>
    </row>
    <row r="2901" spans="1:52" x14ac:dyDescent="0.25">
      <c r="A2901" s="86">
        <v>33804</v>
      </c>
      <c r="B2901" s="87" t="s">
        <v>28</v>
      </c>
      <c r="C2901" s="87" t="s">
        <v>5470</v>
      </c>
      <c r="D2901" s="87" t="s">
        <v>5853</v>
      </c>
      <c r="E2901" s="87" t="s">
        <v>5854</v>
      </c>
      <c r="F2901" s="87">
        <v>31.490788999999999</v>
      </c>
      <c r="G2901" s="87">
        <v>46.378664000000001</v>
      </c>
      <c r="H2901" s="86">
        <v>3</v>
      </c>
      <c r="I2901" s="86">
        <v>18</v>
      </c>
      <c r="J2901" s="87">
        <v>1</v>
      </c>
      <c r="K2901" s="87"/>
      <c r="L2901" s="87"/>
      <c r="M2901" s="87"/>
      <c r="N2901" s="87"/>
      <c r="O2901" s="87"/>
      <c r="P2901" s="87"/>
      <c r="Q2901" s="87"/>
      <c r="R2901" s="87"/>
      <c r="S2901" s="87"/>
      <c r="T2901" s="87"/>
      <c r="U2901" s="87"/>
      <c r="V2901" s="87">
        <v>2</v>
      </c>
      <c r="W2901" s="87"/>
      <c r="X2901" s="87"/>
      <c r="Y2901" s="87"/>
      <c r="Z2901" s="87"/>
      <c r="AA2901" s="87"/>
      <c r="AB2901" s="87"/>
      <c r="AC2901" s="87"/>
      <c r="AD2901" s="87"/>
      <c r="AE2901" s="87"/>
      <c r="AF2901" s="87"/>
      <c r="AG2901" s="87"/>
      <c r="AH2901" s="87">
        <v>3</v>
      </c>
      <c r="AI2901" s="87"/>
      <c r="AJ2901" s="87"/>
      <c r="AK2901" s="87"/>
      <c r="AL2901" s="87"/>
      <c r="AM2901" s="87"/>
      <c r="AN2901" s="87"/>
      <c r="AO2901" s="87"/>
      <c r="AP2901" s="87">
        <v>3</v>
      </c>
      <c r="AQ2901" s="87"/>
      <c r="AR2901" s="87"/>
      <c r="AS2901" s="87"/>
      <c r="AT2901" s="87"/>
      <c r="AU2901" s="87"/>
      <c r="AV2901" s="87"/>
      <c r="AW2901" s="88" t="str">
        <f>HYPERLINK("http://www.openstreetmap.org/?mlat=31.4908&amp;mlon=46.3787&amp;zoom=12#map=12/31.4908/46.3787","Maplink1")</f>
        <v>Maplink1</v>
      </c>
      <c r="AX2901" s="88" t="str">
        <f>HYPERLINK("https://www.google.iq/maps/search/+31.4908,46.3787/@31.4908,46.3787,14z?hl=en","Maplink2")</f>
        <v>Maplink2</v>
      </c>
      <c r="AY2901" s="88" t="str">
        <f>HYPERLINK("http://www.bing.com/maps/?lvl=14&amp;sty=h&amp;cp=31.4908~46.3787&amp;sp=point.31.4908_46.3787","Maplink3")</f>
        <v>Maplink3</v>
      </c>
      <c r="AZ2901" s="76"/>
    </row>
    <row r="2902" spans="1:52" x14ac:dyDescent="0.25">
      <c r="A2902" s="86">
        <v>33887</v>
      </c>
      <c r="B2902" s="87" t="s">
        <v>28</v>
      </c>
      <c r="C2902" s="87" t="s">
        <v>5470</v>
      </c>
      <c r="D2902" s="87" t="s">
        <v>5929</v>
      </c>
      <c r="E2902" s="87" t="s">
        <v>5930</v>
      </c>
      <c r="F2902" s="87">
        <v>31.220964800000001</v>
      </c>
      <c r="G2902" s="87">
        <v>46.220958000000003</v>
      </c>
      <c r="H2902" s="86">
        <v>3</v>
      </c>
      <c r="I2902" s="86">
        <v>18</v>
      </c>
      <c r="J2902" s="87"/>
      <c r="K2902" s="87"/>
      <c r="L2902" s="87"/>
      <c r="M2902" s="87"/>
      <c r="N2902" s="87"/>
      <c r="O2902" s="87"/>
      <c r="P2902" s="87"/>
      <c r="Q2902" s="87"/>
      <c r="R2902" s="87"/>
      <c r="S2902" s="87"/>
      <c r="T2902" s="87"/>
      <c r="U2902" s="87"/>
      <c r="V2902" s="87"/>
      <c r="W2902" s="87"/>
      <c r="X2902" s="87">
        <v>3</v>
      </c>
      <c r="Y2902" s="87"/>
      <c r="Z2902" s="87"/>
      <c r="AA2902" s="87"/>
      <c r="AB2902" s="87"/>
      <c r="AC2902" s="87"/>
      <c r="AD2902" s="87"/>
      <c r="AE2902" s="87"/>
      <c r="AF2902" s="87"/>
      <c r="AG2902" s="87">
        <v>3</v>
      </c>
      <c r="AH2902" s="87"/>
      <c r="AI2902" s="87"/>
      <c r="AJ2902" s="87"/>
      <c r="AK2902" s="87"/>
      <c r="AL2902" s="87"/>
      <c r="AM2902" s="87"/>
      <c r="AN2902" s="87"/>
      <c r="AO2902" s="87">
        <v>3</v>
      </c>
      <c r="AP2902" s="87"/>
      <c r="AQ2902" s="87"/>
      <c r="AR2902" s="87"/>
      <c r="AS2902" s="87"/>
      <c r="AT2902" s="87"/>
      <c r="AU2902" s="87"/>
      <c r="AV2902" s="87"/>
      <c r="AW2902" s="88" t="str">
        <f>HYPERLINK("http://www.openstreetmap.org/?mlat=31.221&amp;mlon=46.221&amp;zoom=12#map=12/31.221/46.221","Maplink1")</f>
        <v>Maplink1</v>
      </c>
      <c r="AX2902" s="88" t="str">
        <f>HYPERLINK("https://www.google.iq/maps/search/+31.221,46.221/@31.221,46.221,14z?hl=en","Maplink2")</f>
        <v>Maplink2</v>
      </c>
      <c r="AY2902" s="88" t="str">
        <f>HYPERLINK("http://www.bing.com/maps/?lvl=14&amp;sty=h&amp;cp=31.221~46.221&amp;sp=point.31.221_46.221","Maplink3")</f>
        <v>Maplink3</v>
      </c>
      <c r="AZ2902" s="76"/>
    </row>
    <row r="2903" spans="1:52" x14ac:dyDescent="0.25">
      <c r="A2903" s="86">
        <v>9848</v>
      </c>
      <c r="B2903" s="87" t="s">
        <v>28</v>
      </c>
      <c r="C2903" s="87" t="s">
        <v>5470</v>
      </c>
      <c r="D2903" s="87" t="s">
        <v>5479</v>
      </c>
      <c r="E2903" s="87" t="s">
        <v>5480</v>
      </c>
      <c r="F2903" s="87">
        <v>31.415756054100001</v>
      </c>
      <c r="G2903" s="87">
        <v>46.172971067500001</v>
      </c>
      <c r="H2903" s="86">
        <v>3</v>
      </c>
      <c r="I2903" s="86">
        <v>18</v>
      </c>
      <c r="J2903" s="87"/>
      <c r="K2903" s="87"/>
      <c r="L2903" s="87"/>
      <c r="M2903" s="87"/>
      <c r="N2903" s="87"/>
      <c r="O2903" s="87"/>
      <c r="P2903" s="87"/>
      <c r="Q2903" s="87"/>
      <c r="R2903" s="87"/>
      <c r="S2903" s="87"/>
      <c r="T2903" s="87"/>
      <c r="U2903" s="87"/>
      <c r="V2903" s="87">
        <v>3</v>
      </c>
      <c r="W2903" s="87"/>
      <c r="X2903" s="87"/>
      <c r="Y2903" s="87"/>
      <c r="Z2903" s="87"/>
      <c r="AA2903" s="87"/>
      <c r="AB2903" s="87"/>
      <c r="AC2903" s="87"/>
      <c r="AD2903" s="87"/>
      <c r="AE2903" s="87"/>
      <c r="AF2903" s="87"/>
      <c r="AG2903" s="87"/>
      <c r="AH2903" s="87">
        <v>3</v>
      </c>
      <c r="AI2903" s="87"/>
      <c r="AJ2903" s="87"/>
      <c r="AK2903" s="87"/>
      <c r="AL2903" s="87"/>
      <c r="AM2903" s="87"/>
      <c r="AN2903" s="87"/>
      <c r="AO2903" s="87"/>
      <c r="AP2903" s="87">
        <v>3</v>
      </c>
      <c r="AQ2903" s="87"/>
      <c r="AR2903" s="87"/>
      <c r="AS2903" s="87"/>
      <c r="AT2903" s="87"/>
      <c r="AU2903" s="87"/>
      <c r="AV2903" s="87"/>
      <c r="AW2903" s="88" t="str">
        <f>HYPERLINK("http://www.openstreetmap.org/?mlat=31.4158&amp;mlon=46.173&amp;zoom=12#map=12/31.4158/46.173","Maplink1")</f>
        <v>Maplink1</v>
      </c>
      <c r="AX2903" s="88" t="str">
        <f>HYPERLINK("https://www.google.iq/maps/search/+31.4158,46.173/@31.4158,46.173,14z?hl=en","Maplink2")</f>
        <v>Maplink2</v>
      </c>
      <c r="AY2903" s="88" t="str">
        <f>HYPERLINK("http://www.bing.com/maps/?lvl=14&amp;sty=h&amp;cp=31.4158~46.173&amp;sp=point.31.4158_46.173","Maplink3")</f>
        <v>Maplink3</v>
      </c>
      <c r="AZ2903" s="76"/>
    </row>
    <row r="2904" spans="1:52" x14ac:dyDescent="0.25">
      <c r="A2904" s="86">
        <v>9822</v>
      </c>
      <c r="B2904" s="87" t="s">
        <v>28</v>
      </c>
      <c r="C2904" s="87" t="s">
        <v>5470</v>
      </c>
      <c r="D2904" s="87" t="s">
        <v>5481</v>
      </c>
      <c r="E2904" s="87" t="s">
        <v>5482</v>
      </c>
      <c r="F2904" s="87">
        <v>31.403907212699998</v>
      </c>
      <c r="G2904" s="87">
        <v>46.175491096099996</v>
      </c>
      <c r="H2904" s="86">
        <v>1</v>
      </c>
      <c r="I2904" s="86">
        <v>6</v>
      </c>
      <c r="J2904" s="87"/>
      <c r="K2904" s="87"/>
      <c r="L2904" s="87"/>
      <c r="M2904" s="87"/>
      <c r="N2904" s="87"/>
      <c r="O2904" s="87"/>
      <c r="P2904" s="87"/>
      <c r="Q2904" s="87"/>
      <c r="R2904" s="87"/>
      <c r="S2904" s="87"/>
      <c r="T2904" s="87"/>
      <c r="U2904" s="87"/>
      <c r="V2904" s="87">
        <v>1</v>
      </c>
      <c r="W2904" s="87"/>
      <c r="X2904" s="87"/>
      <c r="Y2904" s="87"/>
      <c r="Z2904" s="87"/>
      <c r="AA2904" s="87"/>
      <c r="AB2904" s="87"/>
      <c r="AC2904" s="87">
        <v>1</v>
      </c>
      <c r="AD2904" s="87"/>
      <c r="AE2904" s="87"/>
      <c r="AF2904" s="87"/>
      <c r="AG2904" s="87"/>
      <c r="AH2904" s="87"/>
      <c r="AI2904" s="87"/>
      <c r="AJ2904" s="87"/>
      <c r="AK2904" s="87"/>
      <c r="AL2904" s="87"/>
      <c r="AM2904" s="87"/>
      <c r="AN2904" s="87">
        <v>1</v>
      </c>
      <c r="AO2904" s="87"/>
      <c r="AP2904" s="87"/>
      <c r="AQ2904" s="87"/>
      <c r="AR2904" s="87"/>
      <c r="AS2904" s="87"/>
      <c r="AT2904" s="87"/>
      <c r="AU2904" s="87"/>
      <c r="AV2904" s="87"/>
      <c r="AW2904" s="88" t="str">
        <f>HYPERLINK("http://www.openstreetmap.org/?mlat=31.4039&amp;mlon=46.1755&amp;zoom=12#map=12/31.4039/46.1755","Maplink1")</f>
        <v>Maplink1</v>
      </c>
      <c r="AX2904" s="88" t="str">
        <f>HYPERLINK("https://www.google.iq/maps/search/+31.4039,46.1755/@31.4039,46.1755,14z?hl=en","Maplink2")</f>
        <v>Maplink2</v>
      </c>
      <c r="AY2904" s="88" t="str">
        <f>HYPERLINK("http://www.bing.com/maps/?lvl=14&amp;sty=h&amp;cp=31.4039~46.1755&amp;sp=point.31.4039_46.1755","Maplink3")</f>
        <v>Maplink3</v>
      </c>
      <c r="AZ2904" s="76"/>
    </row>
    <row r="2905" spans="1:52" x14ac:dyDescent="0.25">
      <c r="A2905" s="86">
        <v>9188</v>
      </c>
      <c r="B2905" s="87" t="s">
        <v>28</v>
      </c>
      <c r="C2905" s="87" t="s">
        <v>5470</v>
      </c>
      <c r="D2905" s="87" t="s">
        <v>5483</v>
      </c>
      <c r="E2905" s="87" t="s">
        <v>5484</v>
      </c>
      <c r="F2905" s="87">
        <v>31.446458051</v>
      </c>
      <c r="G2905" s="87">
        <v>46.175375215300001</v>
      </c>
      <c r="H2905" s="86">
        <v>2</v>
      </c>
      <c r="I2905" s="86">
        <v>12</v>
      </c>
      <c r="J2905" s="87"/>
      <c r="K2905" s="87"/>
      <c r="L2905" s="87"/>
      <c r="M2905" s="87"/>
      <c r="N2905" s="87"/>
      <c r="O2905" s="87"/>
      <c r="P2905" s="87"/>
      <c r="Q2905" s="87"/>
      <c r="R2905" s="87"/>
      <c r="S2905" s="87"/>
      <c r="T2905" s="87"/>
      <c r="U2905" s="87"/>
      <c r="V2905" s="87">
        <v>2</v>
      </c>
      <c r="W2905" s="87"/>
      <c r="X2905" s="87"/>
      <c r="Y2905" s="87"/>
      <c r="Z2905" s="87"/>
      <c r="AA2905" s="87"/>
      <c r="AB2905" s="87"/>
      <c r="AC2905" s="87"/>
      <c r="AD2905" s="87"/>
      <c r="AE2905" s="87"/>
      <c r="AF2905" s="87"/>
      <c r="AG2905" s="87"/>
      <c r="AH2905" s="87">
        <v>2</v>
      </c>
      <c r="AI2905" s="87"/>
      <c r="AJ2905" s="87"/>
      <c r="AK2905" s="87"/>
      <c r="AL2905" s="87"/>
      <c r="AM2905" s="87"/>
      <c r="AN2905" s="87"/>
      <c r="AO2905" s="87">
        <v>2</v>
      </c>
      <c r="AP2905" s="87"/>
      <c r="AQ2905" s="87"/>
      <c r="AR2905" s="87"/>
      <c r="AS2905" s="87"/>
      <c r="AT2905" s="87"/>
      <c r="AU2905" s="87"/>
      <c r="AV2905" s="87"/>
      <c r="AW2905" s="88" t="str">
        <f>HYPERLINK("http://www.openstreetmap.org/?mlat=31.4465&amp;mlon=46.1754&amp;zoom=12#map=12/31.4465/46.1754","Maplink1")</f>
        <v>Maplink1</v>
      </c>
      <c r="AX2905" s="88" t="str">
        <f>HYPERLINK("https://www.google.iq/maps/search/+31.4465,46.1754/@31.4465,46.1754,14z?hl=en","Maplink2")</f>
        <v>Maplink2</v>
      </c>
      <c r="AY2905" s="88" t="str">
        <f>HYPERLINK("http://www.bing.com/maps/?lvl=14&amp;sty=h&amp;cp=31.4465~46.1754&amp;sp=point.31.4465_46.1754","Maplink3")</f>
        <v>Maplink3</v>
      </c>
      <c r="AZ2905" s="76"/>
    </row>
    <row r="2906" spans="1:52" x14ac:dyDescent="0.25">
      <c r="A2906" s="86">
        <v>10286</v>
      </c>
      <c r="B2906" s="87" t="s">
        <v>28</v>
      </c>
      <c r="C2906" s="87" t="s">
        <v>5470</v>
      </c>
      <c r="D2906" s="87" t="s">
        <v>5485</v>
      </c>
      <c r="E2906" s="87" t="s">
        <v>1353</v>
      </c>
      <c r="F2906" s="87">
        <v>31.400419743299999</v>
      </c>
      <c r="G2906" s="87">
        <v>46.1806881535</v>
      </c>
      <c r="H2906" s="86">
        <v>1</v>
      </c>
      <c r="I2906" s="86">
        <v>6</v>
      </c>
      <c r="J2906" s="87">
        <v>1</v>
      </c>
      <c r="K2906" s="87"/>
      <c r="L2906" s="87"/>
      <c r="M2906" s="87"/>
      <c r="N2906" s="87"/>
      <c r="O2906" s="87"/>
      <c r="P2906" s="87"/>
      <c r="Q2906" s="87"/>
      <c r="R2906" s="87"/>
      <c r="S2906" s="87"/>
      <c r="T2906" s="87"/>
      <c r="U2906" s="87"/>
      <c r="V2906" s="87"/>
      <c r="W2906" s="87"/>
      <c r="X2906" s="87"/>
      <c r="Y2906" s="87"/>
      <c r="Z2906" s="87"/>
      <c r="AA2906" s="87"/>
      <c r="AB2906" s="87"/>
      <c r="AC2906" s="87"/>
      <c r="AD2906" s="87"/>
      <c r="AE2906" s="87"/>
      <c r="AF2906" s="87"/>
      <c r="AG2906" s="87"/>
      <c r="AH2906" s="87">
        <v>1</v>
      </c>
      <c r="AI2906" s="87"/>
      <c r="AJ2906" s="87"/>
      <c r="AK2906" s="87"/>
      <c r="AL2906" s="87"/>
      <c r="AM2906" s="87"/>
      <c r="AN2906" s="87"/>
      <c r="AO2906" s="87">
        <v>1</v>
      </c>
      <c r="AP2906" s="87"/>
      <c r="AQ2906" s="87"/>
      <c r="AR2906" s="87"/>
      <c r="AS2906" s="87"/>
      <c r="AT2906" s="87"/>
      <c r="AU2906" s="87"/>
      <c r="AV2906" s="87"/>
      <c r="AW2906" s="88" t="str">
        <f>HYPERLINK("http://www.openstreetmap.org/?mlat=31.4004&amp;mlon=46.1807&amp;zoom=12#map=12/31.4004/46.1807","Maplink1")</f>
        <v>Maplink1</v>
      </c>
      <c r="AX2906" s="88" t="str">
        <f>HYPERLINK("https://www.google.iq/maps/search/+31.4004,46.1807/@31.4004,46.1807,14z?hl=en","Maplink2")</f>
        <v>Maplink2</v>
      </c>
      <c r="AY2906" s="88" t="str">
        <f>HYPERLINK("http://www.bing.com/maps/?lvl=14&amp;sty=h&amp;cp=31.4004~46.1807&amp;sp=point.31.4004_46.1807","Maplink3")</f>
        <v>Maplink3</v>
      </c>
      <c r="AZ2906" s="76"/>
    </row>
    <row r="2907" spans="1:52" x14ac:dyDescent="0.25">
      <c r="A2907" s="86">
        <v>33805</v>
      </c>
      <c r="B2907" s="87" t="s">
        <v>28</v>
      </c>
      <c r="C2907" s="87" t="s">
        <v>5470</v>
      </c>
      <c r="D2907" s="87" t="s">
        <v>5855</v>
      </c>
      <c r="E2907" s="87" t="s">
        <v>208</v>
      </c>
      <c r="F2907" s="87">
        <v>31.295843999999999</v>
      </c>
      <c r="G2907" s="87">
        <v>46.233044999999997</v>
      </c>
      <c r="H2907" s="86">
        <v>4</v>
      </c>
      <c r="I2907" s="86">
        <v>24</v>
      </c>
      <c r="J2907" s="87"/>
      <c r="K2907" s="87"/>
      <c r="L2907" s="87"/>
      <c r="M2907" s="87"/>
      <c r="N2907" s="87"/>
      <c r="O2907" s="87"/>
      <c r="P2907" s="87"/>
      <c r="Q2907" s="87"/>
      <c r="R2907" s="87"/>
      <c r="S2907" s="87"/>
      <c r="T2907" s="87"/>
      <c r="U2907" s="87"/>
      <c r="V2907" s="87">
        <v>4</v>
      </c>
      <c r="W2907" s="87"/>
      <c r="X2907" s="87"/>
      <c r="Y2907" s="87"/>
      <c r="Z2907" s="87"/>
      <c r="AA2907" s="87"/>
      <c r="AB2907" s="87"/>
      <c r="AC2907" s="87"/>
      <c r="AD2907" s="87"/>
      <c r="AE2907" s="87"/>
      <c r="AF2907" s="87"/>
      <c r="AG2907" s="87"/>
      <c r="AH2907" s="87">
        <v>4</v>
      </c>
      <c r="AI2907" s="87"/>
      <c r="AJ2907" s="87"/>
      <c r="AK2907" s="87"/>
      <c r="AL2907" s="87"/>
      <c r="AM2907" s="87"/>
      <c r="AN2907" s="87"/>
      <c r="AO2907" s="87"/>
      <c r="AP2907" s="87">
        <v>4</v>
      </c>
      <c r="AQ2907" s="87"/>
      <c r="AR2907" s="87"/>
      <c r="AS2907" s="87"/>
      <c r="AT2907" s="87"/>
      <c r="AU2907" s="87"/>
      <c r="AV2907" s="87"/>
      <c r="AW2907" s="88" t="str">
        <f>HYPERLINK("http://www.openstreetmap.org/?mlat=31.2958&amp;mlon=46.233&amp;zoom=12#map=12/31.2958/46.233","Maplink1")</f>
        <v>Maplink1</v>
      </c>
      <c r="AX2907" s="88" t="str">
        <f>HYPERLINK("https://www.google.iq/maps/search/+31.2958,46.233/@31.2958,46.233,14z?hl=en","Maplink2")</f>
        <v>Maplink2</v>
      </c>
      <c r="AY2907" s="88" t="str">
        <f>HYPERLINK("http://www.bing.com/maps/?lvl=14&amp;sty=h&amp;cp=31.2958~46.233&amp;sp=point.31.2958_46.233","Maplink3")</f>
        <v>Maplink3</v>
      </c>
      <c r="AZ2907" s="76"/>
    </row>
    <row r="2908" spans="1:52" x14ac:dyDescent="0.25">
      <c r="A2908" s="86">
        <v>24494</v>
      </c>
      <c r="B2908" s="87" t="s">
        <v>28</v>
      </c>
      <c r="C2908" s="87" t="s">
        <v>5486</v>
      </c>
      <c r="D2908" s="87" t="s">
        <v>5487</v>
      </c>
      <c r="E2908" s="87" t="s">
        <v>5488</v>
      </c>
      <c r="F2908" s="87">
        <v>31.027710880499999</v>
      </c>
      <c r="G2908" s="87">
        <v>46.218214741200001</v>
      </c>
      <c r="H2908" s="86">
        <v>7</v>
      </c>
      <c r="I2908" s="86">
        <v>42</v>
      </c>
      <c r="J2908" s="87"/>
      <c r="K2908" s="87"/>
      <c r="L2908" s="87"/>
      <c r="M2908" s="87"/>
      <c r="N2908" s="87"/>
      <c r="O2908" s="87"/>
      <c r="P2908" s="87"/>
      <c r="Q2908" s="87"/>
      <c r="R2908" s="87"/>
      <c r="S2908" s="87"/>
      <c r="T2908" s="87"/>
      <c r="U2908" s="87"/>
      <c r="V2908" s="87">
        <v>7</v>
      </c>
      <c r="W2908" s="87"/>
      <c r="X2908" s="87"/>
      <c r="Y2908" s="87"/>
      <c r="Z2908" s="87"/>
      <c r="AA2908" s="87"/>
      <c r="AB2908" s="87"/>
      <c r="AC2908" s="87"/>
      <c r="AD2908" s="87"/>
      <c r="AE2908" s="87"/>
      <c r="AF2908" s="87"/>
      <c r="AG2908" s="87"/>
      <c r="AH2908" s="87">
        <v>7</v>
      </c>
      <c r="AI2908" s="87"/>
      <c r="AJ2908" s="87"/>
      <c r="AK2908" s="87"/>
      <c r="AL2908" s="87"/>
      <c r="AM2908" s="87"/>
      <c r="AN2908" s="87"/>
      <c r="AO2908" s="87">
        <v>4</v>
      </c>
      <c r="AP2908" s="87"/>
      <c r="AQ2908" s="87">
        <v>3</v>
      </c>
      <c r="AR2908" s="87"/>
      <c r="AS2908" s="87"/>
      <c r="AT2908" s="87"/>
      <c r="AU2908" s="87"/>
      <c r="AV2908" s="87"/>
      <c r="AW2908" s="88" t="str">
        <f>HYPERLINK("http://www.openstreetmap.org/?mlat=31.0277&amp;mlon=46.2182&amp;zoom=12#map=12/31.0277/46.2182","Maplink1")</f>
        <v>Maplink1</v>
      </c>
      <c r="AX2908" s="88" t="str">
        <f>HYPERLINK("https://www.google.iq/maps/search/+31.0277,46.2182/@31.0277,46.2182,14z?hl=en","Maplink2")</f>
        <v>Maplink2</v>
      </c>
      <c r="AY2908" s="88" t="str">
        <f>HYPERLINK("http://www.bing.com/maps/?lvl=14&amp;sty=h&amp;cp=31.0277~46.2182&amp;sp=point.31.0277_46.2182","Maplink3")</f>
        <v>Maplink3</v>
      </c>
      <c r="AZ2908" s="76"/>
    </row>
    <row r="2909" spans="1:52" x14ac:dyDescent="0.25">
      <c r="A2909" s="86">
        <v>25529</v>
      </c>
      <c r="B2909" s="87" t="s">
        <v>28</v>
      </c>
      <c r="C2909" s="87" t="s">
        <v>5486</v>
      </c>
      <c r="D2909" s="87" t="s">
        <v>5489</v>
      </c>
      <c r="E2909" s="87" t="s">
        <v>5490</v>
      </c>
      <c r="F2909" s="87">
        <v>31.033167288000001</v>
      </c>
      <c r="G2909" s="87">
        <v>46.273891712999998</v>
      </c>
      <c r="H2909" s="86">
        <v>9</v>
      </c>
      <c r="I2909" s="86">
        <v>54</v>
      </c>
      <c r="J2909" s="87">
        <v>1</v>
      </c>
      <c r="K2909" s="87"/>
      <c r="L2909" s="87"/>
      <c r="M2909" s="87"/>
      <c r="N2909" s="87"/>
      <c r="O2909" s="87"/>
      <c r="P2909" s="87"/>
      <c r="Q2909" s="87"/>
      <c r="R2909" s="87"/>
      <c r="S2909" s="87"/>
      <c r="T2909" s="87"/>
      <c r="U2909" s="87"/>
      <c r="V2909" s="87">
        <v>8</v>
      </c>
      <c r="W2909" s="87"/>
      <c r="X2909" s="87"/>
      <c r="Y2909" s="87"/>
      <c r="Z2909" s="87"/>
      <c r="AA2909" s="87"/>
      <c r="AB2909" s="87"/>
      <c r="AC2909" s="87">
        <v>5</v>
      </c>
      <c r="AD2909" s="87"/>
      <c r="AE2909" s="87"/>
      <c r="AF2909" s="87"/>
      <c r="AG2909" s="87"/>
      <c r="AH2909" s="87">
        <v>4</v>
      </c>
      <c r="AI2909" s="87"/>
      <c r="AJ2909" s="87"/>
      <c r="AK2909" s="87"/>
      <c r="AL2909" s="87"/>
      <c r="AM2909" s="87"/>
      <c r="AN2909" s="87"/>
      <c r="AO2909" s="87">
        <v>5</v>
      </c>
      <c r="AP2909" s="87">
        <v>3</v>
      </c>
      <c r="AQ2909" s="87"/>
      <c r="AR2909" s="87">
        <v>1</v>
      </c>
      <c r="AS2909" s="87"/>
      <c r="AT2909" s="87"/>
      <c r="AU2909" s="87"/>
      <c r="AV2909" s="87"/>
      <c r="AW2909" s="88" t="str">
        <f>HYPERLINK("http://www.openstreetmap.org/?mlat=31.0332&amp;mlon=46.2739&amp;zoom=12#map=12/31.0332/46.2739","Maplink1")</f>
        <v>Maplink1</v>
      </c>
      <c r="AX2909" s="88" t="str">
        <f>HYPERLINK("https://www.google.iq/maps/search/+31.0332,46.2739/@31.0332,46.2739,14z?hl=en","Maplink2")</f>
        <v>Maplink2</v>
      </c>
      <c r="AY2909" s="88" t="str">
        <f>HYPERLINK("http://www.bing.com/maps/?lvl=14&amp;sty=h&amp;cp=31.0332~46.2739&amp;sp=point.31.0332_46.2739","Maplink3")</f>
        <v>Maplink3</v>
      </c>
      <c r="AZ2909" s="76"/>
    </row>
    <row r="2910" spans="1:52" x14ac:dyDescent="0.25">
      <c r="A2910" s="86">
        <v>24415</v>
      </c>
      <c r="B2910" s="87" t="s">
        <v>28</v>
      </c>
      <c r="C2910" s="87" t="s">
        <v>5486</v>
      </c>
      <c r="D2910" s="87" t="s">
        <v>5491</v>
      </c>
      <c r="E2910" s="87" t="s">
        <v>5492</v>
      </c>
      <c r="F2910" s="87">
        <v>31.122673117800002</v>
      </c>
      <c r="G2910" s="87">
        <v>46.234062045100004</v>
      </c>
      <c r="H2910" s="86">
        <v>1</v>
      </c>
      <c r="I2910" s="86">
        <v>6</v>
      </c>
      <c r="J2910" s="87"/>
      <c r="K2910" s="87"/>
      <c r="L2910" s="87"/>
      <c r="M2910" s="87"/>
      <c r="N2910" s="87"/>
      <c r="O2910" s="87"/>
      <c r="P2910" s="87"/>
      <c r="Q2910" s="87"/>
      <c r="R2910" s="87"/>
      <c r="S2910" s="87"/>
      <c r="T2910" s="87"/>
      <c r="U2910" s="87"/>
      <c r="V2910" s="87">
        <v>1</v>
      </c>
      <c r="W2910" s="87"/>
      <c r="X2910" s="87"/>
      <c r="Y2910" s="87"/>
      <c r="Z2910" s="87"/>
      <c r="AA2910" s="87"/>
      <c r="AB2910" s="87"/>
      <c r="AC2910" s="87"/>
      <c r="AD2910" s="87"/>
      <c r="AE2910" s="87"/>
      <c r="AF2910" s="87"/>
      <c r="AG2910" s="87"/>
      <c r="AH2910" s="87">
        <v>1</v>
      </c>
      <c r="AI2910" s="87"/>
      <c r="AJ2910" s="87"/>
      <c r="AK2910" s="87"/>
      <c r="AL2910" s="87"/>
      <c r="AM2910" s="87"/>
      <c r="AN2910" s="87"/>
      <c r="AO2910" s="87"/>
      <c r="AP2910" s="87">
        <v>1</v>
      </c>
      <c r="AQ2910" s="87"/>
      <c r="AR2910" s="87"/>
      <c r="AS2910" s="87"/>
      <c r="AT2910" s="87"/>
      <c r="AU2910" s="87"/>
      <c r="AV2910" s="87"/>
      <c r="AW2910" s="88" t="str">
        <f>HYPERLINK("http://www.openstreetmap.org/?mlat=31.1227&amp;mlon=46.2341&amp;zoom=12#map=12/31.1227/46.2341","Maplink1")</f>
        <v>Maplink1</v>
      </c>
      <c r="AX2910" s="88" t="str">
        <f>HYPERLINK("https://www.google.iq/maps/search/+31.1227,46.2341/@31.1227,46.2341,14z?hl=en","Maplink2")</f>
        <v>Maplink2</v>
      </c>
      <c r="AY2910" s="88" t="str">
        <f>HYPERLINK("http://www.bing.com/maps/?lvl=14&amp;sty=h&amp;cp=31.1227~46.2341&amp;sp=point.31.1227_46.2341","Maplink3")</f>
        <v>Maplink3</v>
      </c>
      <c r="AZ2910" s="76"/>
    </row>
    <row r="2911" spans="1:52" x14ac:dyDescent="0.25">
      <c r="A2911" s="86">
        <v>24884</v>
      </c>
      <c r="B2911" s="87" t="s">
        <v>28</v>
      </c>
      <c r="C2911" s="87" t="s">
        <v>5486</v>
      </c>
      <c r="D2911" s="87" t="s">
        <v>5493</v>
      </c>
      <c r="E2911" s="87" t="s">
        <v>5494</v>
      </c>
      <c r="F2911" s="87">
        <v>31.155579727199999</v>
      </c>
      <c r="G2911" s="87">
        <v>46.245839243799999</v>
      </c>
      <c r="H2911" s="86">
        <v>4</v>
      </c>
      <c r="I2911" s="86">
        <v>24</v>
      </c>
      <c r="J2911" s="87"/>
      <c r="K2911" s="87"/>
      <c r="L2911" s="87"/>
      <c r="M2911" s="87"/>
      <c r="N2911" s="87"/>
      <c r="O2911" s="87"/>
      <c r="P2911" s="87"/>
      <c r="Q2911" s="87"/>
      <c r="R2911" s="87"/>
      <c r="S2911" s="87"/>
      <c r="T2911" s="87"/>
      <c r="U2911" s="87"/>
      <c r="V2911" s="87">
        <v>4</v>
      </c>
      <c r="W2911" s="87"/>
      <c r="X2911" s="87"/>
      <c r="Y2911" s="87"/>
      <c r="Z2911" s="87"/>
      <c r="AA2911" s="87"/>
      <c r="AB2911" s="87"/>
      <c r="AC2911" s="87">
        <v>4</v>
      </c>
      <c r="AD2911" s="87"/>
      <c r="AE2911" s="87"/>
      <c r="AF2911" s="87"/>
      <c r="AG2911" s="87"/>
      <c r="AH2911" s="87"/>
      <c r="AI2911" s="87"/>
      <c r="AJ2911" s="87"/>
      <c r="AK2911" s="87"/>
      <c r="AL2911" s="87"/>
      <c r="AM2911" s="87"/>
      <c r="AN2911" s="87"/>
      <c r="AO2911" s="87"/>
      <c r="AP2911" s="87"/>
      <c r="AQ2911" s="87">
        <v>4</v>
      </c>
      <c r="AR2911" s="87"/>
      <c r="AS2911" s="87"/>
      <c r="AT2911" s="87"/>
      <c r="AU2911" s="87"/>
      <c r="AV2911" s="87"/>
      <c r="AW2911" s="88" t="str">
        <f>HYPERLINK("http://www.openstreetmap.org/?mlat=31.1556&amp;mlon=46.2458&amp;zoom=12#map=12/31.1556/46.2458","Maplink1")</f>
        <v>Maplink1</v>
      </c>
      <c r="AX2911" s="88" t="str">
        <f>HYPERLINK("https://www.google.iq/maps/search/+31.1556,46.2458/@31.1556,46.2458,14z?hl=en","Maplink2")</f>
        <v>Maplink2</v>
      </c>
      <c r="AY2911" s="88" t="str">
        <f>HYPERLINK("http://www.bing.com/maps/?lvl=14&amp;sty=h&amp;cp=31.1556~46.2458&amp;sp=point.31.1556_46.2458","Maplink3")</f>
        <v>Maplink3</v>
      </c>
      <c r="AZ2911" s="76"/>
    </row>
    <row r="2912" spans="1:52" x14ac:dyDescent="0.25">
      <c r="A2912" s="86">
        <v>9728</v>
      </c>
      <c r="B2912" s="87" t="s">
        <v>28</v>
      </c>
      <c r="C2912" s="87" t="s">
        <v>5486</v>
      </c>
      <c r="D2912" s="87" t="s">
        <v>5495</v>
      </c>
      <c r="E2912" s="87" t="s">
        <v>428</v>
      </c>
      <c r="F2912" s="87">
        <v>31.038316374200001</v>
      </c>
      <c r="G2912" s="87">
        <v>46.253982172199997</v>
      </c>
      <c r="H2912" s="86">
        <v>3</v>
      </c>
      <c r="I2912" s="86">
        <v>18</v>
      </c>
      <c r="J2912" s="87">
        <v>3</v>
      </c>
      <c r="K2912" s="87"/>
      <c r="L2912" s="87"/>
      <c r="M2912" s="87"/>
      <c r="N2912" s="87"/>
      <c r="O2912" s="87"/>
      <c r="P2912" s="87"/>
      <c r="Q2912" s="87"/>
      <c r="R2912" s="87"/>
      <c r="S2912" s="87"/>
      <c r="T2912" s="87"/>
      <c r="U2912" s="87"/>
      <c r="V2912" s="87"/>
      <c r="W2912" s="87"/>
      <c r="X2912" s="87"/>
      <c r="Y2912" s="87"/>
      <c r="Z2912" s="87"/>
      <c r="AA2912" s="87"/>
      <c r="AB2912" s="87"/>
      <c r="AC2912" s="87"/>
      <c r="AD2912" s="87"/>
      <c r="AE2912" s="87"/>
      <c r="AF2912" s="87"/>
      <c r="AG2912" s="87"/>
      <c r="AH2912" s="87">
        <v>3</v>
      </c>
      <c r="AI2912" s="87"/>
      <c r="AJ2912" s="87"/>
      <c r="AK2912" s="87"/>
      <c r="AL2912" s="87"/>
      <c r="AM2912" s="87"/>
      <c r="AN2912" s="87"/>
      <c r="AO2912" s="87">
        <v>3</v>
      </c>
      <c r="AP2912" s="87"/>
      <c r="AQ2912" s="87"/>
      <c r="AR2912" s="87"/>
      <c r="AS2912" s="87"/>
      <c r="AT2912" s="87"/>
      <c r="AU2912" s="87"/>
      <c r="AV2912" s="87"/>
      <c r="AW2912" s="88" t="str">
        <f>HYPERLINK("http://www.openstreetmap.org/?mlat=31.0383&amp;mlon=46.254&amp;zoom=12#map=12/31.0383/46.254","Maplink1")</f>
        <v>Maplink1</v>
      </c>
      <c r="AX2912" s="88" t="str">
        <f>HYPERLINK("https://www.google.iq/maps/search/+31.0383,46.254/@31.0383,46.254,14z?hl=en","Maplink2")</f>
        <v>Maplink2</v>
      </c>
      <c r="AY2912" s="88" t="str">
        <f>HYPERLINK("http://www.bing.com/maps/?lvl=14&amp;sty=h&amp;cp=31.0383~46.254&amp;sp=point.31.0383_46.254","Maplink3")</f>
        <v>Maplink3</v>
      </c>
      <c r="AZ2912" s="76"/>
    </row>
    <row r="2913" spans="1:52" x14ac:dyDescent="0.25">
      <c r="A2913" s="86">
        <v>25525</v>
      </c>
      <c r="B2913" s="87" t="s">
        <v>28</v>
      </c>
      <c r="C2913" s="87" t="s">
        <v>5486</v>
      </c>
      <c r="D2913" s="87" t="s">
        <v>5496</v>
      </c>
      <c r="E2913" s="87" t="s">
        <v>5497</v>
      </c>
      <c r="F2913" s="87">
        <v>31.027024004299999</v>
      </c>
      <c r="G2913" s="87">
        <v>46.241676675500003</v>
      </c>
      <c r="H2913" s="86">
        <v>7</v>
      </c>
      <c r="I2913" s="86">
        <v>42</v>
      </c>
      <c r="J2913" s="87">
        <v>2</v>
      </c>
      <c r="K2913" s="87">
        <v>2</v>
      </c>
      <c r="L2913" s="87"/>
      <c r="M2913" s="87"/>
      <c r="N2913" s="87"/>
      <c r="O2913" s="87"/>
      <c r="P2913" s="87"/>
      <c r="Q2913" s="87"/>
      <c r="R2913" s="87"/>
      <c r="S2913" s="87"/>
      <c r="T2913" s="87"/>
      <c r="U2913" s="87"/>
      <c r="V2913" s="87">
        <v>3</v>
      </c>
      <c r="W2913" s="87"/>
      <c r="X2913" s="87"/>
      <c r="Y2913" s="87"/>
      <c r="Z2913" s="87"/>
      <c r="AA2913" s="87"/>
      <c r="AB2913" s="87"/>
      <c r="AC2913" s="87"/>
      <c r="AD2913" s="87"/>
      <c r="AE2913" s="87"/>
      <c r="AF2913" s="87"/>
      <c r="AG2913" s="87"/>
      <c r="AH2913" s="87">
        <v>7</v>
      </c>
      <c r="AI2913" s="87"/>
      <c r="AJ2913" s="87"/>
      <c r="AK2913" s="87"/>
      <c r="AL2913" s="87"/>
      <c r="AM2913" s="87"/>
      <c r="AN2913" s="87"/>
      <c r="AO2913" s="87">
        <v>5</v>
      </c>
      <c r="AP2913" s="87"/>
      <c r="AQ2913" s="87">
        <v>2</v>
      </c>
      <c r="AR2913" s="87"/>
      <c r="AS2913" s="87"/>
      <c r="AT2913" s="87"/>
      <c r="AU2913" s="87"/>
      <c r="AV2913" s="87"/>
      <c r="AW2913" s="88" t="str">
        <f>HYPERLINK("http://www.openstreetmap.org/?mlat=31.027&amp;mlon=46.2417&amp;zoom=12#map=12/31.027/46.2417","Maplink1")</f>
        <v>Maplink1</v>
      </c>
      <c r="AX2913" s="88" t="str">
        <f>HYPERLINK("https://www.google.iq/maps/search/+31.027,46.2417/@31.027,46.2417,14z?hl=en","Maplink2")</f>
        <v>Maplink2</v>
      </c>
      <c r="AY2913" s="88" t="str">
        <f>HYPERLINK("http://www.bing.com/maps/?lvl=14&amp;sty=h&amp;cp=31.027~46.2417&amp;sp=point.31.027_46.2417","Maplink3")</f>
        <v>Maplink3</v>
      </c>
      <c r="AZ2913" s="76"/>
    </row>
    <row r="2914" spans="1:52" x14ac:dyDescent="0.25">
      <c r="A2914" s="86">
        <v>24740</v>
      </c>
      <c r="B2914" s="87" t="s">
        <v>28</v>
      </c>
      <c r="C2914" s="87" t="s">
        <v>5486</v>
      </c>
      <c r="D2914" s="87" t="s">
        <v>384</v>
      </c>
      <c r="E2914" s="87" t="s">
        <v>385</v>
      </c>
      <c r="F2914" s="87">
        <v>31.038505004899999</v>
      </c>
      <c r="G2914" s="87">
        <v>46.242960423</v>
      </c>
      <c r="H2914" s="86">
        <v>3</v>
      </c>
      <c r="I2914" s="86">
        <v>18</v>
      </c>
      <c r="J2914" s="87">
        <v>1</v>
      </c>
      <c r="K2914" s="87"/>
      <c r="L2914" s="87"/>
      <c r="M2914" s="87"/>
      <c r="N2914" s="87"/>
      <c r="O2914" s="87"/>
      <c r="P2914" s="87"/>
      <c r="Q2914" s="87"/>
      <c r="R2914" s="87"/>
      <c r="S2914" s="87"/>
      <c r="T2914" s="87"/>
      <c r="U2914" s="87"/>
      <c r="V2914" s="87">
        <v>2</v>
      </c>
      <c r="W2914" s="87"/>
      <c r="X2914" s="87"/>
      <c r="Y2914" s="87"/>
      <c r="Z2914" s="87"/>
      <c r="AA2914" s="87"/>
      <c r="AB2914" s="87"/>
      <c r="AC2914" s="87"/>
      <c r="AD2914" s="87"/>
      <c r="AE2914" s="87"/>
      <c r="AF2914" s="87"/>
      <c r="AG2914" s="87"/>
      <c r="AH2914" s="87">
        <v>3</v>
      </c>
      <c r="AI2914" s="87"/>
      <c r="AJ2914" s="87"/>
      <c r="AK2914" s="87"/>
      <c r="AL2914" s="87"/>
      <c r="AM2914" s="87"/>
      <c r="AN2914" s="87"/>
      <c r="AO2914" s="87"/>
      <c r="AP2914" s="87"/>
      <c r="AQ2914" s="87">
        <v>3</v>
      </c>
      <c r="AR2914" s="87"/>
      <c r="AS2914" s="87"/>
      <c r="AT2914" s="87"/>
      <c r="AU2914" s="87"/>
      <c r="AV2914" s="87"/>
      <c r="AW2914" s="88" t="str">
        <f>HYPERLINK("http://www.openstreetmap.org/?mlat=31.0385&amp;mlon=46.243&amp;zoom=12#map=12/31.0385/46.243","Maplink1")</f>
        <v>Maplink1</v>
      </c>
      <c r="AX2914" s="88" t="str">
        <f>HYPERLINK("https://www.google.iq/maps/search/+31.0385,46.243/@31.0385,46.243,14z?hl=en","Maplink2")</f>
        <v>Maplink2</v>
      </c>
      <c r="AY2914" s="88" t="str">
        <f>HYPERLINK("http://www.bing.com/maps/?lvl=14&amp;sty=h&amp;cp=31.0385~46.243&amp;sp=point.31.0385_46.243","Maplink3")</f>
        <v>Maplink3</v>
      </c>
      <c r="AZ2914" s="76"/>
    </row>
    <row r="2915" spans="1:52" x14ac:dyDescent="0.25">
      <c r="A2915" s="86">
        <v>10260</v>
      </c>
      <c r="B2915" s="87" t="s">
        <v>28</v>
      </c>
      <c r="C2915" s="87" t="s">
        <v>5486</v>
      </c>
      <c r="D2915" s="87" t="s">
        <v>5804</v>
      </c>
      <c r="E2915" s="87" t="s">
        <v>5498</v>
      </c>
      <c r="F2915" s="87">
        <v>31.0134574836</v>
      </c>
      <c r="G2915" s="87">
        <v>46.282408152000002</v>
      </c>
      <c r="H2915" s="86">
        <v>24</v>
      </c>
      <c r="I2915" s="86">
        <v>144</v>
      </c>
      <c r="J2915" s="87">
        <v>4</v>
      </c>
      <c r="K2915" s="87"/>
      <c r="L2915" s="87"/>
      <c r="M2915" s="87"/>
      <c r="N2915" s="87"/>
      <c r="O2915" s="87">
        <v>3</v>
      </c>
      <c r="P2915" s="87"/>
      <c r="Q2915" s="87"/>
      <c r="R2915" s="87">
        <v>12</v>
      </c>
      <c r="S2915" s="87"/>
      <c r="T2915" s="87"/>
      <c r="U2915" s="87"/>
      <c r="V2915" s="87">
        <v>5</v>
      </c>
      <c r="W2915" s="87"/>
      <c r="X2915" s="87"/>
      <c r="Y2915" s="87"/>
      <c r="Z2915" s="87"/>
      <c r="AA2915" s="87"/>
      <c r="AB2915" s="87"/>
      <c r="AC2915" s="87">
        <v>6</v>
      </c>
      <c r="AD2915" s="87"/>
      <c r="AE2915" s="87"/>
      <c r="AF2915" s="87"/>
      <c r="AG2915" s="87"/>
      <c r="AH2915" s="87">
        <v>18</v>
      </c>
      <c r="AI2915" s="87"/>
      <c r="AJ2915" s="87"/>
      <c r="AK2915" s="87"/>
      <c r="AL2915" s="87"/>
      <c r="AM2915" s="87"/>
      <c r="AN2915" s="87"/>
      <c r="AO2915" s="87">
        <v>5</v>
      </c>
      <c r="AP2915" s="87">
        <v>15</v>
      </c>
      <c r="AQ2915" s="87">
        <v>4</v>
      </c>
      <c r="AR2915" s="87"/>
      <c r="AS2915" s="87"/>
      <c r="AT2915" s="87"/>
      <c r="AU2915" s="87"/>
      <c r="AV2915" s="87"/>
      <c r="AW2915" s="88" t="str">
        <f>HYPERLINK("http://www.openstreetmap.org/?mlat=31.0135&amp;mlon=46.2824&amp;zoom=12#map=12/31.0135/46.2824","Maplink1")</f>
        <v>Maplink1</v>
      </c>
      <c r="AX2915" s="88" t="str">
        <f>HYPERLINK("https://www.google.iq/maps/search/+31.0135,46.2824/@31.0135,46.2824,14z?hl=en","Maplink2")</f>
        <v>Maplink2</v>
      </c>
      <c r="AY2915" s="88" t="str">
        <f>HYPERLINK("http://www.bing.com/maps/?lvl=14&amp;sty=h&amp;cp=31.0135~46.2824&amp;sp=point.31.0135_46.2824","Maplink3")</f>
        <v>Maplink3</v>
      </c>
      <c r="AZ2915" s="76"/>
    </row>
    <row r="2916" spans="1:52" x14ac:dyDescent="0.25">
      <c r="A2916" s="86">
        <v>24540</v>
      </c>
      <c r="B2916" s="87" t="s">
        <v>28</v>
      </c>
      <c r="C2916" s="87" t="s">
        <v>5486</v>
      </c>
      <c r="D2916" s="87" t="s">
        <v>5499</v>
      </c>
      <c r="E2916" s="87" t="s">
        <v>5500</v>
      </c>
      <c r="F2916" s="87">
        <v>31.052442887600002</v>
      </c>
      <c r="G2916" s="87">
        <v>46.236798131699999</v>
      </c>
      <c r="H2916" s="86">
        <v>4</v>
      </c>
      <c r="I2916" s="86">
        <v>24</v>
      </c>
      <c r="J2916" s="87">
        <v>4</v>
      </c>
      <c r="K2916" s="87"/>
      <c r="L2916" s="87"/>
      <c r="M2916" s="87"/>
      <c r="N2916" s="87"/>
      <c r="O2916" s="87"/>
      <c r="P2916" s="87"/>
      <c r="Q2916" s="87"/>
      <c r="R2916" s="87"/>
      <c r="S2916" s="87"/>
      <c r="T2916" s="87"/>
      <c r="U2916" s="87"/>
      <c r="V2916" s="87"/>
      <c r="W2916" s="87"/>
      <c r="X2916" s="87"/>
      <c r="Y2916" s="87"/>
      <c r="Z2916" s="87"/>
      <c r="AA2916" s="87"/>
      <c r="AB2916" s="87"/>
      <c r="AC2916" s="87"/>
      <c r="AD2916" s="87"/>
      <c r="AE2916" s="87"/>
      <c r="AF2916" s="87"/>
      <c r="AG2916" s="87"/>
      <c r="AH2916" s="87">
        <v>4</v>
      </c>
      <c r="AI2916" s="87"/>
      <c r="AJ2916" s="87"/>
      <c r="AK2916" s="87"/>
      <c r="AL2916" s="87"/>
      <c r="AM2916" s="87"/>
      <c r="AN2916" s="87"/>
      <c r="AO2916" s="87">
        <v>4</v>
      </c>
      <c r="AP2916" s="87"/>
      <c r="AQ2916" s="87"/>
      <c r="AR2916" s="87"/>
      <c r="AS2916" s="87"/>
      <c r="AT2916" s="87"/>
      <c r="AU2916" s="87"/>
      <c r="AV2916" s="87"/>
      <c r="AW2916" s="88" t="str">
        <f>HYPERLINK("http://www.openstreetmap.org/?mlat=31.0524&amp;mlon=46.2368&amp;zoom=12#map=12/31.0524/46.2368","Maplink1")</f>
        <v>Maplink1</v>
      </c>
      <c r="AX2916" s="88" t="str">
        <f>HYPERLINK("https://www.google.iq/maps/search/+31.0524,46.2368/@31.0524,46.2368,14z?hl=en","Maplink2")</f>
        <v>Maplink2</v>
      </c>
      <c r="AY2916" s="88" t="str">
        <f>HYPERLINK("http://www.bing.com/maps/?lvl=14&amp;sty=h&amp;cp=31.0524~46.2368&amp;sp=point.31.0524_46.2368","Maplink3")</f>
        <v>Maplink3</v>
      </c>
      <c r="AZ2916" s="76"/>
    </row>
    <row r="2917" spans="1:52" x14ac:dyDescent="0.25">
      <c r="A2917" s="86">
        <v>10270</v>
      </c>
      <c r="B2917" s="87" t="s">
        <v>28</v>
      </c>
      <c r="C2917" s="87" t="s">
        <v>5486</v>
      </c>
      <c r="D2917" s="87" t="s">
        <v>5501</v>
      </c>
      <c r="E2917" s="87" t="s">
        <v>5502</v>
      </c>
      <c r="F2917" s="87">
        <v>31.0441115454</v>
      </c>
      <c r="G2917" s="87">
        <v>46.223778697</v>
      </c>
      <c r="H2917" s="86">
        <v>5</v>
      </c>
      <c r="I2917" s="86">
        <v>30</v>
      </c>
      <c r="J2917" s="87"/>
      <c r="K2917" s="87"/>
      <c r="L2917" s="87"/>
      <c r="M2917" s="87"/>
      <c r="N2917" s="87"/>
      <c r="O2917" s="87"/>
      <c r="P2917" s="87"/>
      <c r="Q2917" s="87"/>
      <c r="R2917" s="87"/>
      <c r="S2917" s="87"/>
      <c r="T2917" s="87"/>
      <c r="U2917" s="87"/>
      <c r="V2917" s="87">
        <v>5</v>
      </c>
      <c r="W2917" s="87"/>
      <c r="X2917" s="87"/>
      <c r="Y2917" s="87"/>
      <c r="Z2917" s="87"/>
      <c r="AA2917" s="87"/>
      <c r="AB2917" s="87"/>
      <c r="AC2917" s="87"/>
      <c r="AD2917" s="87"/>
      <c r="AE2917" s="87"/>
      <c r="AF2917" s="87"/>
      <c r="AG2917" s="87"/>
      <c r="AH2917" s="87">
        <v>5</v>
      </c>
      <c r="AI2917" s="87"/>
      <c r="AJ2917" s="87"/>
      <c r="AK2917" s="87"/>
      <c r="AL2917" s="87"/>
      <c r="AM2917" s="87"/>
      <c r="AN2917" s="87"/>
      <c r="AO2917" s="87">
        <v>5</v>
      </c>
      <c r="AP2917" s="87"/>
      <c r="AQ2917" s="87"/>
      <c r="AR2917" s="87"/>
      <c r="AS2917" s="87"/>
      <c r="AT2917" s="87"/>
      <c r="AU2917" s="87"/>
      <c r="AV2917" s="87"/>
      <c r="AW2917" s="88" t="str">
        <f>HYPERLINK("http://www.openstreetmap.org/?mlat=31.0441&amp;mlon=46.2238&amp;zoom=12#map=12/31.0441/46.2238","Maplink1")</f>
        <v>Maplink1</v>
      </c>
      <c r="AX2917" s="88" t="str">
        <f>HYPERLINK("https://www.google.iq/maps/search/+31.0441,46.2238/@31.0441,46.2238,14z?hl=en","Maplink2")</f>
        <v>Maplink2</v>
      </c>
      <c r="AY2917" s="88" t="str">
        <f>HYPERLINK("http://www.bing.com/maps/?lvl=14&amp;sty=h&amp;cp=31.0441~46.2238&amp;sp=point.31.0441_46.2238","Maplink3")</f>
        <v>Maplink3</v>
      </c>
      <c r="AZ2917" s="76"/>
    </row>
    <row r="2918" spans="1:52" x14ac:dyDescent="0.25">
      <c r="A2918" s="86">
        <v>10254</v>
      </c>
      <c r="B2918" s="87" t="s">
        <v>28</v>
      </c>
      <c r="C2918" s="87" t="s">
        <v>5486</v>
      </c>
      <c r="D2918" s="87" t="s">
        <v>5503</v>
      </c>
      <c r="E2918" s="87" t="s">
        <v>5504</v>
      </c>
      <c r="F2918" s="87">
        <v>31.042429802899999</v>
      </c>
      <c r="G2918" s="87">
        <v>46.262052204600003</v>
      </c>
      <c r="H2918" s="86">
        <v>7</v>
      </c>
      <c r="I2918" s="86">
        <v>42</v>
      </c>
      <c r="J2918" s="87">
        <v>1</v>
      </c>
      <c r="K2918" s="87"/>
      <c r="L2918" s="87"/>
      <c r="M2918" s="87"/>
      <c r="N2918" s="87"/>
      <c r="O2918" s="87"/>
      <c r="P2918" s="87"/>
      <c r="Q2918" s="87"/>
      <c r="R2918" s="87">
        <v>2</v>
      </c>
      <c r="S2918" s="87"/>
      <c r="T2918" s="87"/>
      <c r="U2918" s="87"/>
      <c r="V2918" s="87">
        <v>4</v>
      </c>
      <c r="W2918" s="87"/>
      <c r="X2918" s="87"/>
      <c r="Y2918" s="87"/>
      <c r="Z2918" s="87"/>
      <c r="AA2918" s="87"/>
      <c r="AB2918" s="87"/>
      <c r="AC2918" s="87"/>
      <c r="AD2918" s="87"/>
      <c r="AE2918" s="87"/>
      <c r="AF2918" s="87"/>
      <c r="AG2918" s="87"/>
      <c r="AH2918" s="87">
        <v>7</v>
      </c>
      <c r="AI2918" s="87"/>
      <c r="AJ2918" s="87"/>
      <c r="AK2918" s="87"/>
      <c r="AL2918" s="87"/>
      <c r="AM2918" s="87"/>
      <c r="AN2918" s="87"/>
      <c r="AO2918" s="87"/>
      <c r="AP2918" s="87">
        <v>7</v>
      </c>
      <c r="AQ2918" s="87"/>
      <c r="AR2918" s="87"/>
      <c r="AS2918" s="87"/>
      <c r="AT2918" s="87"/>
      <c r="AU2918" s="87"/>
      <c r="AV2918" s="87"/>
      <c r="AW2918" s="88" t="str">
        <f>HYPERLINK("http://www.openstreetmap.org/?mlat=31.0424&amp;mlon=46.2621&amp;zoom=12#map=12/31.0424/46.2621","Maplink1")</f>
        <v>Maplink1</v>
      </c>
      <c r="AX2918" s="88" t="str">
        <f>HYPERLINK("https://www.google.iq/maps/search/+31.0424,46.2621/@31.0424,46.2621,14z?hl=en","Maplink2")</f>
        <v>Maplink2</v>
      </c>
      <c r="AY2918" s="88" t="str">
        <f>HYPERLINK("http://www.bing.com/maps/?lvl=14&amp;sty=h&amp;cp=31.0424~46.2621&amp;sp=point.31.0424_46.2621","Maplink3")</f>
        <v>Maplink3</v>
      </c>
      <c r="AZ2918" s="76"/>
    </row>
    <row r="2919" spans="1:52" x14ac:dyDescent="0.25">
      <c r="A2919" s="86">
        <v>10272</v>
      </c>
      <c r="B2919" s="87" t="s">
        <v>28</v>
      </c>
      <c r="C2919" s="87" t="s">
        <v>5486</v>
      </c>
      <c r="D2919" s="87" t="s">
        <v>5505</v>
      </c>
      <c r="E2919" s="87" t="s">
        <v>5506</v>
      </c>
      <c r="F2919" s="87">
        <v>31.034963944600001</v>
      </c>
      <c r="G2919" s="87">
        <v>46.242300951700003</v>
      </c>
      <c r="H2919" s="86">
        <v>8</v>
      </c>
      <c r="I2919" s="86">
        <v>48</v>
      </c>
      <c r="J2919" s="87">
        <v>3</v>
      </c>
      <c r="K2919" s="87"/>
      <c r="L2919" s="87"/>
      <c r="M2919" s="87"/>
      <c r="N2919" s="87"/>
      <c r="O2919" s="87"/>
      <c r="P2919" s="87"/>
      <c r="Q2919" s="87"/>
      <c r="R2919" s="87"/>
      <c r="S2919" s="87"/>
      <c r="T2919" s="87"/>
      <c r="U2919" s="87"/>
      <c r="V2919" s="87">
        <v>5</v>
      </c>
      <c r="W2919" s="87"/>
      <c r="X2919" s="87"/>
      <c r="Y2919" s="87"/>
      <c r="Z2919" s="87"/>
      <c r="AA2919" s="87"/>
      <c r="AB2919" s="87"/>
      <c r="AC2919" s="87">
        <v>3</v>
      </c>
      <c r="AD2919" s="87"/>
      <c r="AE2919" s="87"/>
      <c r="AF2919" s="87"/>
      <c r="AG2919" s="87"/>
      <c r="AH2919" s="87">
        <v>5</v>
      </c>
      <c r="AI2919" s="87"/>
      <c r="AJ2919" s="87"/>
      <c r="AK2919" s="87"/>
      <c r="AL2919" s="87"/>
      <c r="AM2919" s="87"/>
      <c r="AN2919" s="87">
        <v>3</v>
      </c>
      <c r="AO2919" s="87">
        <v>3</v>
      </c>
      <c r="AP2919" s="87"/>
      <c r="AQ2919" s="87">
        <v>2</v>
      </c>
      <c r="AR2919" s="87"/>
      <c r="AS2919" s="87"/>
      <c r="AT2919" s="87"/>
      <c r="AU2919" s="87"/>
      <c r="AV2919" s="87"/>
      <c r="AW2919" s="88" t="str">
        <f>HYPERLINK("http://www.openstreetmap.org/?mlat=31.035&amp;mlon=46.2423&amp;zoom=12#map=12/31.035/46.2423","Maplink1")</f>
        <v>Maplink1</v>
      </c>
      <c r="AX2919" s="88" t="str">
        <f>HYPERLINK("https://www.google.iq/maps/search/+31.035,46.2423/@31.035,46.2423,14z?hl=en","Maplink2")</f>
        <v>Maplink2</v>
      </c>
      <c r="AY2919" s="88" t="str">
        <f>HYPERLINK("http://www.bing.com/maps/?lvl=14&amp;sty=h&amp;cp=31.035~46.2423&amp;sp=point.31.035_46.2423","Maplink3")</f>
        <v>Maplink3</v>
      </c>
      <c r="AZ2919" s="76"/>
    </row>
    <row r="2920" spans="1:52" x14ac:dyDescent="0.25">
      <c r="A2920" s="86">
        <v>10281</v>
      </c>
      <c r="B2920" s="87" t="s">
        <v>28</v>
      </c>
      <c r="C2920" s="87" t="s">
        <v>5486</v>
      </c>
      <c r="D2920" s="87" t="s">
        <v>5507</v>
      </c>
      <c r="E2920" s="87" t="s">
        <v>5508</v>
      </c>
      <c r="F2920" s="87">
        <v>31.029471706599999</v>
      </c>
      <c r="G2920" s="87">
        <v>46.244121658399997</v>
      </c>
      <c r="H2920" s="86">
        <v>8</v>
      </c>
      <c r="I2920" s="86">
        <v>48</v>
      </c>
      <c r="J2920" s="87">
        <v>5</v>
      </c>
      <c r="K2920" s="87"/>
      <c r="L2920" s="87"/>
      <c r="M2920" s="87"/>
      <c r="N2920" s="87"/>
      <c r="O2920" s="87"/>
      <c r="P2920" s="87"/>
      <c r="Q2920" s="87"/>
      <c r="R2920" s="87"/>
      <c r="S2920" s="87"/>
      <c r="T2920" s="87"/>
      <c r="U2920" s="87"/>
      <c r="V2920" s="87">
        <v>3</v>
      </c>
      <c r="W2920" s="87"/>
      <c r="X2920" s="87"/>
      <c r="Y2920" s="87"/>
      <c r="Z2920" s="87"/>
      <c r="AA2920" s="87"/>
      <c r="AB2920" s="87"/>
      <c r="AC2920" s="87"/>
      <c r="AD2920" s="87"/>
      <c r="AE2920" s="87"/>
      <c r="AF2920" s="87"/>
      <c r="AG2920" s="87"/>
      <c r="AH2920" s="87">
        <v>8</v>
      </c>
      <c r="AI2920" s="87"/>
      <c r="AJ2920" s="87"/>
      <c r="AK2920" s="87"/>
      <c r="AL2920" s="87"/>
      <c r="AM2920" s="87"/>
      <c r="AN2920" s="87"/>
      <c r="AO2920" s="87">
        <v>8</v>
      </c>
      <c r="AP2920" s="87"/>
      <c r="AQ2920" s="87"/>
      <c r="AR2920" s="87"/>
      <c r="AS2920" s="87"/>
      <c r="AT2920" s="87"/>
      <c r="AU2920" s="87"/>
      <c r="AV2920" s="87"/>
      <c r="AW2920" s="88" t="str">
        <f>HYPERLINK("http://www.openstreetmap.org/?mlat=31.0295&amp;mlon=46.2441&amp;zoom=12#map=12/31.0295/46.2441","Maplink1")</f>
        <v>Maplink1</v>
      </c>
      <c r="AX2920" s="88" t="str">
        <f>HYPERLINK("https://www.google.iq/maps/search/+31.0295,46.2441/@31.0295,46.2441,14z?hl=en","Maplink2")</f>
        <v>Maplink2</v>
      </c>
      <c r="AY2920" s="88" t="str">
        <f>HYPERLINK("http://www.bing.com/maps/?lvl=14&amp;sty=h&amp;cp=31.0295~46.2441&amp;sp=point.31.0295_46.2441","Maplink3")</f>
        <v>Maplink3</v>
      </c>
      <c r="AZ2920" s="76"/>
    </row>
    <row r="2921" spans="1:52" x14ac:dyDescent="0.25">
      <c r="A2921" s="86">
        <v>24741</v>
      </c>
      <c r="B2921" s="87" t="s">
        <v>28</v>
      </c>
      <c r="C2921" s="87" t="s">
        <v>5486</v>
      </c>
      <c r="D2921" s="87" t="s">
        <v>5509</v>
      </c>
      <c r="E2921" s="87" t="s">
        <v>5510</v>
      </c>
      <c r="F2921" s="87">
        <v>31.0447764918</v>
      </c>
      <c r="G2921" s="87">
        <v>46.249576203399997</v>
      </c>
      <c r="H2921" s="86">
        <v>2</v>
      </c>
      <c r="I2921" s="86">
        <v>12</v>
      </c>
      <c r="J2921" s="87"/>
      <c r="K2921" s="87"/>
      <c r="L2921" s="87"/>
      <c r="M2921" s="87"/>
      <c r="N2921" s="87"/>
      <c r="O2921" s="87"/>
      <c r="P2921" s="87"/>
      <c r="Q2921" s="87"/>
      <c r="R2921" s="87"/>
      <c r="S2921" s="87"/>
      <c r="T2921" s="87"/>
      <c r="U2921" s="87"/>
      <c r="V2921" s="87">
        <v>2</v>
      </c>
      <c r="W2921" s="87"/>
      <c r="X2921" s="87"/>
      <c r="Y2921" s="87"/>
      <c r="Z2921" s="87"/>
      <c r="AA2921" s="87"/>
      <c r="AB2921" s="87"/>
      <c r="AC2921" s="87"/>
      <c r="AD2921" s="87"/>
      <c r="AE2921" s="87"/>
      <c r="AF2921" s="87"/>
      <c r="AG2921" s="87"/>
      <c r="AH2921" s="87">
        <v>2</v>
      </c>
      <c r="AI2921" s="87"/>
      <c r="AJ2921" s="87"/>
      <c r="AK2921" s="87"/>
      <c r="AL2921" s="87"/>
      <c r="AM2921" s="87"/>
      <c r="AN2921" s="87"/>
      <c r="AO2921" s="87"/>
      <c r="AP2921" s="87"/>
      <c r="AQ2921" s="87">
        <v>2</v>
      </c>
      <c r="AR2921" s="87"/>
      <c r="AS2921" s="87"/>
      <c r="AT2921" s="87"/>
      <c r="AU2921" s="87"/>
      <c r="AV2921" s="87"/>
      <c r="AW2921" s="88" t="str">
        <f>HYPERLINK("http://www.openstreetmap.org/?mlat=31.0448&amp;mlon=46.2496&amp;zoom=12#map=12/31.0448/46.2496","Maplink1")</f>
        <v>Maplink1</v>
      </c>
      <c r="AX2921" s="88" t="str">
        <f>HYPERLINK("https://www.google.iq/maps/search/+31.0448,46.2496/@31.0448,46.2496,14z?hl=en","Maplink2")</f>
        <v>Maplink2</v>
      </c>
      <c r="AY2921" s="88" t="str">
        <f>HYPERLINK("http://www.bing.com/maps/?lvl=14&amp;sty=h&amp;cp=31.0448~46.2496&amp;sp=point.31.0448_46.2496","Maplink3")</f>
        <v>Maplink3</v>
      </c>
      <c r="AZ2921" s="76"/>
    </row>
    <row r="2922" spans="1:52" x14ac:dyDescent="0.25">
      <c r="A2922" s="86">
        <v>24820</v>
      </c>
      <c r="B2922" s="87" t="s">
        <v>28</v>
      </c>
      <c r="C2922" s="87" t="s">
        <v>5486</v>
      </c>
      <c r="D2922" s="87" t="s">
        <v>5511</v>
      </c>
      <c r="E2922" s="87" t="s">
        <v>5512</v>
      </c>
      <c r="F2922" s="87">
        <v>31.1162691012</v>
      </c>
      <c r="G2922" s="87">
        <v>46.416207383100001</v>
      </c>
      <c r="H2922" s="86">
        <v>3</v>
      </c>
      <c r="I2922" s="86">
        <v>18</v>
      </c>
      <c r="J2922" s="87">
        <v>3</v>
      </c>
      <c r="K2922" s="87"/>
      <c r="L2922" s="87"/>
      <c r="M2922" s="87"/>
      <c r="N2922" s="87"/>
      <c r="O2922" s="87"/>
      <c r="P2922" s="87"/>
      <c r="Q2922" s="87"/>
      <c r="R2922" s="87"/>
      <c r="S2922" s="87"/>
      <c r="T2922" s="87"/>
      <c r="U2922" s="87"/>
      <c r="V2922" s="87"/>
      <c r="W2922" s="87"/>
      <c r="X2922" s="87"/>
      <c r="Y2922" s="87"/>
      <c r="Z2922" s="87"/>
      <c r="AA2922" s="87"/>
      <c r="AB2922" s="87"/>
      <c r="AC2922" s="87"/>
      <c r="AD2922" s="87"/>
      <c r="AE2922" s="87"/>
      <c r="AF2922" s="87"/>
      <c r="AG2922" s="87"/>
      <c r="AH2922" s="87">
        <v>3</v>
      </c>
      <c r="AI2922" s="87"/>
      <c r="AJ2922" s="87"/>
      <c r="AK2922" s="87"/>
      <c r="AL2922" s="87"/>
      <c r="AM2922" s="87"/>
      <c r="AN2922" s="87"/>
      <c r="AO2922" s="87"/>
      <c r="AP2922" s="87"/>
      <c r="AQ2922" s="87">
        <v>3</v>
      </c>
      <c r="AR2922" s="87"/>
      <c r="AS2922" s="87"/>
      <c r="AT2922" s="87"/>
      <c r="AU2922" s="87"/>
      <c r="AV2922" s="87"/>
      <c r="AW2922" s="88" t="str">
        <f>HYPERLINK("http://www.openstreetmap.org/?mlat=31.1163&amp;mlon=46.4162&amp;zoom=12#map=12/31.1163/46.4162","Maplink1")</f>
        <v>Maplink1</v>
      </c>
      <c r="AX2922" s="88" t="str">
        <f>HYPERLINK("https://www.google.iq/maps/search/+31.1163,46.4162/@31.1163,46.4162,14z?hl=en","Maplink2")</f>
        <v>Maplink2</v>
      </c>
      <c r="AY2922" s="88" t="str">
        <f>HYPERLINK("http://www.bing.com/maps/?lvl=14&amp;sty=h&amp;cp=31.1163~46.4162&amp;sp=point.31.1163_46.4162","Maplink3")</f>
        <v>Maplink3</v>
      </c>
      <c r="AZ2922" s="76"/>
    </row>
    <row r="2923" spans="1:52" x14ac:dyDescent="0.25">
      <c r="A2923" s="86">
        <v>24821</v>
      </c>
      <c r="B2923" s="87" t="s">
        <v>28</v>
      </c>
      <c r="C2923" s="87" t="s">
        <v>5486</v>
      </c>
      <c r="D2923" s="87" t="s">
        <v>3437</v>
      </c>
      <c r="E2923" s="87" t="s">
        <v>55</v>
      </c>
      <c r="F2923" s="87">
        <v>31.132321332</v>
      </c>
      <c r="G2923" s="87">
        <v>46.433643793199998</v>
      </c>
      <c r="H2923" s="86">
        <v>2</v>
      </c>
      <c r="I2923" s="86">
        <v>12</v>
      </c>
      <c r="J2923" s="87"/>
      <c r="K2923" s="87"/>
      <c r="L2923" s="87"/>
      <c r="M2923" s="87"/>
      <c r="N2923" s="87"/>
      <c r="O2923" s="87"/>
      <c r="P2923" s="87"/>
      <c r="Q2923" s="87"/>
      <c r="R2923" s="87">
        <v>2</v>
      </c>
      <c r="S2923" s="87"/>
      <c r="T2923" s="87"/>
      <c r="U2923" s="87"/>
      <c r="V2923" s="87"/>
      <c r="W2923" s="87"/>
      <c r="X2923" s="87"/>
      <c r="Y2923" s="87"/>
      <c r="Z2923" s="87"/>
      <c r="AA2923" s="87"/>
      <c r="AB2923" s="87"/>
      <c r="AC2923" s="87">
        <v>2</v>
      </c>
      <c r="AD2923" s="87"/>
      <c r="AE2923" s="87"/>
      <c r="AF2923" s="87"/>
      <c r="AG2923" s="87"/>
      <c r="AH2923" s="87"/>
      <c r="AI2923" s="87"/>
      <c r="AJ2923" s="87"/>
      <c r="AK2923" s="87"/>
      <c r="AL2923" s="87"/>
      <c r="AM2923" s="87"/>
      <c r="AN2923" s="87"/>
      <c r="AO2923" s="87"/>
      <c r="AP2923" s="87"/>
      <c r="AQ2923" s="87">
        <v>2</v>
      </c>
      <c r="AR2923" s="87"/>
      <c r="AS2923" s="87"/>
      <c r="AT2923" s="87"/>
      <c r="AU2923" s="87"/>
      <c r="AV2923" s="87"/>
      <c r="AW2923" s="88" t="str">
        <f>HYPERLINK("http://www.openstreetmap.org/?mlat=31.1323&amp;mlon=46.4336&amp;zoom=12#map=12/31.1323/46.4336","Maplink1")</f>
        <v>Maplink1</v>
      </c>
      <c r="AX2923" s="88" t="str">
        <f>HYPERLINK("https://www.google.iq/maps/search/+31.1323,46.4336/@31.1323,46.4336,14z?hl=en","Maplink2")</f>
        <v>Maplink2</v>
      </c>
      <c r="AY2923" s="88" t="str">
        <f>HYPERLINK("http://www.bing.com/maps/?lvl=14&amp;sty=h&amp;cp=31.1323~46.4336&amp;sp=point.31.1323_46.4336","Maplink3")</f>
        <v>Maplink3</v>
      </c>
      <c r="AZ2923" s="76"/>
    </row>
    <row r="2924" spans="1:52" x14ac:dyDescent="0.25">
      <c r="A2924" s="86">
        <v>9470</v>
      </c>
      <c r="B2924" s="87" t="s">
        <v>28</v>
      </c>
      <c r="C2924" s="87" t="s">
        <v>5486</v>
      </c>
      <c r="D2924" s="87" t="s">
        <v>3437</v>
      </c>
      <c r="E2924" s="87" t="s">
        <v>1504</v>
      </c>
      <c r="F2924" s="87">
        <v>31.0569626851</v>
      </c>
      <c r="G2924" s="87">
        <v>46.266143804899997</v>
      </c>
      <c r="H2924" s="86">
        <v>5</v>
      </c>
      <c r="I2924" s="86">
        <v>30</v>
      </c>
      <c r="J2924" s="87">
        <v>2</v>
      </c>
      <c r="K2924" s="87"/>
      <c r="L2924" s="87"/>
      <c r="M2924" s="87"/>
      <c r="N2924" s="87"/>
      <c r="O2924" s="87"/>
      <c r="P2924" s="87"/>
      <c r="Q2924" s="87"/>
      <c r="R2924" s="87"/>
      <c r="S2924" s="87"/>
      <c r="T2924" s="87"/>
      <c r="U2924" s="87"/>
      <c r="V2924" s="87">
        <v>3</v>
      </c>
      <c r="W2924" s="87"/>
      <c r="X2924" s="87"/>
      <c r="Y2924" s="87"/>
      <c r="Z2924" s="87"/>
      <c r="AA2924" s="87"/>
      <c r="AB2924" s="87"/>
      <c r="AC2924" s="87"/>
      <c r="AD2924" s="87"/>
      <c r="AE2924" s="87"/>
      <c r="AF2924" s="87"/>
      <c r="AG2924" s="87"/>
      <c r="AH2924" s="87">
        <v>5</v>
      </c>
      <c r="AI2924" s="87"/>
      <c r="AJ2924" s="87"/>
      <c r="AK2924" s="87"/>
      <c r="AL2924" s="87"/>
      <c r="AM2924" s="87"/>
      <c r="AN2924" s="87"/>
      <c r="AO2924" s="87">
        <v>2</v>
      </c>
      <c r="AP2924" s="87">
        <v>3</v>
      </c>
      <c r="AQ2924" s="87"/>
      <c r="AR2924" s="87"/>
      <c r="AS2924" s="87"/>
      <c r="AT2924" s="87"/>
      <c r="AU2924" s="87"/>
      <c r="AV2924" s="87"/>
      <c r="AW2924" s="88" t="str">
        <f>HYPERLINK("http://www.openstreetmap.org/?mlat=31.057&amp;mlon=46.2661&amp;zoom=12#map=12/31.057/46.2661","Maplink1")</f>
        <v>Maplink1</v>
      </c>
      <c r="AX2924" s="88" t="str">
        <f>HYPERLINK("https://www.google.iq/maps/search/+31.057,46.2661/@31.057,46.2661,14z?hl=en","Maplink2")</f>
        <v>Maplink2</v>
      </c>
      <c r="AY2924" s="88" t="str">
        <f>HYPERLINK("http://www.bing.com/maps/?lvl=14&amp;sty=h&amp;cp=31.057~46.2661&amp;sp=point.31.057_46.2661","Maplink3")</f>
        <v>Maplink3</v>
      </c>
      <c r="AZ2924" s="76"/>
    </row>
    <row r="2925" spans="1:52" x14ac:dyDescent="0.25">
      <c r="A2925" s="86">
        <v>10335</v>
      </c>
      <c r="B2925" s="87" t="s">
        <v>28</v>
      </c>
      <c r="C2925" s="87" t="s">
        <v>5486</v>
      </c>
      <c r="D2925" s="87" t="s">
        <v>5513</v>
      </c>
      <c r="E2925" s="87" t="s">
        <v>5514</v>
      </c>
      <c r="F2925" s="87">
        <v>31.0506383486</v>
      </c>
      <c r="G2925" s="87">
        <v>46.269343302599999</v>
      </c>
      <c r="H2925" s="86">
        <v>10</v>
      </c>
      <c r="I2925" s="86">
        <v>60</v>
      </c>
      <c r="J2925" s="87">
        <v>4</v>
      </c>
      <c r="K2925" s="87"/>
      <c r="L2925" s="87"/>
      <c r="M2925" s="87"/>
      <c r="N2925" s="87"/>
      <c r="O2925" s="87"/>
      <c r="P2925" s="87"/>
      <c r="Q2925" s="87"/>
      <c r="R2925" s="87"/>
      <c r="S2925" s="87"/>
      <c r="T2925" s="87"/>
      <c r="U2925" s="87"/>
      <c r="V2925" s="87">
        <v>6</v>
      </c>
      <c r="W2925" s="87"/>
      <c r="X2925" s="87"/>
      <c r="Y2925" s="87"/>
      <c r="Z2925" s="87"/>
      <c r="AA2925" s="87"/>
      <c r="AB2925" s="87"/>
      <c r="AC2925" s="87"/>
      <c r="AD2925" s="87"/>
      <c r="AE2925" s="87"/>
      <c r="AF2925" s="87"/>
      <c r="AG2925" s="87"/>
      <c r="AH2925" s="87">
        <v>10</v>
      </c>
      <c r="AI2925" s="87"/>
      <c r="AJ2925" s="87"/>
      <c r="AK2925" s="87"/>
      <c r="AL2925" s="87"/>
      <c r="AM2925" s="87"/>
      <c r="AN2925" s="87"/>
      <c r="AO2925" s="87">
        <v>10</v>
      </c>
      <c r="AP2925" s="87"/>
      <c r="AQ2925" s="87"/>
      <c r="AR2925" s="87"/>
      <c r="AS2925" s="87"/>
      <c r="AT2925" s="87"/>
      <c r="AU2925" s="87"/>
      <c r="AV2925" s="87"/>
      <c r="AW2925" s="88" t="str">
        <f>HYPERLINK("http://www.openstreetmap.org/?mlat=31.0506&amp;mlon=46.2693&amp;zoom=12#map=12/31.0506/46.2693","Maplink1")</f>
        <v>Maplink1</v>
      </c>
      <c r="AX2925" s="88" t="str">
        <f>HYPERLINK("https://www.google.iq/maps/search/+31.0506,46.2693/@31.0506,46.2693,14z?hl=en","Maplink2")</f>
        <v>Maplink2</v>
      </c>
      <c r="AY2925" s="88" t="str">
        <f>HYPERLINK("http://www.bing.com/maps/?lvl=14&amp;sty=h&amp;cp=31.0506~46.2693&amp;sp=point.31.0506_46.2693","Maplink3")</f>
        <v>Maplink3</v>
      </c>
      <c r="AZ2925" s="76"/>
    </row>
    <row r="2926" spans="1:52" x14ac:dyDescent="0.25">
      <c r="A2926" s="86">
        <v>9576</v>
      </c>
      <c r="B2926" s="87" t="s">
        <v>28</v>
      </c>
      <c r="C2926" s="87" t="s">
        <v>5486</v>
      </c>
      <c r="D2926" s="87" t="s">
        <v>5515</v>
      </c>
      <c r="E2926" s="87" t="s">
        <v>5516</v>
      </c>
      <c r="F2926" s="87">
        <v>31.132791840500001</v>
      </c>
      <c r="G2926" s="87">
        <v>46.2356646856</v>
      </c>
      <c r="H2926" s="86">
        <v>4</v>
      </c>
      <c r="I2926" s="86">
        <v>24</v>
      </c>
      <c r="J2926" s="87"/>
      <c r="K2926" s="87"/>
      <c r="L2926" s="87"/>
      <c r="M2926" s="87"/>
      <c r="N2926" s="87"/>
      <c r="O2926" s="87"/>
      <c r="P2926" s="87"/>
      <c r="Q2926" s="87"/>
      <c r="R2926" s="87"/>
      <c r="S2926" s="87"/>
      <c r="T2926" s="87"/>
      <c r="U2926" s="87"/>
      <c r="V2926" s="87">
        <v>4</v>
      </c>
      <c r="W2926" s="87"/>
      <c r="X2926" s="87"/>
      <c r="Y2926" s="87"/>
      <c r="Z2926" s="87"/>
      <c r="AA2926" s="87"/>
      <c r="AB2926" s="87"/>
      <c r="AC2926" s="87">
        <v>2</v>
      </c>
      <c r="AD2926" s="87"/>
      <c r="AE2926" s="87"/>
      <c r="AF2926" s="87"/>
      <c r="AG2926" s="87"/>
      <c r="AH2926" s="87">
        <v>2</v>
      </c>
      <c r="AI2926" s="87"/>
      <c r="AJ2926" s="87"/>
      <c r="AK2926" s="87"/>
      <c r="AL2926" s="87"/>
      <c r="AM2926" s="87"/>
      <c r="AN2926" s="87"/>
      <c r="AO2926" s="87"/>
      <c r="AP2926" s="87"/>
      <c r="AQ2926" s="87"/>
      <c r="AR2926" s="87">
        <v>4</v>
      </c>
      <c r="AS2926" s="87"/>
      <c r="AT2926" s="87"/>
      <c r="AU2926" s="87"/>
      <c r="AV2926" s="87"/>
      <c r="AW2926" s="88" t="str">
        <f>HYPERLINK("http://www.openstreetmap.org/?mlat=31.1328&amp;mlon=46.2357&amp;zoom=12#map=12/31.1328/46.2357","Maplink1")</f>
        <v>Maplink1</v>
      </c>
      <c r="AX2926" s="88" t="str">
        <f>HYPERLINK("https://www.google.iq/maps/search/+31.1328,46.2357/@31.1328,46.2357,14z?hl=en","Maplink2")</f>
        <v>Maplink2</v>
      </c>
      <c r="AY2926" s="88" t="str">
        <f>HYPERLINK("http://www.bing.com/maps/?lvl=14&amp;sty=h&amp;cp=31.1328~46.2357&amp;sp=point.31.1328_46.2357","Maplink3")</f>
        <v>Maplink3</v>
      </c>
      <c r="AZ2926" s="76"/>
    </row>
    <row r="2927" spans="1:52" x14ac:dyDescent="0.25">
      <c r="A2927" s="86">
        <v>9448</v>
      </c>
      <c r="B2927" s="87" t="s">
        <v>28</v>
      </c>
      <c r="C2927" s="87" t="s">
        <v>5486</v>
      </c>
      <c r="D2927" s="87" t="s">
        <v>5517</v>
      </c>
      <c r="E2927" s="87" t="s">
        <v>5518</v>
      </c>
      <c r="F2927" s="87">
        <v>31.027006973399999</v>
      </c>
      <c r="G2927" s="87">
        <v>46.228093038300003</v>
      </c>
      <c r="H2927" s="86">
        <v>11</v>
      </c>
      <c r="I2927" s="86">
        <v>66</v>
      </c>
      <c r="J2927" s="87"/>
      <c r="K2927" s="87"/>
      <c r="L2927" s="87"/>
      <c r="M2927" s="87"/>
      <c r="N2927" s="87"/>
      <c r="O2927" s="87"/>
      <c r="P2927" s="87"/>
      <c r="Q2927" s="87"/>
      <c r="R2927" s="87">
        <v>3</v>
      </c>
      <c r="S2927" s="87"/>
      <c r="T2927" s="87"/>
      <c r="U2927" s="87"/>
      <c r="V2927" s="87">
        <v>8</v>
      </c>
      <c r="W2927" s="87"/>
      <c r="X2927" s="87"/>
      <c r="Y2927" s="87"/>
      <c r="Z2927" s="87"/>
      <c r="AA2927" s="87"/>
      <c r="AB2927" s="87"/>
      <c r="AC2927" s="87"/>
      <c r="AD2927" s="87"/>
      <c r="AE2927" s="87"/>
      <c r="AF2927" s="87"/>
      <c r="AG2927" s="87"/>
      <c r="AH2927" s="87">
        <v>11</v>
      </c>
      <c r="AI2927" s="87"/>
      <c r="AJ2927" s="87"/>
      <c r="AK2927" s="87"/>
      <c r="AL2927" s="87"/>
      <c r="AM2927" s="87"/>
      <c r="AN2927" s="87"/>
      <c r="AO2927" s="87"/>
      <c r="AP2927" s="87"/>
      <c r="AQ2927" s="87">
        <v>11</v>
      </c>
      <c r="AR2927" s="87"/>
      <c r="AS2927" s="87"/>
      <c r="AT2927" s="87"/>
      <c r="AU2927" s="87"/>
      <c r="AV2927" s="87"/>
      <c r="AW2927" s="88" t="str">
        <f>HYPERLINK("http://www.openstreetmap.org/?mlat=31.027&amp;mlon=46.2281&amp;zoom=12#map=12/31.027/46.2281","Maplink1")</f>
        <v>Maplink1</v>
      </c>
      <c r="AX2927" s="88" t="str">
        <f>HYPERLINK("https://www.google.iq/maps/search/+31.027,46.2281/@31.027,46.2281,14z?hl=en","Maplink2")</f>
        <v>Maplink2</v>
      </c>
      <c r="AY2927" s="88" t="str">
        <f>HYPERLINK("http://www.bing.com/maps/?lvl=14&amp;sty=h&amp;cp=31.027~46.2281&amp;sp=point.31.027_46.2281","Maplink3")</f>
        <v>Maplink3</v>
      </c>
      <c r="AZ2927" s="76"/>
    </row>
    <row r="2928" spans="1:52" x14ac:dyDescent="0.25">
      <c r="A2928" s="86">
        <v>9396</v>
      </c>
      <c r="B2928" s="87" t="s">
        <v>28</v>
      </c>
      <c r="C2928" s="87" t="s">
        <v>5486</v>
      </c>
      <c r="D2928" s="87" t="s">
        <v>5519</v>
      </c>
      <c r="E2928" s="87" t="s">
        <v>5520</v>
      </c>
      <c r="F2928" s="87">
        <v>31.0154237044</v>
      </c>
      <c r="G2928" s="87">
        <v>46.263441754500001</v>
      </c>
      <c r="H2928" s="86">
        <v>15</v>
      </c>
      <c r="I2928" s="86">
        <v>90</v>
      </c>
      <c r="J2928" s="87"/>
      <c r="K2928" s="87"/>
      <c r="L2928" s="87"/>
      <c r="M2928" s="87"/>
      <c r="N2928" s="87"/>
      <c r="O2928" s="87"/>
      <c r="P2928" s="87"/>
      <c r="Q2928" s="87"/>
      <c r="R2928" s="87"/>
      <c r="S2928" s="87"/>
      <c r="T2928" s="87"/>
      <c r="U2928" s="87"/>
      <c r="V2928" s="87">
        <v>15</v>
      </c>
      <c r="W2928" s="87"/>
      <c r="X2928" s="87"/>
      <c r="Y2928" s="87"/>
      <c r="Z2928" s="87"/>
      <c r="AA2928" s="87"/>
      <c r="AB2928" s="87"/>
      <c r="AC2928" s="87">
        <v>9</v>
      </c>
      <c r="AD2928" s="87"/>
      <c r="AE2928" s="87"/>
      <c r="AF2928" s="87"/>
      <c r="AG2928" s="87"/>
      <c r="AH2928" s="87">
        <v>6</v>
      </c>
      <c r="AI2928" s="87"/>
      <c r="AJ2928" s="87"/>
      <c r="AK2928" s="87"/>
      <c r="AL2928" s="87"/>
      <c r="AM2928" s="87"/>
      <c r="AN2928" s="87"/>
      <c r="AO2928" s="87"/>
      <c r="AP2928" s="87">
        <v>11</v>
      </c>
      <c r="AQ2928" s="87"/>
      <c r="AR2928" s="87"/>
      <c r="AS2928" s="87"/>
      <c r="AT2928" s="87">
        <v>4</v>
      </c>
      <c r="AU2928" s="87"/>
      <c r="AV2928" s="87"/>
      <c r="AW2928" s="88" t="str">
        <f>HYPERLINK("http://www.openstreetmap.org/?mlat=31.0154&amp;mlon=46.2634&amp;zoom=12#map=12/31.0154/46.2634","Maplink1")</f>
        <v>Maplink1</v>
      </c>
      <c r="AX2928" s="88" t="str">
        <f>HYPERLINK("https://www.google.iq/maps/search/+31.0154,46.2634/@31.0154,46.2634,14z?hl=en","Maplink2")</f>
        <v>Maplink2</v>
      </c>
      <c r="AY2928" s="88" t="str">
        <f>HYPERLINK("http://www.bing.com/maps/?lvl=14&amp;sty=h&amp;cp=31.0154~46.2634&amp;sp=point.31.0154_46.2634","Maplink3")</f>
        <v>Maplink3</v>
      </c>
      <c r="AZ2928" s="76"/>
    </row>
    <row r="2929" spans="1:52" x14ac:dyDescent="0.25">
      <c r="A2929" s="86">
        <v>10262</v>
      </c>
      <c r="B2929" s="87" t="s">
        <v>28</v>
      </c>
      <c r="C2929" s="87" t="s">
        <v>5486</v>
      </c>
      <c r="D2929" s="87" t="s">
        <v>5521</v>
      </c>
      <c r="E2929" s="87" t="s">
        <v>5522</v>
      </c>
      <c r="F2929" s="87">
        <v>31.074394900600002</v>
      </c>
      <c r="G2929" s="87">
        <v>46.250142994800001</v>
      </c>
      <c r="H2929" s="86">
        <v>15</v>
      </c>
      <c r="I2929" s="86">
        <v>90</v>
      </c>
      <c r="J2929" s="87">
        <v>5</v>
      </c>
      <c r="K2929" s="87"/>
      <c r="L2929" s="87"/>
      <c r="M2929" s="87"/>
      <c r="N2929" s="87"/>
      <c r="O2929" s="87"/>
      <c r="P2929" s="87"/>
      <c r="Q2929" s="87"/>
      <c r="R2929" s="87">
        <v>5</v>
      </c>
      <c r="S2929" s="87"/>
      <c r="T2929" s="87"/>
      <c r="U2929" s="87"/>
      <c r="V2929" s="87">
        <v>2</v>
      </c>
      <c r="W2929" s="87"/>
      <c r="X2929" s="87">
        <v>3</v>
      </c>
      <c r="Y2929" s="87"/>
      <c r="Z2929" s="87"/>
      <c r="AA2929" s="87"/>
      <c r="AB2929" s="87"/>
      <c r="AC2929" s="87">
        <v>3</v>
      </c>
      <c r="AD2929" s="87"/>
      <c r="AE2929" s="87"/>
      <c r="AF2929" s="87"/>
      <c r="AG2929" s="87"/>
      <c r="AH2929" s="87">
        <v>12</v>
      </c>
      <c r="AI2929" s="87"/>
      <c r="AJ2929" s="87"/>
      <c r="AK2929" s="87"/>
      <c r="AL2929" s="87"/>
      <c r="AM2929" s="87"/>
      <c r="AN2929" s="87"/>
      <c r="AO2929" s="87">
        <v>8</v>
      </c>
      <c r="AP2929" s="87">
        <v>5</v>
      </c>
      <c r="AQ2929" s="87">
        <v>2</v>
      </c>
      <c r="AR2929" s="87"/>
      <c r="AS2929" s="87"/>
      <c r="AT2929" s="87"/>
      <c r="AU2929" s="87"/>
      <c r="AV2929" s="87"/>
      <c r="AW2929" s="88" t="str">
        <f>HYPERLINK("http://www.openstreetmap.org/?mlat=31.0744&amp;mlon=46.2501&amp;zoom=12#map=12/31.0744/46.2501","Maplink1")</f>
        <v>Maplink1</v>
      </c>
      <c r="AX2929" s="88" t="str">
        <f>HYPERLINK("https://www.google.iq/maps/search/+31.0744,46.2501/@31.0744,46.2501,14z?hl=en","Maplink2")</f>
        <v>Maplink2</v>
      </c>
      <c r="AY2929" s="88" t="str">
        <f>HYPERLINK("http://www.bing.com/maps/?lvl=14&amp;sty=h&amp;cp=31.0744~46.2501&amp;sp=point.31.0744_46.2501","Maplink3")</f>
        <v>Maplink3</v>
      </c>
      <c r="AZ2929" s="76"/>
    </row>
    <row r="2930" spans="1:52" x14ac:dyDescent="0.25">
      <c r="A2930" s="86">
        <v>10253</v>
      </c>
      <c r="B2930" s="87" t="s">
        <v>28</v>
      </c>
      <c r="C2930" s="87" t="s">
        <v>5486</v>
      </c>
      <c r="D2930" s="87" t="s">
        <v>5523</v>
      </c>
      <c r="E2930" s="87" t="s">
        <v>5524</v>
      </c>
      <c r="F2930" s="87">
        <v>31.038477412900001</v>
      </c>
      <c r="G2930" s="87">
        <v>46.2356561609</v>
      </c>
      <c r="H2930" s="86">
        <v>6</v>
      </c>
      <c r="I2930" s="86">
        <v>36</v>
      </c>
      <c r="J2930" s="87">
        <v>2</v>
      </c>
      <c r="K2930" s="87"/>
      <c r="L2930" s="87"/>
      <c r="M2930" s="87"/>
      <c r="N2930" s="87"/>
      <c r="O2930" s="87"/>
      <c r="P2930" s="87"/>
      <c r="Q2930" s="87"/>
      <c r="R2930" s="87">
        <v>1</v>
      </c>
      <c r="S2930" s="87"/>
      <c r="T2930" s="87"/>
      <c r="U2930" s="87"/>
      <c r="V2930" s="87">
        <v>3</v>
      </c>
      <c r="W2930" s="87"/>
      <c r="X2930" s="87"/>
      <c r="Y2930" s="87"/>
      <c r="Z2930" s="87"/>
      <c r="AA2930" s="87"/>
      <c r="AB2930" s="87"/>
      <c r="AC2930" s="87">
        <v>2</v>
      </c>
      <c r="AD2930" s="87"/>
      <c r="AE2930" s="87"/>
      <c r="AF2930" s="87"/>
      <c r="AG2930" s="87"/>
      <c r="AH2930" s="87">
        <v>4</v>
      </c>
      <c r="AI2930" s="87"/>
      <c r="AJ2930" s="87"/>
      <c r="AK2930" s="87"/>
      <c r="AL2930" s="87"/>
      <c r="AM2930" s="87"/>
      <c r="AN2930" s="87">
        <v>6</v>
      </c>
      <c r="AO2930" s="87"/>
      <c r="AP2930" s="87"/>
      <c r="AQ2930" s="87"/>
      <c r="AR2930" s="87"/>
      <c r="AS2930" s="87"/>
      <c r="AT2930" s="87"/>
      <c r="AU2930" s="87"/>
      <c r="AV2930" s="87"/>
      <c r="AW2930" s="88" t="str">
        <f>HYPERLINK("http://www.openstreetmap.org/?mlat=31.0385&amp;mlon=46.2357&amp;zoom=12#map=12/31.0385/46.2357","Maplink1")</f>
        <v>Maplink1</v>
      </c>
      <c r="AX2930" s="88" t="str">
        <f>HYPERLINK("https://www.google.iq/maps/search/+31.0385,46.2357/@31.0385,46.2357,14z?hl=en","Maplink2")</f>
        <v>Maplink2</v>
      </c>
      <c r="AY2930" s="88" t="str">
        <f>HYPERLINK("http://www.bing.com/maps/?lvl=14&amp;sty=h&amp;cp=31.0385~46.2357&amp;sp=point.31.0385_46.2357","Maplink3")</f>
        <v>Maplink3</v>
      </c>
      <c r="AZ2930" s="76"/>
    </row>
    <row r="2931" spans="1:52" x14ac:dyDescent="0.25">
      <c r="A2931" s="86">
        <v>24885</v>
      </c>
      <c r="B2931" s="87" t="s">
        <v>28</v>
      </c>
      <c r="C2931" s="87" t="s">
        <v>5486</v>
      </c>
      <c r="D2931" s="87" t="s">
        <v>5525</v>
      </c>
      <c r="E2931" s="87" t="s">
        <v>410</v>
      </c>
      <c r="F2931" s="87">
        <v>31.061467899099998</v>
      </c>
      <c r="G2931" s="87">
        <v>46.278157583599999</v>
      </c>
      <c r="H2931" s="86">
        <v>2</v>
      </c>
      <c r="I2931" s="86">
        <v>12</v>
      </c>
      <c r="J2931" s="87"/>
      <c r="K2931" s="87"/>
      <c r="L2931" s="87"/>
      <c r="M2931" s="87"/>
      <c r="N2931" s="87"/>
      <c r="O2931" s="87"/>
      <c r="P2931" s="87"/>
      <c r="Q2931" s="87"/>
      <c r="R2931" s="87">
        <v>2</v>
      </c>
      <c r="S2931" s="87"/>
      <c r="T2931" s="87"/>
      <c r="U2931" s="87"/>
      <c r="V2931" s="87"/>
      <c r="W2931" s="87"/>
      <c r="X2931" s="87"/>
      <c r="Y2931" s="87"/>
      <c r="Z2931" s="87"/>
      <c r="AA2931" s="87"/>
      <c r="AB2931" s="87"/>
      <c r="AC2931" s="87"/>
      <c r="AD2931" s="87"/>
      <c r="AE2931" s="87"/>
      <c r="AF2931" s="87"/>
      <c r="AG2931" s="87"/>
      <c r="AH2931" s="87">
        <v>2</v>
      </c>
      <c r="AI2931" s="87"/>
      <c r="AJ2931" s="87"/>
      <c r="AK2931" s="87"/>
      <c r="AL2931" s="87"/>
      <c r="AM2931" s="87"/>
      <c r="AN2931" s="87"/>
      <c r="AO2931" s="87">
        <v>2</v>
      </c>
      <c r="AP2931" s="87"/>
      <c r="AQ2931" s="87"/>
      <c r="AR2931" s="87"/>
      <c r="AS2931" s="87"/>
      <c r="AT2931" s="87"/>
      <c r="AU2931" s="87"/>
      <c r="AV2931" s="87"/>
      <c r="AW2931" s="88" t="str">
        <f>HYPERLINK("http://www.openstreetmap.org/?mlat=31.0615&amp;mlon=46.2782&amp;zoom=12#map=12/31.0615/46.2782","Maplink1")</f>
        <v>Maplink1</v>
      </c>
      <c r="AX2931" s="88" t="str">
        <f>HYPERLINK("https://www.google.iq/maps/search/+31.0615,46.2782/@31.0615,46.2782,14z?hl=en","Maplink2")</f>
        <v>Maplink2</v>
      </c>
      <c r="AY2931" s="88" t="str">
        <f>HYPERLINK("http://www.bing.com/maps/?lvl=14&amp;sty=h&amp;cp=31.0615~46.2782&amp;sp=point.31.0615_46.2782","Maplink3")</f>
        <v>Maplink3</v>
      </c>
      <c r="AZ2931" s="76"/>
    </row>
    <row r="2932" spans="1:52" x14ac:dyDescent="0.25">
      <c r="A2932" s="86">
        <v>25526</v>
      </c>
      <c r="B2932" s="87" t="s">
        <v>28</v>
      </c>
      <c r="C2932" s="87" t="s">
        <v>5486</v>
      </c>
      <c r="D2932" s="87" t="s">
        <v>3619</v>
      </c>
      <c r="E2932" s="87" t="s">
        <v>269</v>
      </c>
      <c r="F2932" s="87">
        <v>31.036175809100001</v>
      </c>
      <c r="G2932" s="87">
        <v>46.220527480000001</v>
      </c>
      <c r="H2932" s="86">
        <v>14</v>
      </c>
      <c r="I2932" s="86">
        <v>84</v>
      </c>
      <c r="J2932" s="87">
        <v>4</v>
      </c>
      <c r="K2932" s="87"/>
      <c r="L2932" s="87"/>
      <c r="M2932" s="87"/>
      <c r="N2932" s="87"/>
      <c r="O2932" s="87"/>
      <c r="P2932" s="87"/>
      <c r="Q2932" s="87"/>
      <c r="R2932" s="87"/>
      <c r="S2932" s="87"/>
      <c r="T2932" s="87"/>
      <c r="U2932" s="87"/>
      <c r="V2932" s="87">
        <v>6</v>
      </c>
      <c r="W2932" s="87"/>
      <c r="X2932" s="87">
        <v>4</v>
      </c>
      <c r="Y2932" s="87"/>
      <c r="Z2932" s="87"/>
      <c r="AA2932" s="87"/>
      <c r="AB2932" s="87"/>
      <c r="AC2932" s="87"/>
      <c r="AD2932" s="87"/>
      <c r="AE2932" s="87"/>
      <c r="AF2932" s="87"/>
      <c r="AG2932" s="87"/>
      <c r="AH2932" s="87">
        <v>14</v>
      </c>
      <c r="AI2932" s="87"/>
      <c r="AJ2932" s="87"/>
      <c r="AK2932" s="87"/>
      <c r="AL2932" s="87"/>
      <c r="AM2932" s="87"/>
      <c r="AN2932" s="87"/>
      <c r="AO2932" s="87">
        <v>12</v>
      </c>
      <c r="AP2932" s="87"/>
      <c r="AQ2932" s="87"/>
      <c r="AR2932" s="87">
        <v>2</v>
      </c>
      <c r="AS2932" s="87"/>
      <c r="AT2932" s="87"/>
      <c r="AU2932" s="87"/>
      <c r="AV2932" s="87"/>
      <c r="AW2932" s="88" t="str">
        <f>HYPERLINK("http://www.openstreetmap.org/?mlat=31.0362&amp;mlon=46.2205&amp;zoom=12#map=12/31.0362/46.2205","Maplink1")</f>
        <v>Maplink1</v>
      </c>
      <c r="AX2932" s="88" t="str">
        <f>HYPERLINK("https://www.google.iq/maps/search/+31.0362,46.2205/@31.0362,46.2205,14z?hl=en","Maplink2")</f>
        <v>Maplink2</v>
      </c>
      <c r="AY2932" s="88" t="str">
        <f>HYPERLINK("http://www.bing.com/maps/?lvl=14&amp;sty=h&amp;cp=31.0362~46.2205&amp;sp=point.31.0362_46.2205","Maplink3")</f>
        <v>Maplink3</v>
      </c>
      <c r="AZ2932" s="76"/>
    </row>
    <row r="2933" spans="1:52" x14ac:dyDescent="0.25">
      <c r="A2933" s="86">
        <v>10301</v>
      </c>
      <c r="B2933" s="87" t="s">
        <v>28</v>
      </c>
      <c r="C2933" s="87" t="s">
        <v>5486</v>
      </c>
      <c r="D2933" s="87" t="s">
        <v>5526</v>
      </c>
      <c r="E2933" s="87" t="s">
        <v>5527</v>
      </c>
      <c r="F2933" s="87">
        <v>31.069730013600001</v>
      </c>
      <c r="G2933" s="87">
        <v>46.278741981099998</v>
      </c>
      <c r="H2933" s="86">
        <v>9</v>
      </c>
      <c r="I2933" s="86">
        <v>54</v>
      </c>
      <c r="J2933" s="87"/>
      <c r="K2933" s="87"/>
      <c r="L2933" s="87"/>
      <c r="M2933" s="87"/>
      <c r="N2933" s="87"/>
      <c r="O2933" s="87"/>
      <c r="P2933" s="87"/>
      <c r="Q2933" s="87"/>
      <c r="R2933" s="87"/>
      <c r="S2933" s="87"/>
      <c r="T2933" s="87"/>
      <c r="U2933" s="87"/>
      <c r="V2933" s="87">
        <v>9</v>
      </c>
      <c r="W2933" s="87"/>
      <c r="X2933" s="87"/>
      <c r="Y2933" s="87"/>
      <c r="Z2933" s="87"/>
      <c r="AA2933" s="87"/>
      <c r="AB2933" s="87"/>
      <c r="AC2933" s="87">
        <v>2</v>
      </c>
      <c r="AD2933" s="87"/>
      <c r="AE2933" s="87"/>
      <c r="AF2933" s="87"/>
      <c r="AG2933" s="87"/>
      <c r="AH2933" s="87">
        <v>7</v>
      </c>
      <c r="AI2933" s="87"/>
      <c r="AJ2933" s="87"/>
      <c r="AK2933" s="87"/>
      <c r="AL2933" s="87"/>
      <c r="AM2933" s="87"/>
      <c r="AN2933" s="87">
        <v>3</v>
      </c>
      <c r="AO2933" s="87"/>
      <c r="AP2933" s="87"/>
      <c r="AQ2933" s="87">
        <v>6</v>
      </c>
      <c r="AR2933" s="87"/>
      <c r="AS2933" s="87"/>
      <c r="AT2933" s="87"/>
      <c r="AU2933" s="87"/>
      <c r="AV2933" s="87"/>
      <c r="AW2933" s="88" t="str">
        <f>HYPERLINK("http://www.openstreetmap.org/?mlat=31.0697&amp;mlon=46.2787&amp;zoom=12#map=12/31.0697/46.2787","Maplink1")</f>
        <v>Maplink1</v>
      </c>
      <c r="AX2933" s="88" t="str">
        <f>HYPERLINK("https://www.google.iq/maps/search/+31.0697,46.2787/@31.0697,46.2787,14z?hl=en","Maplink2")</f>
        <v>Maplink2</v>
      </c>
      <c r="AY2933" s="88" t="str">
        <f>HYPERLINK("http://www.bing.com/maps/?lvl=14&amp;sty=h&amp;cp=31.0697~46.2787&amp;sp=point.31.0697_46.2787","Maplink3")</f>
        <v>Maplink3</v>
      </c>
      <c r="AZ2933" s="76"/>
    </row>
    <row r="2934" spans="1:52" x14ac:dyDescent="0.25">
      <c r="A2934" s="86">
        <v>24746</v>
      </c>
      <c r="B2934" s="87" t="s">
        <v>28</v>
      </c>
      <c r="C2934" s="87" t="s">
        <v>5486</v>
      </c>
      <c r="D2934" s="87" t="s">
        <v>5528</v>
      </c>
      <c r="E2934" s="87" t="s">
        <v>1793</v>
      </c>
      <c r="F2934" s="87">
        <v>31.042946248900002</v>
      </c>
      <c r="G2934" s="87">
        <v>46.274699394599999</v>
      </c>
      <c r="H2934" s="86">
        <v>2</v>
      </c>
      <c r="I2934" s="86">
        <v>12</v>
      </c>
      <c r="J2934" s="87"/>
      <c r="K2934" s="87"/>
      <c r="L2934" s="87"/>
      <c r="M2934" s="87"/>
      <c r="N2934" s="87"/>
      <c r="O2934" s="87"/>
      <c r="P2934" s="87"/>
      <c r="Q2934" s="87"/>
      <c r="R2934" s="87"/>
      <c r="S2934" s="87"/>
      <c r="T2934" s="87"/>
      <c r="U2934" s="87"/>
      <c r="V2934" s="87">
        <v>2</v>
      </c>
      <c r="W2934" s="87"/>
      <c r="X2934" s="87"/>
      <c r="Y2934" s="87"/>
      <c r="Z2934" s="87"/>
      <c r="AA2934" s="87"/>
      <c r="AB2934" s="87"/>
      <c r="AC2934" s="87"/>
      <c r="AD2934" s="87"/>
      <c r="AE2934" s="87"/>
      <c r="AF2934" s="87"/>
      <c r="AG2934" s="87"/>
      <c r="AH2934" s="87">
        <v>2</v>
      </c>
      <c r="AI2934" s="87"/>
      <c r="AJ2934" s="87"/>
      <c r="AK2934" s="87"/>
      <c r="AL2934" s="87"/>
      <c r="AM2934" s="87"/>
      <c r="AN2934" s="87"/>
      <c r="AO2934" s="87">
        <v>2</v>
      </c>
      <c r="AP2934" s="87"/>
      <c r="AQ2934" s="87"/>
      <c r="AR2934" s="87"/>
      <c r="AS2934" s="87"/>
      <c r="AT2934" s="87"/>
      <c r="AU2934" s="87"/>
      <c r="AV2934" s="87"/>
      <c r="AW2934" s="88" t="str">
        <f>HYPERLINK("http://www.openstreetmap.org/?mlat=31.0429&amp;mlon=46.2747&amp;zoom=12#map=12/31.0429/46.2747","Maplink1")</f>
        <v>Maplink1</v>
      </c>
      <c r="AX2934" s="88" t="str">
        <f>HYPERLINK("https://www.google.iq/maps/search/+31.0429,46.2747/@31.0429,46.2747,14z?hl=en","Maplink2")</f>
        <v>Maplink2</v>
      </c>
      <c r="AY2934" s="88" t="str">
        <f>HYPERLINK("http://www.bing.com/maps/?lvl=14&amp;sty=h&amp;cp=31.0429~46.2747&amp;sp=point.31.0429_46.2747","Maplink3")</f>
        <v>Maplink3</v>
      </c>
      <c r="AZ2934" s="76"/>
    </row>
    <row r="2935" spans="1:52" x14ac:dyDescent="0.25">
      <c r="A2935" s="86">
        <v>21208</v>
      </c>
      <c r="B2935" s="87" t="s">
        <v>28</v>
      </c>
      <c r="C2935" s="87" t="s">
        <v>5486</v>
      </c>
      <c r="D2935" s="87" t="s">
        <v>5529</v>
      </c>
      <c r="E2935" s="87" t="s">
        <v>122</v>
      </c>
      <c r="F2935" s="87">
        <v>31.067779245299999</v>
      </c>
      <c r="G2935" s="87">
        <v>46.249674558199999</v>
      </c>
      <c r="H2935" s="86">
        <v>8</v>
      </c>
      <c r="I2935" s="86">
        <v>48</v>
      </c>
      <c r="J2935" s="87">
        <v>3</v>
      </c>
      <c r="K2935" s="87"/>
      <c r="L2935" s="87"/>
      <c r="M2935" s="87"/>
      <c r="N2935" s="87"/>
      <c r="O2935" s="87">
        <v>3</v>
      </c>
      <c r="P2935" s="87"/>
      <c r="Q2935" s="87"/>
      <c r="R2935" s="87"/>
      <c r="S2935" s="87"/>
      <c r="T2935" s="87"/>
      <c r="U2935" s="87"/>
      <c r="V2935" s="87">
        <v>2</v>
      </c>
      <c r="W2935" s="87"/>
      <c r="X2935" s="87"/>
      <c r="Y2935" s="87"/>
      <c r="Z2935" s="87"/>
      <c r="AA2935" s="87"/>
      <c r="AB2935" s="87"/>
      <c r="AC2935" s="87">
        <v>8</v>
      </c>
      <c r="AD2935" s="87"/>
      <c r="AE2935" s="87"/>
      <c r="AF2935" s="87"/>
      <c r="AG2935" s="87"/>
      <c r="AH2935" s="87"/>
      <c r="AI2935" s="87"/>
      <c r="AJ2935" s="87"/>
      <c r="AK2935" s="87"/>
      <c r="AL2935" s="87"/>
      <c r="AM2935" s="87"/>
      <c r="AN2935" s="87">
        <v>3</v>
      </c>
      <c r="AO2935" s="87">
        <v>3</v>
      </c>
      <c r="AP2935" s="87">
        <v>2</v>
      </c>
      <c r="AQ2935" s="87"/>
      <c r="AR2935" s="87"/>
      <c r="AS2935" s="87"/>
      <c r="AT2935" s="87"/>
      <c r="AU2935" s="87"/>
      <c r="AV2935" s="87"/>
      <c r="AW2935" s="88" t="str">
        <f>HYPERLINK("http://www.openstreetmap.org/?mlat=31.0678&amp;mlon=46.2497&amp;zoom=12#map=12/31.0678/46.2497","Maplink1")</f>
        <v>Maplink1</v>
      </c>
      <c r="AX2935" s="88" t="str">
        <f>HYPERLINK("https://www.google.iq/maps/search/+31.0678,46.2497/@31.0678,46.2497,14z?hl=en","Maplink2")</f>
        <v>Maplink2</v>
      </c>
      <c r="AY2935" s="88" t="str">
        <f>HYPERLINK("http://www.bing.com/maps/?lvl=14&amp;sty=h&amp;cp=31.0678~46.2497&amp;sp=point.31.0678_46.2497","Maplink3")</f>
        <v>Maplink3</v>
      </c>
      <c r="AZ2935" s="76"/>
    </row>
    <row r="2936" spans="1:52" x14ac:dyDescent="0.25">
      <c r="A2936" s="86">
        <v>24750</v>
      </c>
      <c r="B2936" s="87" t="s">
        <v>28</v>
      </c>
      <c r="C2936" s="87" t="s">
        <v>5486</v>
      </c>
      <c r="D2936" s="87" t="s">
        <v>5530</v>
      </c>
      <c r="E2936" s="87" t="s">
        <v>5531</v>
      </c>
      <c r="F2936" s="87">
        <v>31.034273341199999</v>
      </c>
      <c r="G2936" s="87">
        <v>46.238222611899999</v>
      </c>
      <c r="H2936" s="86">
        <v>5</v>
      </c>
      <c r="I2936" s="86">
        <v>30</v>
      </c>
      <c r="J2936" s="87">
        <v>2</v>
      </c>
      <c r="K2936" s="87"/>
      <c r="L2936" s="87"/>
      <c r="M2936" s="87"/>
      <c r="N2936" s="87"/>
      <c r="O2936" s="87"/>
      <c r="P2936" s="87"/>
      <c r="Q2936" s="87"/>
      <c r="R2936" s="87"/>
      <c r="S2936" s="87"/>
      <c r="T2936" s="87"/>
      <c r="U2936" s="87"/>
      <c r="V2936" s="87">
        <v>3</v>
      </c>
      <c r="W2936" s="87"/>
      <c r="X2936" s="87"/>
      <c r="Y2936" s="87"/>
      <c r="Z2936" s="87"/>
      <c r="AA2936" s="87"/>
      <c r="AB2936" s="87"/>
      <c r="AC2936" s="87">
        <v>1</v>
      </c>
      <c r="AD2936" s="87"/>
      <c r="AE2936" s="87"/>
      <c r="AF2936" s="87"/>
      <c r="AG2936" s="87"/>
      <c r="AH2936" s="87">
        <v>4</v>
      </c>
      <c r="AI2936" s="87"/>
      <c r="AJ2936" s="87"/>
      <c r="AK2936" s="87"/>
      <c r="AL2936" s="87"/>
      <c r="AM2936" s="87"/>
      <c r="AN2936" s="87"/>
      <c r="AO2936" s="87"/>
      <c r="AP2936" s="87"/>
      <c r="AQ2936" s="87">
        <v>2</v>
      </c>
      <c r="AR2936" s="87">
        <v>3</v>
      </c>
      <c r="AS2936" s="87"/>
      <c r="AT2936" s="87"/>
      <c r="AU2936" s="87"/>
      <c r="AV2936" s="87"/>
      <c r="AW2936" s="88" t="str">
        <f>HYPERLINK("http://www.openstreetmap.org/?mlat=31.0343&amp;mlon=46.2382&amp;zoom=12#map=12/31.0343/46.2382","Maplink1")</f>
        <v>Maplink1</v>
      </c>
      <c r="AX2936" s="88" t="str">
        <f>HYPERLINK("https://www.google.iq/maps/search/+31.0343,46.2382/@31.0343,46.2382,14z?hl=en","Maplink2")</f>
        <v>Maplink2</v>
      </c>
      <c r="AY2936" s="88" t="str">
        <f>HYPERLINK("http://www.bing.com/maps/?lvl=14&amp;sty=h&amp;cp=31.0343~46.2382&amp;sp=point.31.0343_46.2382","Maplink3")</f>
        <v>Maplink3</v>
      </c>
      <c r="AZ2936" s="76"/>
    </row>
    <row r="2937" spans="1:52" x14ac:dyDescent="0.25">
      <c r="A2937" s="86">
        <v>10259</v>
      </c>
      <c r="B2937" s="87" t="s">
        <v>28</v>
      </c>
      <c r="C2937" s="87" t="s">
        <v>5486</v>
      </c>
      <c r="D2937" s="87" t="s">
        <v>5532</v>
      </c>
      <c r="E2937" s="87" t="s">
        <v>5533</v>
      </c>
      <c r="F2937" s="87">
        <v>31.050157178100001</v>
      </c>
      <c r="G2937" s="87">
        <v>46.273353213199997</v>
      </c>
      <c r="H2937" s="86">
        <v>17</v>
      </c>
      <c r="I2937" s="86">
        <v>102</v>
      </c>
      <c r="J2937" s="87"/>
      <c r="K2937" s="87"/>
      <c r="L2937" s="87"/>
      <c r="M2937" s="87"/>
      <c r="N2937" s="87"/>
      <c r="O2937" s="87"/>
      <c r="P2937" s="87"/>
      <c r="Q2937" s="87"/>
      <c r="R2937" s="87">
        <v>9</v>
      </c>
      <c r="S2937" s="87"/>
      <c r="T2937" s="87"/>
      <c r="U2937" s="87"/>
      <c r="V2937" s="87">
        <v>4</v>
      </c>
      <c r="W2937" s="87"/>
      <c r="X2937" s="87">
        <v>4</v>
      </c>
      <c r="Y2937" s="87"/>
      <c r="Z2937" s="87"/>
      <c r="AA2937" s="87"/>
      <c r="AB2937" s="87"/>
      <c r="AC2937" s="87">
        <v>15</v>
      </c>
      <c r="AD2937" s="87"/>
      <c r="AE2937" s="87"/>
      <c r="AF2937" s="87"/>
      <c r="AG2937" s="87"/>
      <c r="AH2937" s="87">
        <v>2</v>
      </c>
      <c r="AI2937" s="87"/>
      <c r="AJ2937" s="87"/>
      <c r="AK2937" s="87"/>
      <c r="AL2937" s="87"/>
      <c r="AM2937" s="87"/>
      <c r="AN2937" s="87"/>
      <c r="AO2937" s="87"/>
      <c r="AP2937" s="87">
        <v>17</v>
      </c>
      <c r="AQ2937" s="87"/>
      <c r="AR2937" s="87"/>
      <c r="AS2937" s="87"/>
      <c r="AT2937" s="87"/>
      <c r="AU2937" s="87"/>
      <c r="AV2937" s="87"/>
      <c r="AW2937" s="88" t="str">
        <f>HYPERLINK("http://www.openstreetmap.org/?mlat=31.0502&amp;mlon=46.2734&amp;zoom=12#map=12/31.0502/46.2734","Maplink1")</f>
        <v>Maplink1</v>
      </c>
      <c r="AX2937" s="88" t="str">
        <f>HYPERLINK("https://www.google.iq/maps/search/+31.0502,46.2734/@31.0502,46.2734,14z?hl=en","Maplink2")</f>
        <v>Maplink2</v>
      </c>
      <c r="AY2937" s="88" t="str">
        <f>HYPERLINK("http://www.bing.com/maps/?lvl=14&amp;sty=h&amp;cp=31.0502~46.2734&amp;sp=point.31.0502_46.2734","Maplink3")</f>
        <v>Maplink3</v>
      </c>
      <c r="AZ2937" s="76"/>
    </row>
    <row r="2938" spans="1:52" x14ac:dyDescent="0.25">
      <c r="A2938" s="86">
        <v>22342</v>
      </c>
      <c r="B2938" s="87" t="s">
        <v>28</v>
      </c>
      <c r="C2938" s="87" t="s">
        <v>5486</v>
      </c>
      <c r="D2938" s="87" t="s">
        <v>1347</v>
      </c>
      <c r="E2938" s="87" t="s">
        <v>55</v>
      </c>
      <c r="F2938" s="87">
        <v>31.163944686400001</v>
      </c>
      <c r="G2938" s="87">
        <v>46.6074161023</v>
      </c>
      <c r="H2938" s="86">
        <v>2</v>
      </c>
      <c r="I2938" s="86">
        <v>12</v>
      </c>
      <c r="J2938" s="87"/>
      <c r="K2938" s="87"/>
      <c r="L2938" s="87"/>
      <c r="M2938" s="87"/>
      <c r="N2938" s="87"/>
      <c r="O2938" s="87"/>
      <c r="P2938" s="87"/>
      <c r="Q2938" s="87"/>
      <c r="R2938" s="87"/>
      <c r="S2938" s="87"/>
      <c r="T2938" s="87"/>
      <c r="U2938" s="87"/>
      <c r="V2938" s="87"/>
      <c r="W2938" s="87"/>
      <c r="X2938" s="87">
        <v>2</v>
      </c>
      <c r="Y2938" s="87"/>
      <c r="Z2938" s="87"/>
      <c r="AA2938" s="87"/>
      <c r="AB2938" s="87"/>
      <c r="AC2938" s="87"/>
      <c r="AD2938" s="87"/>
      <c r="AE2938" s="87"/>
      <c r="AF2938" s="87"/>
      <c r="AG2938" s="87"/>
      <c r="AH2938" s="87">
        <v>2</v>
      </c>
      <c r="AI2938" s="87"/>
      <c r="AJ2938" s="87"/>
      <c r="AK2938" s="87"/>
      <c r="AL2938" s="87"/>
      <c r="AM2938" s="87"/>
      <c r="AN2938" s="87"/>
      <c r="AO2938" s="87"/>
      <c r="AP2938" s="87"/>
      <c r="AQ2938" s="87">
        <v>2</v>
      </c>
      <c r="AR2938" s="87"/>
      <c r="AS2938" s="87"/>
      <c r="AT2938" s="87"/>
      <c r="AU2938" s="87"/>
      <c r="AV2938" s="87"/>
      <c r="AW2938" s="88" t="str">
        <f>HYPERLINK("http://www.openstreetmap.org/?mlat=31.1639&amp;mlon=46.6074&amp;zoom=12#map=12/31.1639/46.6074","Maplink1")</f>
        <v>Maplink1</v>
      </c>
      <c r="AX2938" s="88" t="str">
        <f>HYPERLINK("https://www.google.iq/maps/search/+31.1639,46.6074/@31.1639,46.6074,14z?hl=en","Maplink2")</f>
        <v>Maplink2</v>
      </c>
      <c r="AY2938" s="88" t="str">
        <f>HYPERLINK("http://www.bing.com/maps/?lvl=14&amp;sty=h&amp;cp=31.1639~46.6074&amp;sp=point.31.1639_46.6074","Maplink3")</f>
        <v>Maplink3</v>
      </c>
      <c r="AZ2938" s="76"/>
    </row>
    <row r="2939" spans="1:52" x14ac:dyDescent="0.25">
      <c r="A2939" s="86">
        <v>24742</v>
      </c>
      <c r="B2939" s="87" t="s">
        <v>28</v>
      </c>
      <c r="C2939" s="87" t="s">
        <v>5486</v>
      </c>
      <c r="D2939" s="87" t="s">
        <v>5534</v>
      </c>
      <c r="E2939" s="87" t="s">
        <v>3460</v>
      </c>
      <c r="F2939" s="87">
        <v>31.060090237699999</v>
      </c>
      <c r="G2939" s="87">
        <v>46.277220867600001</v>
      </c>
      <c r="H2939" s="86">
        <v>2</v>
      </c>
      <c r="I2939" s="86">
        <v>12</v>
      </c>
      <c r="J2939" s="87"/>
      <c r="K2939" s="87"/>
      <c r="L2939" s="87"/>
      <c r="M2939" s="87"/>
      <c r="N2939" s="87"/>
      <c r="O2939" s="87">
        <v>1</v>
      </c>
      <c r="P2939" s="87"/>
      <c r="Q2939" s="87"/>
      <c r="R2939" s="87">
        <v>1</v>
      </c>
      <c r="S2939" s="87"/>
      <c r="T2939" s="87"/>
      <c r="U2939" s="87"/>
      <c r="V2939" s="87"/>
      <c r="W2939" s="87"/>
      <c r="X2939" s="87"/>
      <c r="Y2939" s="87"/>
      <c r="Z2939" s="87"/>
      <c r="AA2939" s="87"/>
      <c r="AB2939" s="87"/>
      <c r="AC2939" s="87">
        <v>2</v>
      </c>
      <c r="AD2939" s="87"/>
      <c r="AE2939" s="87"/>
      <c r="AF2939" s="87"/>
      <c r="AG2939" s="87"/>
      <c r="AH2939" s="87"/>
      <c r="AI2939" s="87"/>
      <c r="AJ2939" s="87"/>
      <c r="AK2939" s="87"/>
      <c r="AL2939" s="87"/>
      <c r="AM2939" s="87"/>
      <c r="AN2939" s="87"/>
      <c r="AO2939" s="87"/>
      <c r="AP2939" s="87"/>
      <c r="AQ2939" s="87">
        <v>2</v>
      </c>
      <c r="AR2939" s="87"/>
      <c r="AS2939" s="87"/>
      <c r="AT2939" s="87"/>
      <c r="AU2939" s="87"/>
      <c r="AV2939" s="87"/>
      <c r="AW2939" s="88" t="str">
        <f>HYPERLINK("http://www.openstreetmap.org/?mlat=31.0601&amp;mlon=46.2772&amp;zoom=12#map=12/31.0601/46.2772","Maplink1")</f>
        <v>Maplink1</v>
      </c>
      <c r="AX2939" s="88" t="str">
        <f>HYPERLINK("https://www.google.iq/maps/search/+31.0601,46.2772/@31.0601,46.2772,14z?hl=en","Maplink2")</f>
        <v>Maplink2</v>
      </c>
      <c r="AY2939" s="88" t="str">
        <f>HYPERLINK("http://www.bing.com/maps/?lvl=14&amp;sty=h&amp;cp=31.0601~46.2772&amp;sp=point.31.0601_46.2772","Maplink3")</f>
        <v>Maplink3</v>
      </c>
      <c r="AZ2939" s="76"/>
    </row>
    <row r="2940" spans="1:52" x14ac:dyDescent="0.25">
      <c r="A2940" s="86">
        <v>9561</v>
      </c>
      <c r="B2940" s="87" t="s">
        <v>28</v>
      </c>
      <c r="C2940" s="87" t="s">
        <v>5486</v>
      </c>
      <c r="D2940" s="87" t="s">
        <v>5535</v>
      </c>
      <c r="E2940" s="87" t="s">
        <v>5536</v>
      </c>
      <c r="F2940" s="87">
        <v>31.067127214500001</v>
      </c>
      <c r="G2940" s="87">
        <v>46.264360511</v>
      </c>
      <c r="H2940" s="86">
        <v>4</v>
      </c>
      <c r="I2940" s="86">
        <v>24</v>
      </c>
      <c r="J2940" s="87">
        <v>3</v>
      </c>
      <c r="K2940" s="87"/>
      <c r="L2940" s="87"/>
      <c r="M2940" s="87"/>
      <c r="N2940" s="87"/>
      <c r="O2940" s="87"/>
      <c r="P2940" s="87"/>
      <c r="Q2940" s="87"/>
      <c r="R2940" s="87">
        <v>1</v>
      </c>
      <c r="S2940" s="87"/>
      <c r="T2940" s="87"/>
      <c r="U2940" s="87"/>
      <c r="V2940" s="87"/>
      <c r="W2940" s="87"/>
      <c r="X2940" s="87"/>
      <c r="Y2940" s="87"/>
      <c r="Z2940" s="87"/>
      <c r="AA2940" s="87"/>
      <c r="AB2940" s="87"/>
      <c r="AC2940" s="87"/>
      <c r="AD2940" s="87"/>
      <c r="AE2940" s="87"/>
      <c r="AF2940" s="87"/>
      <c r="AG2940" s="87"/>
      <c r="AH2940" s="87">
        <v>4</v>
      </c>
      <c r="AI2940" s="87"/>
      <c r="AJ2940" s="87"/>
      <c r="AK2940" s="87"/>
      <c r="AL2940" s="87"/>
      <c r="AM2940" s="87"/>
      <c r="AN2940" s="87">
        <v>4</v>
      </c>
      <c r="AO2940" s="87"/>
      <c r="AP2940" s="87"/>
      <c r="AQ2940" s="87"/>
      <c r="AR2940" s="87"/>
      <c r="AS2940" s="87"/>
      <c r="AT2940" s="87"/>
      <c r="AU2940" s="87"/>
      <c r="AV2940" s="87"/>
      <c r="AW2940" s="88" t="str">
        <f>HYPERLINK("http://www.openstreetmap.org/?mlat=31.0671&amp;mlon=46.2644&amp;zoom=12#map=12/31.0671/46.2644","Maplink1")</f>
        <v>Maplink1</v>
      </c>
      <c r="AX2940" s="88" t="str">
        <f>HYPERLINK("https://www.google.iq/maps/search/+31.0671,46.2644/@31.0671,46.2644,14z?hl=en","Maplink2")</f>
        <v>Maplink2</v>
      </c>
      <c r="AY2940" s="88" t="str">
        <f>HYPERLINK("http://www.bing.com/maps/?lvl=14&amp;sty=h&amp;cp=31.0671~46.2644&amp;sp=point.31.0671_46.2644","Maplink3")</f>
        <v>Maplink3</v>
      </c>
      <c r="AZ2940" s="76"/>
    </row>
    <row r="2941" spans="1:52" x14ac:dyDescent="0.25">
      <c r="A2941" s="86">
        <v>9427</v>
      </c>
      <c r="B2941" s="87" t="s">
        <v>28</v>
      </c>
      <c r="C2941" s="87" t="s">
        <v>5486</v>
      </c>
      <c r="D2941" s="87" t="s">
        <v>5537</v>
      </c>
      <c r="E2941" s="87" t="s">
        <v>5538</v>
      </c>
      <c r="F2941" s="87">
        <v>31.030441920000001</v>
      </c>
      <c r="G2941" s="87">
        <v>46.215599115800003</v>
      </c>
      <c r="H2941" s="86">
        <v>15</v>
      </c>
      <c r="I2941" s="86">
        <v>90</v>
      </c>
      <c r="J2941" s="87">
        <v>10</v>
      </c>
      <c r="K2941" s="87">
        <v>1</v>
      </c>
      <c r="L2941" s="87"/>
      <c r="M2941" s="87"/>
      <c r="N2941" s="87"/>
      <c r="O2941" s="87"/>
      <c r="P2941" s="87"/>
      <c r="Q2941" s="87"/>
      <c r="R2941" s="87"/>
      <c r="S2941" s="87"/>
      <c r="T2941" s="87"/>
      <c r="U2941" s="87"/>
      <c r="V2941" s="87">
        <v>4</v>
      </c>
      <c r="W2941" s="87"/>
      <c r="X2941" s="87"/>
      <c r="Y2941" s="87"/>
      <c r="Z2941" s="87"/>
      <c r="AA2941" s="87"/>
      <c r="AB2941" s="87"/>
      <c r="AC2941" s="87">
        <v>3</v>
      </c>
      <c r="AD2941" s="87"/>
      <c r="AE2941" s="87"/>
      <c r="AF2941" s="87"/>
      <c r="AG2941" s="87"/>
      <c r="AH2941" s="87">
        <v>12</v>
      </c>
      <c r="AI2941" s="87"/>
      <c r="AJ2941" s="87"/>
      <c r="AK2941" s="87"/>
      <c r="AL2941" s="87"/>
      <c r="AM2941" s="87"/>
      <c r="AN2941" s="87">
        <v>4</v>
      </c>
      <c r="AO2941" s="87"/>
      <c r="AP2941" s="87">
        <v>3</v>
      </c>
      <c r="AQ2941" s="87">
        <v>8</v>
      </c>
      <c r="AR2941" s="87"/>
      <c r="AS2941" s="87"/>
      <c r="AT2941" s="87"/>
      <c r="AU2941" s="87"/>
      <c r="AV2941" s="87"/>
      <c r="AW2941" s="88" t="str">
        <f>HYPERLINK("http://www.openstreetmap.org/?mlat=31.0304&amp;mlon=46.2156&amp;zoom=12#map=12/31.0304/46.2156","Maplink1")</f>
        <v>Maplink1</v>
      </c>
      <c r="AX2941" s="88" t="str">
        <f>HYPERLINK("https://www.google.iq/maps/search/+31.0304,46.2156/@31.0304,46.2156,14z?hl=en","Maplink2")</f>
        <v>Maplink2</v>
      </c>
      <c r="AY2941" s="88" t="str">
        <f>HYPERLINK("http://www.bing.com/maps/?lvl=14&amp;sty=h&amp;cp=31.0304~46.2156&amp;sp=point.31.0304_46.2156","Maplink3")</f>
        <v>Maplink3</v>
      </c>
      <c r="AZ2941" s="76"/>
    </row>
    <row r="2942" spans="1:52" x14ac:dyDescent="0.25">
      <c r="A2942" s="86">
        <v>9398</v>
      </c>
      <c r="B2942" s="87" t="s">
        <v>28</v>
      </c>
      <c r="C2942" s="87" t="s">
        <v>5486</v>
      </c>
      <c r="D2942" s="87" t="s">
        <v>5539</v>
      </c>
      <c r="E2942" s="87" t="s">
        <v>208</v>
      </c>
      <c r="F2942" s="87">
        <v>31.069961183</v>
      </c>
      <c r="G2942" s="87">
        <v>46.270024445899999</v>
      </c>
      <c r="H2942" s="86">
        <v>3</v>
      </c>
      <c r="I2942" s="86">
        <v>18</v>
      </c>
      <c r="J2942" s="87">
        <v>2</v>
      </c>
      <c r="K2942" s="87"/>
      <c r="L2942" s="87"/>
      <c r="M2942" s="87"/>
      <c r="N2942" s="87"/>
      <c r="O2942" s="87"/>
      <c r="P2942" s="87"/>
      <c r="Q2942" s="87"/>
      <c r="R2942" s="87"/>
      <c r="S2942" s="87"/>
      <c r="T2942" s="87"/>
      <c r="U2942" s="87"/>
      <c r="V2942" s="87">
        <v>1</v>
      </c>
      <c r="W2942" s="87"/>
      <c r="X2942" s="87"/>
      <c r="Y2942" s="87"/>
      <c r="Z2942" s="87"/>
      <c r="AA2942" s="87"/>
      <c r="AB2942" s="87"/>
      <c r="AC2942" s="87"/>
      <c r="AD2942" s="87"/>
      <c r="AE2942" s="87"/>
      <c r="AF2942" s="87"/>
      <c r="AG2942" s="87"/>
      <c r="AH2942" s="87">
        <v>3</v>
      </c>
      <c r="AI2942" s="87"/>
      <c r="AJ2942" s="87"/>
      <c r="AK2942" s="87"/>
      <c r="AL2942" s="87"/>
      <c r="AM2942" s="87"/>
      <c r="AN2942" s="87">
        <v>1</v>
      </c>
      <c r="AO2942" s="87"/>
      <c r="AP2942" s="87">
        <v>2</v>
      </c>
      <c r="AQ2942" s="87"/>
      <c r="AR2942" s="87"/>
      <c r="AS2942" s="87"/>
      <c r="AT2942" s="87"/>
      <c r="AU2942" s="87"/>
      <c r="AV2942" s="87"/>
      <c r="AW2942" s="88" t="str">
        <f>HYPERLINK("http://www.openstreetmap.org/?mlat=31.07&amp;mlon=46.27&amp;zoom=12#map=12/31.07/46.27","Maplink1")</f>
        <v>Maplink1</v>
      </c>
      <c r="AX2942" s="88" t="str">
        <f>HYPERLINK("https://www.google.iq/maps/search/+31.07,46.27/@31.07,46.27,14z?hl=en","Maplink2")</f>
        <v>Maplink2</v>
      </c>
      <c r="AY2942" s="88" t="str">
        <f>HYPERLINK("http://www.bing.com/maps/?lvl=14&amp;sty=h&amp;cp=31.07~46.27&amp;sp=point.31.07_46.27","Maplink3")</f>
        <v>Maplink3</v>
      </c>
      <c r="AZ2942" s="76"/>
    </row>
    <row r="2943" spans="1:52" x14ac:dyDescent="0.25">
      <c r="A2943" s="86">
        <v>33806</v>
      </c>
      <c r="B2943" s="87" t="s">
        <v>28</v>
      </c>
      <c r="C2943" s="87" t="s">
        <v>5486</v>
      </c>
      <c r="D2943" s="87" t="s">
        <v>3398</v>
      </c>
      <c r="E2943" s="87" t="s">
        <v>1353</v>
      </c>
      <c r="F2943" s="87">
        <v>31.134141</v>
      </c>
      <c r="G2943" s="87">
        <v>46.437801999999998</v>
      </c>
      <c r="H2943" s="86">
        <v>5</v>
      </c>
      <c r="I2943" s="86">
        <v>30</v>
      </c>
      <c r="J2943" s="87"/>
      <c r="K2943" s="87"/>
      <c r="L2943" s="87"/>
      <c r="M2943" s="87"/>
      <c r="N2943" s="87"/>
      <c r="O2943" s="87"/>
      <c r="P2943" s="87"/>
      <c r="Q2943" s="87"/>
      <c r="R2943" s="87"/>
      <c r="S2943" s="87"/>
      <c r="T2943" s="87"/>
      <c r="U2943" s="87"/>
      <c r="V2943" s="87">
        <v>5</v>
      </c>
      <c r="W2943" s="87"/>
      <c r="X2943" s="87"/>
      <c r="Y2943" s="87"/>
      <c r="Z2943" s="87"/>
      <c r="AA2943" s="87"/>
      <c r="AB2943" s="87"/>
      <c r="AC2943" s="87"/>
      <c r="AD2943" s="87"/>
      <c r="AE2943" s="87"/>
      <c r="AF2943" s="87"/>
      <c r="AG2943" s="87"/>
      <c r="AH2943" s="87">
        <v>5</v>
      </c>
      <c r="AI2943" s="87"/>
      <c r="AJ2943" s="87"/>
      <c r="AK2943" s="87"/>
      <c r="AL2943" s="87"/>
      <c r="AM2943" s="87"/>
      <c r="AN2943" s="87"/>
      <c r="AO2943" s="87"/>
      <c r="AP2943" s="87">
        <v>5</v>
      </c>
      <c r="AQ2943" s="87"/>
      <c r="AR2943" s="87"/>
      <c r="AS2943" s="87"/>
      <c r="AT2943" s="87"/>
      <c r="AU2943" s="87"/>
      <c r="AV2943" s="87"/>
      <c r="AW2943" s="88" t="str">
        <f>HYPERLINK("http://www.openstreetmap.org/?mlat=31.1341&amp;mlon=46.4378&amp;zoom=12#map=12/31.1341/46.4378","Maplink1")</f>
        <v>Maplink1</v>
      </c>
      <c r="AX2943" s="88" t="str">
        <f>HYPERLINK("https://www.google.iq/maps/search/+31.1341,46.4378/@31.1341,46.4378,14z?hl=en","Maplink2")</f>
        <v>Maplink2</v>
      </c>
      <c r="AY2943" s="88" t="str">
        <f>HYPERLINK("http://www.bing.com/maps/?lvl=14&amp;sty=h&amp;cp=31.1341~46.4378&amp;sp=point.31.1341_46.4378","Maplink3")</f>
        <v>Maplink3</v>
      </c>
      <c r="AZ2943" s="76"/>
    </row>
    <row r="2944" spans="1:52" x14ac:dyDescent="0.25">
      <c r="A2944" s="86">
        <v>33812</v>
      </c>
      <c r="B2944" s="87" t="s">
        <v>28</v>
      </c>
      <c r="C2944" s="87" t="s">
        <v>5486</v>
      </c>
      <c r="D2944" s="87" t="s">
        <v>3398</v>
      </c>
      <c r="E2944" s="87" t="s">
        <v>1353</v>
      </c>
      <c r="F2944" s="87">
        <v>31.115110000000001</v>
      </c>
      <c r="G2944" s="87">
        <v>45.889899999999997</v>
      </c>
      <c r="H2944" s="86">
        <v>4</v>
      </c>
      <c r="I2944" s="86">
        <v>24</v>
      </c>
      <c r="J2944" s="87">
        <v>4</v>
      </c>
      <c r="K2944" s="87"/>
      <c r="L2944" s="87"/>
      <c r="M2944" s="87"/>
      <c r="N2944" s="87"/>
      <c r="O2944" s="87"/>
      <c r="P2944" s="87"/>
      <c r="Q2944" s="87"/>
      <c r="R2944" s="87"/>
      <c r="S2944" s="87"/>
      <c r="T2944" s="87"/>
      <c r="U2944" s="87"/>
      <c r="V2944" s="87"/>
      <c r="W2944" s="87"/>
      <c r="X2944" s="87"/>
      <c r="Y2944" s="87"/>
      <c r="Z2944" s="87"/>
      <c r="AA2944" s="87"/>
      <c r="AB2944" s="87"/>
      <c r="AC2944" s="87"/>
      <c r="AD2944" s="87"/>
      <c r="AE2944" s="87"/>
      <c r="AF2944" s="87"/>
      <c r="AG2944" s="87"/>
      <c r="AH2944" s="87">
        <v>4</v>
      </c>
      <c r="AI2944" s="87"/>
      <c r="AJ2944" s="87"/>
      <c r="AK2944" s="87"/>
      <c r="AL2944" s="87"/>
      <c r="AM2944" s="87"/>
      <c r="AN2944" s="87"/>
      <c r="AO2944" s="87"/>
      <c r="AP2944" s="87"/>
      <c r="AQ2944" s="87">
        <v>4</v>
      </c>
      <c r="AR2944" s="87"/>
      <c r="AS2944" s="87"/>
      <c r="AT2944" s="87"/>
      <c r="AU2944" s="87"/>
      <c r="AV2944" s="87"/>
      <c r="AW2944" s="88" t="str">
        <f>HYPERLINK("http://www.openstreetmap.org/?mlat=31.1151&amp;mlon=45.8899&amp;zoom=12#map=12/31.1151/45.8899","Maplink1")</f>
        <v>Maplink1</v>
      </c>
      <c r="AX2944" s="88" t="str">
        <f>HYPERLINK("https://www.google.iq/maps/search/+31.1151,45.8899/@31.1151,45.8899,14z?hl=en","Maplink2")</f>
        <v>Maplink2</v>
      </c>
      <c r="AY2944" s="88" t="str">
        <f>HYPERLINK("http://www.bing.com/maps/?lvl=14&amp;sty=h&amp;cp=31.1151~45.8899&amp;sp=point.31.1151_45.8899","Maplink3")</f>
        <v>Maplink3</v>
      </c>
      <c r="AZ2944" s="76"/>
    </row>
    <row r="2945" spans="1:52" x14ac:dyDescent="0.25">
      <c r="A2945" s="86">
        <v>23683</v>
      </c>
      <c r="B2945" s="87" t="s">
        <v>28</v>
      </c>
      <c r="C2945" s="87" t="s">
        <v>5486</v>
      </c>
      <c r="D2945" s="87" t="s">
        <v>5540</v>
      </c>
      <c r="E2945" s="87" t="s">
        <v>5541</v>
      </c>
      <c r="F2945" s="87">
        <v>31.03290329</v>
      </c>
      <c r="G2945" s="87">
        <v>46.251552429999997</v>
      </c>
      <c r="H2945" s="86">
        <v>15</v>
      </c>
      <c r="I2945" s="86">
        <v>90</v>
      </c>
      <c r="J2945" s="87">
        <v>3</v>
      </c>
      <c r="K2945" s="87"/>
      <c r="L2945" s="87"/>
      <c r="M2945" s="87"/>
      <c r="N2945" s="87"/>
      <c r="O2945" s="87"/>
      <c r="P2945" s="87"/>
      <c r="Q2945" s="87"/>
      <c r="R2945" s="87"/>
      <c r="S2945" s="87"/>
      <c r="T2945" s="87"/>
      <c r="U2945" s="87"/>
      <c r="V2945" s="87">
        <v>12</v>
      </c>
      <c r="W2945" s="87"/>
      <c r="X2945" s="87"/>
      <c r="Y2945" s="87"/>
      <c r="Z2945" s="87"/>
      <c r="AA2945" s="87"/>
      <c r="AB2945" s="87"/>
      <c r="AC2945" s="87"/>
      <c r="AD2945" s="87"/>
      <c r="AE2945" s="87"/>
      <c r="AF2945" s="87"/>
      <c r="AG2945" s="87"/>
      <c r="AH2945" s="87">
        <v>8</v>
      </c>
      <c r="AI2945" s="87"/>
      <c r="AJ2945" s="87"/>
      <c r="AK2945" s="87"/>
      <c r="AL2945" s="87">
        <v>7</v>
      </c>
      <c r="AM2945" s="87"/>
      <c r="AN2945" s="87"/>
      <c r="AO2945" s="87">
        <v>4</v>
      </c>
      <c r="AP2945" s="87"/>
      <c r="AQ2945" s="87">
        <v>5</v>
      </c>
      <c r="AR2945" s="87"/>
      <c r="AS2945" s="87"/>
      <c r="AT2945" s="87">
        <v>6</v>
      </c>
      <c r="AU2945" s="87"/>
      <c r="AV2945" s="87"/>
      <c r="AW2945" s="88" t="str">
        <f>HYPERLINK("http://www.openstreetmap.org/?mlat=31.0329&amp;mlon=46.2516&amp;zoom=12#map=12/31.0329/46.2516","Maplink1")</f>
        <v>Maplink1</v>
      </c>
      <c r="AX2945" s="88" t="str">
        <f>HYPERLINK("https://www.google.iq/maps/search/+31.0329,46.2516/@31.0329,46.2516,14z?hl=en","Maplink2")</f>
        <v>Maplink2</v>
      </c>
      <c r="AY2945" s="88" t="str">
        <f>HYPERLINK("http://www.bing.com/maps/?lvl=14&amp;sty=h&amp;cp=31.0329~46.2516&amp;sp=point.31.0329_46.2516","Maplink3")</f>
        <v>Maplink3</v>
      </c>
      <c r="AZ2945" s="76"/>
    </row>
    <row r="2946" spans="1:52" x14ac:dyDescent="0.25">
      <c r="A2946" s="86">
        <v>25532</v>
      </c>
      <c r="B2946" s="87" t="s">
        <v>28</v>
      </c>
      <c r="C2946" s="87" t="s">
        <v>5486</v>
      </c>
      <c r="D2946" s="87" t="s">
        <v>5542</v>
      </c>
      <c r="E2946" s="87" t="s">
        <v>5543</v>
      </c>
      <c r="F2946" s="87">
        <v>31.0533568966</v>
      </c>
      <c r="G2946" s="87">
        <v>46.277773139300002</v>
      </c>
      <c r="H2946" s="86">
        <v>3</v>
      </c>
      <c r="I2946" s="86">
        <v>18</v>
      </c>
      <c r="J2946" s="87"/>
      <c r="K2946" s="87"/>
      <c r="L2946" s="87"/>
      <c r="M2946" s="87"/>
      <c r="N2946" s="87"/>
      <c r="O2946" s="87"/>
      <c r="P2946" s="87"/>
      <c r="Q2946" s="87"/>
      <c r="R2946" s="87"/>
      <c r="S2946" s="87"/>
      <c r="T2946" s="87"/>
      <c r="U2946" s="87"/>
      <c r="V2946" s="87">
        <v>3</v>
      </c>
      <c r="W2946" s="87"/>
      <c r="X2946" s="87"/>
      <c r="Y2946" s="87"/>
      <c r="Z2946" s="87"/>
      <c r="AA2946" s="87"/>
      <c r="AB2946" s="87"/>
      <c r="AC2946" s="87"/>
      <c r="AD2946" s="87"/>
      <c r="AE2946" s="87"/>
      <c r="AF2946" s="87"/>
      <c r="AG2946" s="87"/>
      <c r="AH2946" s="87">
        <v>3</v>
      </c>
      <c r="AI2946" s="87"/>
      <c r="AJ2946" s="87"/>
      <c r="AK2946" s="87"/>
      <c r="AL2946" s="87"/>
      <c r="AM2946" s="87"/>
      <c r="AN2946" s="87">
        <v>3</v>
      </c>
      <c r="AO2946" s="87"/>
      <c r="AP2946" s="87"/>
      <c r="AQ2946" s="87"/>
      <c r="AR2946" s="87"/>
      <c r="AS2946" s="87"/>
      <c r="AT2946" s="87"/>
      <c r="AU2946" s="87"/>
      <c r="AV2946" s="87"/>
      <c r="AW2946" s="88" t="str">
        <f>HYPERLINK("http://www.openstreetmap.org/?mlat=31.0534&amp;mlon=46.2778&amp;zoom=12#map=12/31.0534/46.2778","Maplink1")</f>
        <v>Maplink1</v>
      </c>
      <c r="AX2946" s="88" t="str">
        <f>HYPERLINK("https://www.google.iq/maps/search/+31.0534,46.2778/@31.0534,46.2778,14z?hl=en","Maplink2")</f>
        <v>Maplink2</v>
      </c>
      <c r="AY2946" s="88" t="str">
        <f>HYPERLINK("http://www.bing.com/maps/?lvl=14&amp;sty=h&amp;cp=31.0534~46.2778&amp;sp=point.31.0534_46.2778","Maplink3")</f>
        <v>Maplink3</v>
      </c>
      <c r="AZ2946" s="76"/>
    </row>
    <row r="2947" spans="1:52" x14ac:dyDescent="0.25">
      <c r="A2947" s="86">
        <v>25528</v>
      </c>
      <c r="B2947" s="87" t="s">
        <v>28</v>
      </c>
      <c r="C2947" s="87" t="s">
        <v>5486</v>
      </c>
      <c r="D2947" s="87" t="s">
        <v>5544</v>
      </c>
      <c r="E2947" s="87" t="s">
        <v>5545</v>
      </c>
      <c r="F2947" s="87">
        <v>31.053281055100001</v>
      </c>
      <c r="G2947" s="87">
        <v>46.253512804000003</v>
      </c>
      <c r="H2947" s="86">
        <v>3</v>
      </c>
      <c r="I2947" s="86">
        <v>18</v>
      </c>
      <c r="J2947" s="87">
        <v>2</v>
      </c>
      <c r="K2947" s="87"/>
      <c r="L2947" s="87"/>
      <c r="M2947" s="87"/>
      <c r="N2947" s="87"/>
      <c r="O2947" s="87"/>
      <c r="P2947" s="87"/>
      <c r="Q2947" s="87"/>
      <c r="R2947" s="87"/>
      <c r="S2947" s="87"/>
      <c r="T2947" s="87"/>
      <c r="U2947" s="87"/>
      <c r="V2947" s="87">
        <v>1</v>
      </c>
      <c r="W2947" s="87"/>
      <c r="X2947" s="87"/>
      <c r="Y2947" s="87"/>
      <c r="Z2947" s="87"/>
      <c r="AA2947" s="87"/>
      <c r="AB2947" s="87"/>
      <c r="AC2947" s="87">
        <v>3</v>
      </c>
      <c r="AD2947" s="87"/>
      <c r="AE2947" s="87"/>
      <c r="AF2947" s="87"/>
      <c r="AG2947" s="87"/>
      <c r="AH2947" s="87"/>
      <c r="AI2947" s="87"/>
      <c r="AJ2947" s="87"/>
      <c r="AK2947" s="87"/>
      <c r="AL2947" s="87"/>
      <c r="AM2947" s="87"/>
      <c r="AN2947" s="87"/>
      <c r="AO2947" s="87">
        <v>3</v>
      </c>
      <c r="AP2947" s="87"/>
      <c r="AQ2947" s="87"/>
      <c r="AR2947" s="87"/>
      <c r="AS2947" s="87"/>
      <c r="AT2947" s="87"/>
      <c r="AU2947" s="87"/>
      <c r="AV2947" s="87"/>
      <c r="AW2947" s="88" t="str">
        <f>HYPERLINK("http://www.openstreetmap.org/?mlat=31.0533&amp;mlon=46.2535&amp;zoom=12#map=12/31.0533/46.2535","Maplink1")</f>
        <v>Maplink1</v>
      </c>
      <c r="AX2947" s="88" t="str">
        <f>HYPERLINK("https://www.google.iq/maps/search/+31.0533,46.2535/@31.0533,46.2535,14z?hl=en","Maplink2")</f>
        <v>Maplink2</v>
      </c>
      <c r="AY2947" s="88" t="str">
        <f>HYPERLINK("http://www.bing.com/maps/?lvl=14&amp;sty=h&amp;cp=31.0533~46.2535&amp;sp=point.31.0533_46.2535","Maplink3")</f>
        <v>Maplink3</v>
      </c>
      <c r="AZ2947" s="76"/>
    </row>
    <row r="2948" spans="1:52" x14ac:dyDescent="0.25">
      <c r="A2948" s="86">
        <v>25531</v>
      </c>
      <c r="B2948" s="87" t="s">
        <v>28</v>
      </c>
      <c r="C2948" s="87" t="s">
        <v>5486</v>
      </c>
      <c r="D2948" s="87" t="s">
        <v>5546</v>
      </c>
      <c r="E2948" s="87" t="s">
        <v>5547</v>
      </c>
      <c r="F2948" s="87">
        <v>31.0452754698</v>
      </c>
      <c r="G2948" s="87">
        <v>46.2350050258</v>
      </c>
      <c r="H2948" s="86">
        <v>1</v>
      </c>
      <c r="I2948" s="86">
        <v>6</v>
      </c>
      <c r="J2948" s="87"/>
      <c r="K2948" s="87"/>
      <c r="L2948" s="87"/>
      <c r="M2948" s="87"/>
      <c r="N2948" s="87"/>
      <c r="O2948" s="87"/>
      <c r="P2948" s="87"/>
      <c r="Q2948" s="87"/>
      <c r="R2948" s="87"/>
      <c r="S2948" s="87"/>
      <c r="T2948" s="87"/>
      <c r="U2948" s="87"/>
      <c r="V2948" s="87">
        <v>1</v>
      </c>
      <c r="W2948" s="87"/>
      <c r="X2948" s="87"/>
      <c r="Y2948" s="87"/>
      <c r="Z2948" s="87"/>
      <c r="AA2948" s="87"/>
      <c r="AB2948" s="87"/>
      <c r="AC2948" s="87"/>
      <c r="AD2948" s="87"/>
      <c r="AE2948" s="87"/>
      <c r="AF2948" s="87"/>
      <c r="AG2948" s="87"/>
      <c r="AH2948" s="87">
        <v>1</v>
      </c>
      <c r="AI2948" s="87"/>
      <c r="AJ2948" s="87"/>
      <c r="AK2948" s="87"/>
      <c r="AL2948" s="87"/>
      <c r="AM2948" s="87"/>
      <c r="AN2948" s="87"/>
      <c r="AO2948" s="87">
        <v>1</v>
      </c>
      <c r="AP2948" s="87"/>
      <c r="AQ2948" s="87"/>
      <c r="AR2948" s="87"/>
      <c r="AS2948" s="87"/>
      <c r="AT2948" s="87"/>
      <c r="AU2948" s="87"/>
      <c r="AV2948" s="87"/>
      <c r="AW2948" s="88" t="str">
        <f>HYPERLINK("http://www.openstreetmap.org/?mlat=31.0453&amp;mlon=46.235&amp;zoom=12#map=12/31.0453/46.235","Maplink1")</f>
        <v>Maplink1</v>
      </c>
      <c r="AX2948" s="88" t="str">
        <f>HYPERLINK("https://www.google.iq/maps/search/+31.0453,46.235/@31.0453,46.235,14z?hl=en","Maplink2")</f>
        <v>Maplink2</v>
      </c>
      <c r="AY2948" s="88" t="str">
        <f>HYPERLINK("http://www.bing.com/maps/?lvl=14&amp;sty=h&amp;cp=31.0453~46.235&amp;sp=point.31.0453_46.235","Maplink3")</f>
        <v>Maplink3</v>
      </c>
      <c r="AZ2948" s="76"/>
    </row>
    <row r="2949" spans="1:52" x14ac:dyDescent="0.25">
      <c r="A2949" s="86">
        <v>25530</v>
      </c>
      <c r="B2949" s="87" t="s">
        <v>28</v>
      </c>
      <c r="C2949" s="87" t="s">
        <v>5486</v>
      </c>
      <c r="D2949" s="87" t="s">
        <v>5548</v>
      </c>
      <c r="E2949" s="87" t="s">
        <v>3388</v>
      </c>
      <c r="F2949" s="87">
        <v>31.076769222599999</v>
      </c>
      <c r="G2949" s="87">
        <v>46.264030067599997</v>
      </c>
      <c r="H2949" s="86">
        <v>4</v>
      </c>
      <c r="I2949" s="86">
        <v>24</v>
      </c>
      <c r="J2949" s="87">
        <v>1</v>
      </c>
      <c r="K2949" s="87"/>
      <c r="L2949" s="87"/>
      <c r="M2949" s="87"/>
      <c r="N2949" s="87"/>
      <c r="O2949" s="87"/>
      <c r="P2949" s="87"/>
      <c r="Q2949" s="87"/>
      <c r="R2949" s="87"/>
      <c r="S2949" s="87"/>
      <c r="T2949" s="87"/>
      <c r="U2949" s="87"/>
      <c r="V2949" s="87">
        <v>3</v>
      </c>
      <c r="W2949" s="87"/>
      <c r="X2949" s="87"/>
      <c r="Y2949" s="87"/>
      <c r="Z2949" s="87"/>
      <c r="AA2949" s="87"/>
      <c r="AB2949" s="87"/>
      <c r="AC2949" s="87">
        <v>3</v>
      </c>
      <c r="AD2949" s="87"/>
      <c r="AE2949" s="87"/>
      <c r="AF2949" s="87"/>
      <c r="AG2949" s="87"/>
      <c r="AH2949" s="87">
        <v>1</v>
      </c>
      <c r="AI2949" s="87"/>
      <c r="AJ2949" s="87"/>
      <c r="AK2949" s="87"/>
      <c r="AL2949" s="87"/>
      <c r="AM2949" s="87"/>
      <c r="AN2949" s="87"/>
      <c r="AO2949" s="87"/>
      <c r="AP2949" s="87"/>
      <c r="AQ2949" s="87">
        <v>1</v>
      </c>
      <c r="AR2949" s="87">
        <v>3</v>
      </c>
      <c r="AS2949" s="87"/>
      <c r="AT2949" s="87"/>
      <c r="AU2949" s="87"/>
      <c r="AV2949" s="87"/>
      <c r="AW2949" s="88" t="str">
        <f>HYPERLINK("http://www.openstreetmap.org/?mlat=31.0768&amp;mlon=46.264&amp;zoom=12#map=12/31.0768/46.264","Maplink1")</f>
        <v>Maplink1</v>
      </c>
      <c r="AX2949" s="88" t="str">
        <f>HYPERLINK("https://www.google.iq/maps/search/+31.0768,46.264/@31.0768,46.264,14z?hl=en","Maplink2")</f>
        <v>Maplink2</v>
      </c>
      <c r="AY2949" s="88" t="str">
        <f>HYPERLINK("http://www.bing.com/maps/?lvl=14&amp;sty=h&amp;cp=31.0768~46.264&amp;sp=point.31.0768_46.264","Maplink3")</f>
        <v>Maplink3</v>
      </c>
      <c r="AZ2949" s="76"/>
    </row>
    <row r="2950" spans="1:52" x14ac:dyDescent="0.25">
      <c r="A2950" s="86">
        <v>25533</v>
      </c>
      <c r="B2950" s="87" t="s">
        <v>28</v>
      </c>
      <c r="C2950" s="87" t="s">
        <v>5486</v>
      </c>
      <c r="D2950" s="87" t="s">
        <v>5549</v>
      </c>
      <c r="E2950" s="87" t="s">
        <v>5550</v>
      </c>
      <c r="F2950" s="87">
        <v>31.080862144499999</v>
      </c>
      <c r="G2950" s="87">
        <v>46.240087203599998</v>
      </c>
      <c r="H2950" s="86">
        <v>7</v>
      </c>
      <c r="I2950" s="86">
        <v>42</v>
      </c>
      <c r="J2950" s="87">
        <v>5</v>
      </c>
      <c r="K2950" s="87"/>
      <c r="L2950" s="87"/>
      <c r="M2950" s="87"/>
      <c r="N2950" s="87"/>
      <c r="O2950" s="87"/>
      <c r="P2950" s="87"/>
      <c r="Q2950" s="87"/>
      <c r="R2950" s="87"/>
      <c r="S2950" s="87"/>
      <c r="T2950" s="87"/>
      <c r="U2950" s="87"/>
      <c r="V2950" s="87">
        <v>2</v>
      </c>
      <c r="W2950" s="87"/>
      <c r="X2950" s="87"/>
      <c r="Y2950" s="87"/>
      <c r="Z2950" s="87"/>
      <c r="AA2950" s="87"/>
      <c r="AB2950" s="87"/>
      <c r="AC2950" s="87">
        <v>7</v>
      </c>
      <c r="AD2950" s="87"/>
      <c r="AE2950" s="87"/>
      <c r="AF2950" s="87"/>
      <c r="AG2950" s="87"/>
      <c r="AH2950" s="87"/>
      <c r="AI2950" s="87"/>
      <c r="AJ2950" s="87"/>
      <c r="AK2950" s="87"/>
      <c r="AL2950" s="87"/>
      <c r="AM2950" s="87"/>
      <c r="AN2950" s="87"/>
      <c r="AO2950" s="87">
        <v>2</v>
      </c>
      <c r="AP2950" s="87">
        <v>3</v>
      </c>
      <c r="AQ2950" s="87"/>
      <c r="AR2950" s="87">
        <v>2</v>
      </c>
      <c r="AS2950" s="87"/>
      <c r="AT2950" s="87"/>
      <c r="AU2950" s="87"/>
      <c r="AV2950" s="87"/>
      <c r="AW2950" s="88" t="str">
        <f>HYPERLINK("http://www.openstreetmap.org/?mlat=31.0809&amp;mlon=46.2401&amp;zoom=12#map=12/31.0809/46.2401","Maplink1")</f>
        <v>Maplink1</v>
      </c>
      <c r="AX2950" s="88" t="str">
        <f>HYPERLINK("https://www.google.iq/maps/search/+31.0809,46.2401/@31.0809,46.2401,14z?hl=en","Maplink2")</f>
        <v>Maplink2</v>
      </c>
      <c r="AY2950" s="88" t="str">
        <f>HYPERLINK("http://www.bing.com/maps/?lvl=14&amp;sty=h&amp;cp=31.0809~46.2401&amp;sp=point.31.0809_46.2401","Maplink3")</f>
        <v>Maplink3</v>
      </c>
      <c r="AZ2950" s="76"/>
    </row>
    <row r="2951" spans="1:52" x14ac:dyDescent="0.25">
      <c r="A2951" s="86">
        <v>10263</v>
      </c>
      <c r="B2951" s="87" t="s">
        <v>28</v>
      </c>
      <c r="C2951" s="87" t="s">
        <v>5486</v>
      </c>
      <c r="D2951" s="87" t="s">
        <v>5551</v>
      </c>
      <c r="E2951" s="87" t="s">
        <v>5552</v>
      </c>
      <c r="F2951" s="87">
        <v>31.0802066016</v>
      </c>
      <c r="G2951" s="87">
        <v>46.235693895300003</v>
      </c>
      <c r="H2951" s="86">
        <v>16</v>
      </c>
      <c r="I2951" s="86">
        <v>96</v>
      </c>
      <c r="J2951" s="87">
        <v>5</v>
      </c>
      <c r="K2951" s="87"/>
      <c r="L2951" s="87"/>
      <c r="M2951" s="87"/>
      <c r="N2951" s="87"/>
      <c r="O2951" s="87"/>
      <c r="P2951" s="87"/>
      <c r="Q2951" s="87"/>
      <c r="R2951" s="87">
        <v>4</v>
      </c>
      <c r="S2951" s="87"/>
      <c r="T2951" s="87"/>
      <c r="U2951" s="87"/>
      <c r="V2951" s="87">
        <v>4</v>
      </c>
      <c r="W2951" s="87"/>
      <c r="X2951" s="87">
        <v>3</v>
      </c>
      <c r="Y2951" s="87"/>
      <c r="Z2951" s="87"/>
      <c r="AA2951" s="87"/>
      <c r="AB2951" s="87"/>
      <c r="AC2951" s="87">
        <v>4</v>
      </c>
      <c r="AD2951" s="87"/>
      <c r="AE2951" s="87"/>
      <c r="AF2951" s="87"/>
      <c r="AG2951" s="87"/>
      <c r="AH2951" s="87">
        <v>12</v>
      </c>
      <c r="AI2951" s="87"/>
      <c r="AJ2951" s="87"/>
      <c r="AK2951" s="87"/>
      <c r="AL2951" s="87"/>
      <c r="AM2951" s="87"/>
      <c r="AN2951" s="87"/>
      <c r="AO2951" s="87">
        <v>6</v>
      </c>
      <c r="AP2951" s="87"/>
      <c r="AQ2951" s="87">
        <v>10</v>
      </c>
      <c r="AR2951" s="87"/>
      <c r="AS2951" s="87"/>
      <c r="AT2951" s="87"/>
      <c r="AU2951" s="87"/>
      <c r="AV2951" s="87"/>
      <c r="AW2951" s="88" t="str">
        <f>HYPERLINK("http://www.openstreetmap.org/?mlat=31.0802&amp;mlon=46.2357&amp;zoom=12#map=12/31.0802/46.2357","Maplink1")</f>
        <v>Maplink1</v>
      </c>
      <c r="AX2951" s="88" t="str">
        <f>HYPERLINK("https://www.google.iq/maps/search/+31.0802,46.2357/@31.0802,46.2357,14z?hl=en","Maplink2")</f>
        <v>Maplink2</v>
      </c>
      <c r="AY2951" s="88" t="str">
        <f>HYPERLINK("http://www.bing.com/maps/?lvl=14&amp;sty=h&amp;cp=31.0802~46.2357&amp;sp=point.31.0802_46.2357","Maplink3")</f>
        <v>Maplink3</v>
      </c>
      <c r="AZ2951" s="76"/>
    </row>
    <row r="2952" spans="1:52" x14ac:dyDescent="0.25">
      <c r="A2952" s="86">
        <v>24556</v>
      </c>
      <c r="B2952" s="87" t="s">
        <v>28</v>
      </c>
      <c r="C2952" s="87" t="s">
        <v>5486</v>
      </c>
      <c r="D2952" s="87" t="s">
        <v>5553</v>
      </c>
      <c r="E2952" s="87" t="s">
        <v>5554</v>
      </c>
      <c r="F2952" s="87">
        <v>31.0066844262</v>
      </c>
      <c r="G2952" s="87">
        <v>46.257133936800003</v>
      </c>
      <c r="H2952" s="86">
        <v>1</v>
      </c>
      <c r="I2952" s="86">
        <v>6</v>
      </c>
      <c r="J2952" s="87"/>
      <c r="K2952" s="87"/>
      <c r="L2952" s="87"/>
      <c r="M2952" s="87"/>
      <c r="N2952" s="87"/>
      <c r="O2952" s="87"/>
      <c r="P2952" s="87"/>
      <c r="Q2952" s="87"/>
      <c r="R2952" s="87"/>
      <c r="S2952" s="87"/>
      <c r="T2952" s="87"/>
      <c r="U2952" s="87"/>
      <c r="V2952" s="87">
        <v>1</v>
      </c>
      <c r="W2952" s="87"/>
      <c r="X2952" s="87"/>
      <c r="Y2952" s="87"/>
      <c r="Z2952" s="87"/>
      <c r="AA2952" s="87"/>
      <c r="AB2952" s="87"/>
      <c r="AC2952" s="87">
        <v>1</v>
      </c>
      <c r="AD2952" s="87"/>
      <c r="AE2952" s="87"/>
      <c r="AF2952" s="87"/>
      <c r="AG2952" s="87"/>
      <c r="AH2952" s="87"/>
      <c r="AI2952" s="87"/>
      <c r="AJ2952" s="87"/>
      <c r="AK2952" s="87"/>
      <c r="AL2952" s="87"/>
      <c r="AM2952" s="87"/>
      <c r="AN2952" s="87"/>
      <c r="AO2952" s="87"/>
      <c r="AP2952" s="87">
        <v>1</v>
      </c>
      <c r="AQ2952" s="87"/>
      <c r="AR2952" s="87"/>
      <c r="AS2952" s="87"/>
      <c r="AT2952" s="87"/>
      <c r="AU2952" s="87"/>
      <c r="AV2952" s="87"/>
      <c r="AW2952" s="88" t="str">
        <f>HYPERLINK("http://www.openstreetmap.org/?mlat=31.0067&amp;mlon=46.2571&amp;zoom=12#map=12/31.0067/46.2571","Maplink1")</f>
        <v>Maplink1</v>
      </c>
      <c r="AX2952" s="88" t="str">
        <f>HYPERLINK("https://www.google.iq/maps/search/+31.0067,46.2571/@31.0067,46.2571,14z?hl=en","Maplink2")</f>
        <v>Maplink2</v>
      </c>
      <c r="AY2952" s="88" t="str">
        <f>HYPERLINK("http://www.bing.com/maps/?lvl=14&amp;sty=h&amp;cp=31.0067~46.2571&amp;sp=point.31.0067_46.2571","Maplink3")</f>
        <v>Maplink3</v>
      </c>
      <c r="AZ2952" s="76"/>
    </row>
    <row r="2953" spans="1:52" x14ac:dyDescent="0.25">
      <c r="A2953" s="86">
        <v>25527</v>
      </c>
      <c r="B2953" s="87" t="s">
        <v>28</v>
      </c>
      <c r="C2953" s="87" t="s">
        <v>5486</v>
      </c>
      <c r="D2953" s="87" t="s">
        <v>5555</v>
      </c>
      <c r="E2953" s="87" t="s">
        <v>5556</v>
      </c>
      <c r="F2953" s="87">
        <v>31.058777803800002</v>
      </c>
      <c r="G2953" s="87">
        <v>46.257208607000003</v>
      </c>
      <c r="H2953" s="86">
        <v>3</v>
      </c>
      <c r="I2953" s="86">
        <v>18</v>
      </c>
      <c r="J2953" s="87"/>
      <c r="K2953" s="87"/>
      <c r="L2953" s="87"/>
      <c r="M2953" s="87"/>
      <c r="N2953" s="87"/>
      <c r="O2953" s="87"/>
      <c r="P2953" s="87"/>
      <c r="Q2953" s="87"/>
      <c r="R2953" s="87"/>
      <c r="S2953" s="87"/>
      <c r="T2953" s="87"/>
      <c r="U2953" s="87"/>
      <c r="V2953" s="87">
        <v>3</v>
      </c>
      <c r="W2953" s="87"/>
      <c r="X2953" s="87"/>
      <c r="Y2953" s="87"/>
      <c r="Z2953" s="87"/>
      <c r="AA2953" s="87"/>
      <c r="AB2953" s="87"/>
      <c r="AC2953" s="87">
        <v>3</v>
      </c>
      <c r="AD2953" s="87"/>
      <c r="AE2953" s="87"/>
      <c r="AF2953" s="87"/>
      <c r="AG2953" s="87"/>
      <c r="AH2953" s="87"/>
      <c r="AI2953" s="87"/>
      <c r="AJ2953" s="87"/>
      <c r="AK2953" s="87"/>
      <c r="AL2953" s="87"/>
      <c r="AM2953" s="87"/>
      <c r="AN2953" s="87"/>
      <c r="AO2953" s="87"/>
      <c r="AP2953" s="87">
        <v>3</v>
      </c>
      <c r="AQ2953" s="87"/>
      <c r="AR2953" s="87"/>
      <c r="AS2953" s="87"/>
      <c r="AT2953" s="87"/>
      <c r="AU2953" s="87"/>
      <c r="AV2953" s="87"/>
      <c r="AW2953" s="88" t="str">
        <f>HYPERLINK("http://www.openstreetmap.org/?mlat=31.0588&amp;mlon=46.2572&amp;zoom=12#map=12/31.0588/46.2572","Maplink1")</f>
        <v>Maplink1</v>
      </c>
      <c r="AX2953" s="88" t="str">
        <f>HYPERLINK("https://www.google.iq/maps/search/+31.0588,46.2572/@31.0588,46.2572,14z?hl=en","Maplink2")</f>
        <v>Maplink2</v>
      </c>
      <c r="AY2953" s="88" t="str">
        <f>HYPERLINK("http://www.bing.com/maps/?lvl=14&amp;sty=h&amp;cp=31.0588~46.2572&amp;sp=point.31.0588_46.2572","Maplink3")</f>
        <v>Maplink3</v>
      </c>
      <c r="AZ2953" s="76"/>
    </row>
    <row r="2954" spans="1:52" x14ac:dyDescent="0.25">
      <c r="A2954" s="86">
        <v>22344</v>
      </c>
      <c r="B2954" s="87" t="s">
        <v>28</v>
      </c>
      <c r="C2954" s="87" t="s">
        <v>5486</v>
      </c>
      <c r="D2954" s="87" t="s">
        <v>5557</v>
      </c>
      <c r="E2954" s="87" t="s">
        <v>5558</v>
      </c>
      <c r="F2954" s="87">
        <v>31.048519000500001</v>
      </c>
      <c r="G2954" s="87">
        <v>46.257282930099997</v>
      </c>
      <c r="H2954" s="86">
        <v>3</v>
      </c>
      <c r="I2954" s="86">
        <v>18</v>
      </c>
      <c r="J2954" s="87"/>
      <c r="K2954" s="87"/>
      <c r="L2954" s="87"/>
      <c r="M2954" s="87"/>
      <c r="N2954" s="87"/>
      <c r="O2954" s="87"/>
      <c r="P2954" s="87"/>
      <c r="Q2954" s="87"/>
      <c r="R2954" s="87"/>
      <c r="S2954" s="87"/>
      <c r="T2954" s="87"/>
      <c r="U2954" s="87"/>
      <c r="V2954" s="87">
        <v>3</v>
      </c>
      <c r="W2954" s="87"/>
      <c r="X2954" s="87"/>
      <c r="Y2954" s="87"/>
      <c r="Z2954" s="87"/>
      <c r="AA2954" s="87"/>
      <c r="AB2954" s="87"/>
      <c r="AC2954" s="87">
        <v>3</v>
      </c>
      <c r="AD2954" s="87"/>
      <c r="AE2954" s="87"/>
      <c r="AF2954" s="87"/>
      <c r="AG2954" s="87"/>
      <c r="AH2954" s="87"/>
      <c r="AI2954" s="87"/>
      <c r="AJ2954" s="87"/>
      <c r="AK2954" s="87"/>
      <c r="AL2954" s="87"/>
      <c r="AM2954" s="87"/>
      <c r="AN2954" s="87">
        <v>3</v>
      </c>
      <c r="AO2954" s="87"/>
      <c r="AP2954" s="87"/>
      <c r="AQ2954" s="87"/>
      <c r="AR2954" s="87"/>
      <c r="AS2954" s="87"/>
      <c r="AT2954" s="87"/>
      <c r="AU2954" s="87"/>
      <c r="AV2954" s="87"/>
      <c r="AW2954" s="88" t="str">
        <f>HYPERLINK("http://www.openstreetmap.org/?mlat=31.0485&amp;mlon=46.2573&amp;zoom=12#map=12/31.0485/46.2573","Maplink1")</f>
        <v>Maplink1</v>
      </c>
      <c r="AX2954" s="88" t="str">
        <f>HYPERLINK("https://www.google.iq/maps/search/+31.0485,46.2573/@31.0485,46.2573,14z?hl=en","Maplink2")</f>
        <v>Maplink2</v>
      </c>
      <c r="AY2954" s="88" t="str">
        <f>HYPERLINK("http://www.bing.com/maps/?lvl=14&amp;sty=h&amp;cp=31.0485~46.2573&amp;sp=point.31.0485_46.2573","Maplink3")</f>
        <v>Maplink3</v>
      </c>
      <c r="AZ2954" s="76"/>
    </row>
    <row r="2955" spans="1:52" x14ac:dyDescent="0.25">
      <c r="A2955" s="86">
        <v>10269</v>
      </c>
      <c r="B2955" s="87" t="s">
        <v>28</v>
      </c>
      <c r="C2955" s="87" t="s">
        <v>5486</v>
      </c>
      <c r="D2955" s="87" t="s">
        <v>5559</v>
      </c>
      <c r="E2955" s="87" t="s">
        <v>5560</v>
      </c>
      <c r="F2955" s="87">
        <v>31.041901284200001</v>
      </c>
      <c r="G2955" s="87">
        <v>46.3069539022</v>
      </c>
      <c r="H2955" s="86">
        <v>9</v>
      </c>
      <c r="I2955" s="86">
        <v>54</v>
      </c>
      <c r="J2955" s="87"/>
      <c r="K2955" s="87"/>
      <c r="L2955" s="87"/>
      <c r="M2955" s="87"/>
      <c r="N2955" s="87"/>
      <c r="O2955" s="87"/>
      <c r="P2955" s="87"/>
      <c r="Q2955" s="87"/>
      <c r="R2955" s="87"/>
      <c r="S2955" s="87"/>
      <c r="T2955" s="87"/>
      <c r="U2955" s="87"/>
      <c r="V2955" s="87">
        <v>9</v>
      </c>
      <c r="W2955" s="87"/>
      <c r="X2955" s="87"/>
      <c r="Y2955" s="87"/>
      <c r="Z2955" s="87"/>
      <c r="AA2955" s="87"/>
      <c r="AB2955" s="87"/>
      <c r="AC2955" s="87"/>
      <c r="AD2955" s="87"/>
      <c r="AE2955" s="87"/>
      <c r="AF2955" s="87"/>
      <c r="AG2955" s="87"/>
      <c r="AH2955" s="87">
        <v>9</v>
      </c>
      <c r="AI2955" s="87"/>
      <c r="AJ2955" s="87"/>
      <c r="AK2955" s="87"/>
      <c r="AL2955" s="87"/>
      <c r="AM2955" s="87"/>
      <c r="AN2955" s="87"/>
      <c r="AO2955" s="87"/>
      <c r="AP2955" s="87">
        <v>9</v>
      </c>
      <c r="AQ2955" s="87"/>
      <c r="AR2955" s="87"/>
      <c r="AS2955" s="87"/>
      <c r="AT2955" s="87"/>
      <c r="AU2955" s="87"/>
      <c r="AV2955" s="87"/>
      <c r="AW2955" s="88" t="str">
        <f>HYPERLINK("http://www.openstreetmap.org/?mlat=31.0419&amp;mlon=46.307&amp;zoom=12#map=12/31.0419/46.307","Maplink1")</f>
        <v>Maplink1</v>
      </c>
      <c r="AX2955" s="88" t="str">
        <f>HYPERLINK("https://www.google.iq/maps/search/+31.0419,46.307/@31.0419,46.307,14z?hl=en","Maplink2")</f>
        <v>Maplink2</v>
      </c>
      <c r="AY2955" s="88" t="str">
        <f>HYPERLINK("http://www.bing.com/maps/?lvl=14&amp;sty=h&amp;cp=31.0419~46.307&amp;sp=point.31.0419_46.307","Maplink3")</f>
        <v>Maplink3</v>
      </c>
      <c r="AZ2955" s="76"/>
    </row>
    <row r="2956" spans="1:52" x14ac:dyDescent="0.25">
      <c r="A2956" s="86">
        <v>25760</v>
      </c>
      <c r="B2956" s="87" t="s">
        <v>28</v>
      </c>
      <c r="C2956" s="87" t="s">
        <v>5486</v>
      </c>
      <c r="D2956" s="87" t="s">
        <v>5561</v>
      </c>
      <c r="E2956" s="87" t="s">
        <v>5562</v>
      </c>
      <c r="F2956" s="87">
        <v>30.981975211000002</v>
      </c>
      <c r="G2956" s="87">
        <v>46.3081693265</v>
      </c>
      <c r="H2956" s="86">
        <v>4</v>
      </c>
      <c r="I2956" s="86">
        <v>24</v>
      </c>
      <c r="J2956" s="87"/>
      <c r="K2956" s="87"/>
      <c r="L2956" s="87"/>
      <c r="M2956" s="87"/>
      <c r="N2956" s="87"/>
      <c r="O2956" s="87"/>
      <c r="P2956" s="87"/>
      <c r="Q2956" s="87"/>
      <c r="R2956" s="87"/>
      <c r="S2956" s="87"/>
      <c r="T2956" s="87"/>
      <c r="U2956" s="87"/>
      <c r="V2956" s="87">
        <v>4</v>
      </c>
      <c r="W2956" s="87"/>
      <c r="X2956" s="87"/>
      <c r="Y2956" s="87"/>
      <c r="Z2956" s="87"/>
      <c r="AA2956" s="87"/>
      <c r="AB2956" s="87"/>
      <c r="AC2956" s="87"/>
      <c r="AD2956" s="87"/>
      <c r="AE2956" s="87"/>
      <c r="AF2956" s="87"/>
      <c r="AG2956" s="87"/>
      <c r="AH2956" s="87">
        <v>4</v>
      </c>
      <c r="AI2956" s="87"/>
      <c r="AJ2956" s="87"/>
      <c r="AK2956" s="87"/>
      <c r="AL2956" s="87"/>
      <c r="AM2956" s="87"/>
      <c r="AN2956" s="87"/>
      <c r="AO2956" s="87">
        <v>4</v>
      </c>
      <c r="AP2956" s="87"/>
      <c r="AQ2956" s="87"/>
      <c r="AR2956" s="87"/>
      <c r="AS2956" s="87"/>
      <c r="AT2956" s="87"/>
      <c r="AU2956" s="87"/>
      <c r="AV2956" s="87"/>
      <c r="AW2956" s="88" t="str">
        <f>HYPERLINK("http://www.openstreetmap.org/?mlat=30.982&amp;mlon=46.3082&amp;zoom=12#map=12/30.982/46.3082","Maplink1")</f>
        <v>Maplink1</v>
      </c>
      <c r="AX2956" s="88" t="str">
        <f>HYPERLINK("https://www.google.iq/maps/search/+30.982,46.3082/@30.982,46.3082,14z?hl=en","Maplink2")</f>
        <v>Maplink2</v>
      </c>
      <c r="AY2956" s="88" t="str">
        <f>HYPERLINK("http://www.bing.com/maps/?lvl=14&amp;sty=h&amp;cp=30.982~46.3082&amp;sp=point.30.982_46.3082","Maplink3")</f>
        <v>Maplink3</v>
      </c>
      <c r="AZ2956" s="76"/>
    </row>
    <row r="2957" spans="1:52" x14ac:dyDescent="0.25">
      <c r="A2957" s="86">
        <v>23685</v>
      </c>
      <c r="B2957" s="87" t="s">
        <v>28</v>
      </c>
      <c r="C2957" s="87" t="s">
        <v>5486</v>
      </c>
      <c r="D2957" s="87" t="s">
        <v>5563</v>
      </c>
      <c r="E2957" s="87" t="s">
        <v>5564</v>
      </c>
      <c r="F2957" s="87">
        <v>31.087265559999999</v>
      </c>
      <c r="G2957" s="87">
        <v>46.241235476500002</v>
      </c>
      <c r="H2957" s="86">
        <v>6</v>
      </c>
      <c r="I2957" s="86">
        <v>36</v>
      </c>
      <c r="J2957" s="87">
        <v>3</v>
      </c>
      <c r="K2957" s="87"/>
      <c r="L2957" s="87"/>
      <c r="M2957" s="87"/>
      <c r="N2957" s="87"/>
      <c r="O2957" s="87"/>
      <c r="P2957" s="87"/>
      <c r="Q2957" s="87"/>
      <c r="R2957" s="87">
        <v>3</v>
      </c>
      <c r="S2957" s="87"/>
      <c r="T2957" s="87"/>
      <c r="U2957" s="87"/>
      <c r="V2957" s="87"/>
      <c r="W2957" s="87"/>
      <c r="X2957" s="87"/>
      <c r="Y2957" s="87"/>
      <c r="Z2957" s="87"/>
      <c r="AA2957" s="87"/>
      <c r="AB2957" s="87"/>
      <c r="AC2957" s="87">
        <v>6</v>
      </c>
      <c r="AD2957" s="87"/>
      <c r="AE2957" s="87"/>
      <c r="AF2957" s="87"/>
      <c r="AG2957" s="87"/>
      <c r="AH2957" s="87"/>
      <c r="AI2957" s="87"/>
      <c r="AJ2957" s="87"/>
      <c r="AK2957" s="87"/>
      <c r="AL2957" s="87"/>
      <c r="AM2957" s="87"/>
      <c r="AN2957" s="87"/>
      <c r="AO2957" s="87"/>
      <c r="AP2957" s="87">
        <v>6</v>
      </c>
      <c r="AQ2957" s="87"/>
      <c r="AR2957" s="87"/>
      <c r="AS2957" s="87"/>
      <c r="AT2957" s="87"/>
      <c r="AU2957" s="87"/>
      <c r="AV2957" s="87"/>
      <c r="AW2957" s="88" t="str">
        <f>HYPERLINK("http://www.openstreetmap.org/?mlat=31.0873&amp;mlon=46.2412&amp;zoom=12#map=12/31.0873/46.2412","Maplink1")</f>
        <v>Maplink1</v>
      </c>
      <c r="AX2957" s="88" t="str">
        <f>HYPERLINK("https://www.google.iq/maps/search/+31.0873,46.2412/@31.0873,46.2412,14z?hl=en","Maplink2")</f>
        <v>Maplink2</v>
      </c>
      <c r="AY2957" s="88" t="str">
        <f>HYPERLINK("http://www.bing.com/maps/?lvl=14&amp;sty=h&amp;cp=31.0873~46.2412&amp;sp=point.31.0873_46.2412","Maplink3")</f>
        <v>Maplink3</v>
      </c>
      <c r="AZ2957" s="76"/>
    </row>
    <row r="2958" spans="1:52" x14ac:dyDescent="0.25">
      <c r="A2958" s="86">
        <v>9113</v>
      </c>
      <c r="B2958" s="87" t="s">
        <v>28</v>
      </c>
      <c r="C2958" s="87" t="s">
        <v>5486</v>
      </c>
      <c r="D2958" s="87" t="s">
        <v>5565</v>
      </c>
      <c r="E2958" s="87" t="s">
        <v>5566</v>
      </c>
      <c r="F2958" s="87">
        <v>31.060153968000002</v>
      </c>
      <c r="G2958" s="87">
        <v>46.243325555299997</v>
      </c>
      <c r="H2958" s="86">
        <v>4</v>
      </c>
      <c r="I2958" s="86">
        <v>24</v>
      </c>
      <c r="J2958" s="87">
        <v>1</v>
      </c>
      <c r="K2958" s="87"/>
      <c r="L2958" s="87"/>
      <c r="M2958" s="87"/>
      <c r="N2958" s="87"/>
      <c r="O2958" s="87"/>
      <c r="P2958" s="87"/>
      <c r="Q2958" s="87"/>
      <c r="R2958" s="87">
        <v>3</v>
      </c>
      <c r="S2958" s="87"/>
      <c r="T2958" s="87"/>
      <c r="U2958" s="87"/>
      <c r="V2958" s="87"/>
      <c r="W2958" s="87"/>
      <c r="X2958" s="87"/>
      <c r="Y2958" s="87"/>
      <c r="Z2958" s="87"/>
      <c r="AA2958" s="87"/>
      <c r="AB2958" s="87"/>
      <c r="AC2958" s="87">
        <v>2</v>
      </c>
      <c r="AD2958" s="87"/>
      <c r="AE2958" s="87"/>
      <c r="AF2958" s="87"/>
      <c r="AG2958" s="87"/>
      <c r="AH2958" s="87">
        <v>2</v>
      </c>
      <c r="AI2958" s="87"/>
      <c r="AJ2958" s="87"/>
      <c r="AK2958" s="87"/>
      <c r="AL2958" s="87"/>
      <c r="AM2958" s="87"/>
      <c r="AN2958" s="87"/>
      <c r="AO2958" s="87"/>
      <c r="AP2958" s="87">
        <v>4</v>
      </c>
      <c r="AQ2958" s="87"/>
      <c r="AR2958" s="87"/>
      <c r="AS2958" s="87"/>
      <c r="AT2958" s="87"/>
      <c r="AU2958" s="87"/>
      <c r="AV2958" s="87"/>
      <c r="AW2958" s="88" t="str">
        <f>HYPERLINK("http://www.openstreetmap.org/?mlat=31.0602&amp;mlon=46.2433&amp;zoom=12#map=12/31.0602/46.2433","Maplink1")</f>
        <v>Maplink1</v>
      </c>
      <c r="AX2958" s="88" t="str">
        <f>HYPERLINK("https://www.google.iq/maps/search/+31.0602,46.2433/@31.0602,46.2433,14z?hl=en","Maplink2")</f>
        <v>Maplink2</v>
      </c>
      <c r="AY2958" s="88" t="str">
        <f>HYPERLINK("http://www.bing.com/maps/?lvl=14&amp;sty=h&amp;cp=31.0602~46.2433&amp;sp=point.31.0602_46.2433","Maplink3")</f>
        <v>Maplink3</v>
      </c>
      <c r="AZ2958" s="76"/>
    </row>
    <row r="2959" spans="1:52" x14ac:dyDescent="0.25">
      <c r="A2959" s="86">
        <v>24721</v>
      </c>
      <c r="B2959" s="87" t="s">
        <v>28</v>
      </c>
      <c r="C2959" s="87" t="s">
        <v>5567</v>
      </c>
      <c r="D2959" s="87" t="s">
        <v>5568</v>
      </c>
      <c r="E2959" s="87" t="s">
        <v>5569</v>
      </c>
      <c r="F2959" s="87">
        <v>30.956201633799999</v>
      </c>
      <c r="G2959" s="87">
        <v>46.359501579899998</v>
      </c>
      <c r="H2959" s="86">
        <v>13</v>
      </c>
      <c r="I2959" s="86">
        <v>78</v>
      </c>
      <c r="J2959" s="87"/>
      <c r="K2959" s="87"/>
      <c r="L2959" s="87"/>
      <c r="M2959" s="87"/>
      <c r="N2959" s="87"/>
      <c r="O2959" s="87"/>
      <c r="P2959" s="87"/>
      <c r="Q2959" s="87"/>
      <c r="R2959" s="87">
        <v>6</v>
      </c>
      <c r="S2959" s="87"/>
      <c r="T2959" s="87"/>
      <c r="U2959" s="87"/>
      <c r="V2959" s="87">
        <v>7</v>
      </c>
      <c r="W2959" s="87"/>
      <c r="X2959" s="87"/>
      <c r="Y2959" s="87"/>
      <c r="Z2959" s="87"/>
      <c r="AA2959" s="87"/>
      <c r="AB2959" s="87"/>
      <c r="AC2959" s="87">
        <v>3</v>
      </c>
      <c r="AD2959" s="87"/>
      <c r="AE2959" s="87"/>
      <c r="AF2959" s="87"/>
      <c r="AG2959" s="87"/>
      <c r="AH2959" s="87">
        <v>10</v>
      </c>
      <c r="AI2959" s="87"/>
      <c r="AJ2959" s="87"/>
      <c r="AK2959" s="87"/>
      <c r="AL2959" s="87"/>
      <c r="AM2959" s="87"/>
      <c r="AN2959" s="87"/>
      <c r="AO2959" s="87">
        <v>13</v>
      </c>
      <c r="AP2959" s="87"/>
      <c r="AQ2959" s="87"/>
      <c r="AR2959" s="87"/>
      <c r="AS2959" s="87"/>
      <c r="AT2959" s="87"/>
      <c r="AU2959" s="87"/>
      <c r="AV2959" s="87"/>
      <c r="AW2959" s="88" t="str">
        <f>HYPERLINK("http://www.openstreetmap.org/?mlat=30.9562&amp;mlon=46.3595&amp;zoom=12#map=12/30.9562/46.3595","Maplink1")</f>
        <v>Maplink1</v>
      </c>
      <c r="AX2959" s="88" t="str">
        <f>HYPERLINK("https://www.google.iq/maps/search/+30.9562,46.3595/@30.9562,46.3595,14z?hl=en","Maplink2")</f>
        <v>Maplink2</v>
      </c>
      <c r="AY2959" s="88" t="str">
        <f>HYPERLINK("http://www.bing.com/maps/?lvl=14&amp;sty=h&amp;cp=30.9562~46.3595&amp;sp=point.30.9562_46.3595","Maplink3")</f>
        <v>Maplink3</v>
      </c>
      <c r="AZ2959" s="76"/>
    </row>
    <row r="2960" spans="1:52" x14ac:dyDescent="0.25">
      <c r="A2960" s="86">
        <v>9206</v>
      </c>
      <c r="B2960" s="87" t="s">
        <v>28</v>
      </c>
      <c r="C2960" s="87" t="s">
        <v>5567</v>
      </c>
      <c r="D2960" s="87" t="s">
        <v>5570</v>
      </c>
      <c r="E2960" s="87" t="s">
        <v>5571</v>
      </c>
      <c r="F2960" s="87">
        <v>30.883621789100001</v>
      </c>
      <c r="G2960" s="87">
        <v>46.468149586599999</v>
      </c>
      <c r="H2960" s="86">
        <v>4</v>
      </c>
      <c r="I2960" s="86">
        <v>24</v>
      </c>
      <c r="J2960" s="87"/>
      <c r="K2960" s="87"/>
      <c r="L2960" s="87"/>
      <c r="M2960" s="87"/>
      <c r="N2960" s="87"/>
      <c r="O2960" s="87"/>
      <c r="P2960" s="87"/>
      <c r="Q2960" s="87"/>
      <c r="R2960" s="87">
        <v>2</v>
      </c>
      <c r="S2960" s="87"/>
      <c r="T2960" s="87"/>
      <c r="U2960" s="87"/>
      <c r="V2960" s="87">
        <v>2</v>
      </c>
      <c r="W2960" s="87"/>
      <c r="X2960" s="87"/>
      <c r="Y2960" s="87"/>
      <c r="Z2960" s="87"/>
      <c r="AA2960" s="87"/>
      <c r="AB2960" s="87"/>
      <c r="AC2960" s="87"/>
      <c r="AD2960" s="87"/>
      <c r="AE2960" s="87"/>
      <c r="AF2960" s="87"/>
      <c r="AG2960" s="87"/>
      <c r="AH2960" s="87">
        <v>4</v>
      </c>
      <c r="AI2960" s="87"/>
      <c r="AJ2960" s="87"/>
      <c r="AK2960" s="87"/>
      <c r="AL2960" s="87"/>
      <c r="AM2960" s="87"/>
      <c r="AN2960" s="87"/>
      <c r="AO2960" s="87"/>
      <c r="AP2960" s="87"/>
      <c r="AQ2960" s="87">
        <v>4</v>
      </c>
      <c r="AR2960" s="87"/>
      <c r="AS2960" s="87"/>
      <c r="AT2960" s="87"/>
      <c r="AU2960" s="87"/>
      <c r="AV2960" s="87"/>
      <c r="AW2960" s="88" t="str">
        <f>HYPERLINK("http://www.openstreetmap.org/?mlat=30.8836&amp;mlon=46.4681&amp;zoom=12#map=12/30.8836/46.4681","Maplink1")</f>
        <v>Maplink1</v>
      </c>
      <c r="AX2960" s="88" t="str">
        <f>HYPERLINK("https://www.google.iq/maps/search/+30.8836,46.4681/@30.8836,46.4681,14z?hl=en","Maplink2")</f>
        <v>Maplink2</v>
      </c>
      <c r="AY2960" s="88" t="str">
        <f>HYPERLINK("http://www.bing.com/maps/?lvl=14&amp;sty=h&amp;cp=30.8836~46.4681&amp;sp=point.30.8836_46.4681","Maplink3")</f>
        <v>Maplink3</v>
      </c>
      <c r="AZ2960" s="76"/>
    </row>
    <row r="2961" spans="1:52" x14ac:dyDescent="0.25">
      <c r="A2961" s="86">
        <v>25436</v>
      </c>
      <c r="B2961" s="87" t="s">
        <v>28</v>
      </c>
      <c r="C2961" s="87" t="s">
        <v>5567</v>
      </c>
      <c r="D2961" s="87" t="s">
        <v>5572</v>
      </c>
      <c r="E2961" s="87" t="s">
        <v>5573</v>
      </c>
      <c r="F2961" s="87">
        <v>30.906636502200001</v>
      </c>
      <c r="G2961" s="87">
        <v>46.445979934699999</v>
      </c>
      <c r="H2961" s="86">
        <v>9</v>
      </c>
      <c r="I2961" s="86">
        <v>54</v>
      </c>
      <c r="J2961" s="87"/>
      <c r="K2961" s="87"/>
      <c r="L2961" s="87"/>
      <c r="M2961" s="87"/>
      <c r="N2961" s="87"/>
      <c r="O2961" s="87"/>
      <c r="P2961" s="87"/>
      <c r="Q2961" s="87"/>
      <c r="R2961" s="87">
        <v>2</v>
      </c>
      <c r="S2961" s="87"/>
      <c r="T2961" s="87"/>
      <c r="U2961" s="87"/>
      <c r="V2961" s="87">
        <v>6</v>
      </c>
      <c r="W2961" s="87"/>
      <c r="X2961" s="87">
        <v>1</v>
      </c>
      <c r="Y2961" s="87"/>
      <c r="Z2961" s="87"/>
      <c r="AA2961" s="87"/>
      <c r="AB2961" s="87"/>
      <c r="AC2961" s="87"/>
      <c r="AD2961" s="87"/>
      <c r="AE2961" s="87"/>
      <c r="AF2961" s="87"/>
      <c r="AG2961" s="87"/>
      <c r="AH2961" s="87">
        <v>8</v>
      </c>
      <c r="AI2961" s="87">
        <v>1</v>
      </c>
      <c r="AJ2961" s="87"/>
      <c r="AK2961" s="87"/>
      <c r="AL2961" s="87"/>
      <c r="AM2961" s="87"/>
      <c r="AN2961" s="87"/>
      <c r="AO2961" s="87">
        <v>9</v>
      </c>
      <c r="AP2961" s="87"/>
      <c r="AQ2961" s="87"/>
      <c r="AR2961" s="87"/>
      <c r="AS2961" s="87"/>
      <c r="AT2961" s="87"/>
      <c r="AU2961" s="87"/>
      <c r="AV2961" s="87"/>
      <c r="AW2961" s="88" t="str">
        <f>HYPERLINK("http://www.openstreetmap.org/?mlat=30.9066&amp;mlon=46.446&amp;zoom=12#map=12/30.9066/46.446","Maplink1")</f>
        <v>Maplink1</v>
      </c>
      <c r="AX2961" s="88" t="str">
        <f>HYPERLINK("https://www.google.iq/maps/search/+30.9066,46.446/@30.9066,46.446,14z?hl=en","Maplink2")</f>
        <v>Maplink2</v>
      </c>
      <c r="AY2961" s="88" t="str">
        <f>HYPERLINK("http://www.bing.com/maps/?lvl=14&amp;sty=h&amp;cp=30.9066~46.446&amp;sp=point.30.9066_46.446","Maplink3")</f>
        <v>Maplink3</v>
      </c>
      <c r="AZ2961" s="76"/>
    </row>
    <row r="2962" spans="1:52" x14ac:dyDescent="0.25">
      <c r="A2962" s="86">
        <v>25437</v>
      </c>
      <c r="B2962" s="87" t="s">
        <v>28</v>
      </c>
      <c r="C2962" s="87" t="s">
        <v>5567</v>
      </c>
      <c r="D2962" s="87" t="s">
        <v>5507</v>
      </c>
      <c r="E2962" s="87" t="s">
        <v>5574</v>
      </c>
      <c r="F2962" s="87">
        <v>30.888556274700001</v>
      </c>
      <c r="G2962" s="87">
        <v>46.450200042200002</v>
      </c>
      <c r="H2962" s="86">
        <v>5</v>
      </c>
      <c r="I2962" s="86">
        <v>30</v>
      </c>
      <c r="J2962" s="87">
        <v>2</v>
      </c>
      <c r="K2962" s="87"/>
      <c r="L2962" s="87"/>
      <c r="M2962" s="87"/>
      <c r="N2962" s="87"/>
      <c r="O2962" s="87"/>
      <c r="P2962" s="87"/>
      <c r="Q2962" s="87"/>
      <c r="R2962" s="87">
        <v>3</v>
      </c>
      <c r="S2962" s="87"/>
      <c r="T2962" s="87"/>
      <c r="U2962" s="87"/>
      <c r="V2962" s="87"/>
      <c r="W2962" s="87"/>
      <c r="X2962" s="87"/>
      <c r="Y2962" s="87"/>
      <c r="Z2962" s="87"/>
      <c r="AA2962" s="87"/>
      <c r="AB2962" s="87"/>
      <c r="AC2962" s="87"/>
      <c r="AD2962" s="87"/>
      <c r="AE2962" s="87"/>
      <c r="AF2962" s="87"/>
      <c r="AG2962" s="87"/>
      <c r="AH2962" s="87">
        <v>5</v>
      </c>
      <c r="AI2962" s="87"/>
      <c r="AJ2962" s="87"/>
      <c r="AK2962" s="87"/>
      <c r="AL2962" s="87"/>
      <c r="AM2962" s="87"/>
      <c r="AN2962" s="87"/>
      <c r="AO2962" s="87"/>
      <c r="AP2962" s="87">
        <v>4</v>
      </c>
      <c r="AQ2962" s="87"/>
      <c r="AR2962" s="87"/>
      <c r="AS2962" s="87"/>
      <c r="AT2962" s="87">
        <v>1</v>
      </c>
      <c r="AU2962" s="87"/>
      <c r="AV2962" s="87"/>
      <c r="AW2962" s="88" t="str">
        <f>HYPERLINK("http://www.openstreetmap.org/?mlat=30.8886&amp;mlon=46.4502&amp;zoom=12#map=12/30.8886/46.4502","Maplink1")</f>
        <v>Maplink1</v>
      </c>
      <c r="AX2962" s="88" t="str">
        <f>HYPERLINK("https://www.google.iq/maps/search/+30.8886,46.4502/@30.8886,46.4502,14z?hl=en","Maplink2")</f>
        <v>Maplink2</v>
      </c>
      <c r="AY2962" s="88" t="str">
        <f>HYPERLINK("http://www.bing.com/maps/?lvl=14&amp;sty=h&amp;cp=30.8886~46.4502&amp;sp=point.30.8886_46.4502","Maplink3")</f>
        <v>Maplink3</v>
      </c>
      <c r="AZ2962" s="76"/>
    </row>
    <row r="2963" spans="1:52" x14ac:dyDescent="0.25">
      <c r="A2963" s="86">
        <v>33810</v>
      </c>
      <c r="B2963" s="87" t="s">
        <v>28</v>
      </c>
      <c r="C2963" s="87" t="s">
        <v>5567</v>
      </c>
      <c r="D2963" s="87" t="s">
        <v>5856</v>
      </c>
      <c r="E2963" s="87" t="s">
        <v>5857</v>
      </c>
      <c r="F2963" s="87">
        <v>30.880875</v>
      </c>
      <c r="G2963" s="87">
        <v>46.576391999999998</v>
      </c>
      <c r="H2963" s="86">
        <v>10</v>
      </c>
      <c r="I2963" s="86">
        <v>60</v>
      </c>
      <c r="J2963" s="87"/>
      <c r="K2963" s="87"/>
      <c r="L2963" s="87">
        <v>1</v>
      </c>
      <c r="M2963" s="87"/>
      <c r="N2963" s="87"/>
      <c r="O2963" s="87"/>
      <c r="P2963" s="87"/>
      <c r="Q2963" s="87"/>
      <c r="R2963" s="87">
        <v>2</v>
      </c>
      <c r="S2963" s="87"/>
      <c r="T2963" s="87"/>
      <c r="U2963" s="87"/>
      <c r="V2963" s="87">
        <v>7</v>
      </c>
      <c r="W2963" s="87"/>
      <c r="X2963" s="87"/>
      <c r="Y2963" s="87"/>
      <c r="Z2963" s="87"/>
      <c r="AA2963" s="87"/>
      <c r="AB2963" s="87"/>
      <c r="AC2963" s="87">
        <v>6</v>
      </c>
      <c r="AD2963" s="87"/>
      <c r="AE2963" s="87"/>
      <c r="AF2963" s="87"/>
      <c r="AG2963" s="87"/>
      <c r="AH2963" s="87">
        <v>4</v>
      </c>
      <c r="AI2963" s="87"/>
      <c r="AJ2963" s="87"/>
      <c r="AK2963" s="87"/>
      <c r="AL2963" s="87"/>
      <c r="AM2963" s="87"/>
      <c r="AN2963" s="87">
        <v>1</v>
      </c>
      <c r="AO2963" s="87">
        <v>7</v>
      </c>
      <c r="AP2963" s="87">
        <v>2</v>
      </c>
      <c r="AQ2963" s="87"/>
      <c r="AR2963" s="87"/>
      <c r="AS2963" s="87"/>
      <c r="AT2963" s="87"/>
      <c r="AU2963" s="87"/>
      <c r="AV2963" s="87"/>
      <c r="AW2963" s="88" t="str">
        <f>HYPERLINK("http://www.openstreetmap.org/?mlat=30.8809&amp;mlon=46.5764&amp;zoom=12#map=12/30.8809/46.5764","Maplink1")</f>
        <v>Maplink1</v>
      </c>
      <c r="AX2963" s="88" t="str">
        <f>HYPERLINK("https://www.google.iq/maps/search/+30.8809,46.5764/@30.8809,46.5764,14z?hl=en","Maplink2")</f>
        <v>Maplink2</v>
      </c>
      <c r="AY2963" s="88" t="str">
        <f>HYPERLINK("http://www.bing.com/maps/?lvl=14&amp;sty=h&amp;cp=30.8809~46.5764&amp;sp=point.30.8809_46.5764","Maplink3")</f>
        <v>Maplink3</v>
      </c>
      <c r="AZ2963" s="76"/>
    </row>
    <row r="2964" spans="1:52" x14ac:dyDescent="0.25">
      <c r="A2964" s="86">
        <v>9328</v>
      </c>
      <c r="B2964" s="87" t="s">
        <v>28</v>
      </c>
      <c r="C2964" s="87" t="s">
        <v>5567</v>
      </c>
      <c r="D2964" s="87" t="s">
        <v>5575</v>
      </c>
      <c r="E2964" s="87" t="s">
        <v>55</v>
      </c>
      <c r="F2964" s="87">
        <v>30.9011745066</v>
      </c>
      <c r="G2964" s="87">
        <v>46.449637276099999</v>
      </c>
      <c r="H2964" s="86">
        <v>16</v>
      </c>
      <c r="I2964" s="86">
        <v>96</v>
      </c>
      <c r="J2964" s="87"/>
      <c r="K2964" s="87"/>
      <c r="L2964" s="87"/>
      <c r="M2964" s="87"/>
      <c r="N2964" s="87"/>
      <c r="O2964" s="87"/>
      <c r="P2964" s="87"/>
      <c r="Q2964" s="87"/>
      <c r="R2964" s="87"/>
      <c r="S2964" s="87"/>
      <c r="T2964" s="87"/>
      <c r="U2964" s="87"/>
      <c r="V2964" s="87">
        <v>16</v>
      </c>
      <c r="W2964" s="87"/>
      <c r="X2964" s="87"/>
      <c r="Y2964" s="87"/>
      <c r="Z2964" s="87"/>
      <c r="AA2964" s="87"/>
      <c r="AB2964" s="87"/>
      <c r="AC2964" s="87">
        <v>5</v>
      </c>
      <c r="AD2964" s="87"/>
      <c r="AE2964" s="87"/>
      <c r="AF2964" s="87"/>
      <c r="AG2964" s="87"/>
      <c r="AH2964" s="87">
        <v>11</v>
      </c>
      <c r="AI2964" s="87"/>
      <c r="AJ2964" s="87"/>
      <c r="AK2964" s="87"/>
      <c r="AL2964" s="87"/>
      <c r="AM2964" s="87"/>
      <c r="AN2964" s="87"/>
      <c r="AO2964" s="87">
        <v>11</v>
      </c>
      <c r="AP2964" s="87"/>
      <c r="AQ2964" s="87"/>
      <c r="AR2964" s="87"/>
      <c r="AS2964" s="87"/>
      <c r="AT2964" s="87">
        <v>5</v>
      </c>
      <c r="AU2964" s="87"/>
      <c r="AV2964" s="87"/>
      <c r="AW2964" s="88" t="str">
        <f>HYPERLINK("http://www.openstreetmap.org/?mlat=30.9012&amp;mlon=46.4496&amp;zoom=12#map=12/30.9012/46.4496","Maplink1")</f>
        <v>Maplink1</v>
      </c>
      <c r="AX2964" s="88" t="str">
        <f>HYPERLINK("https://www.google.iq/maps/search/+30.9012,46.4496/@30.9012,46.4496,14z?hl=en","Maplink2")</f>
        <v>Maplink2</v>
      </c>
      <c r="AY2964" s="88" t="str">
        <f>HYPERLINK("http://www.bing.com/maps/?lvl=14&amp;sty=h&amp;cp=30.9012~46.4496&amp;sp=point.30.9012_46.4496","Maplink3")</f>
        <v>Maplink3</v>
      </c>
      <c r="AZ2964" s="76"/>
    </row>
    <row r="2965" spans="1:52" x14ac:dyDescent="0.25">
      <c r="A2965" s="86">
        <v>9332</v>
      </c>
      <c r="B2965" s="87" t="s">
        <v>28</v>
      </c>
      <c r="C2965" s="87" t="s">
        <v>5567</v>
      </c>
      <c r="D2965" s="87" t="s">
        <v>5576</v>
      </c>
      <c r="E2965" s="87" t="s">
        <v>208</v>
      </c>
      <c r="F2965" s="87">
        <v>30.879031632699999</v>
      </c>
      <c r="G2965" s="87">
        <v>46.464224314600003</v>
      </c>
      <c r="H2965" s="86">
        <v>12</v>
      </c>
      <c r="I2965" s="86">
        <v>72</v>
      </c>
      <c r="J2965" s="87">
        <v>3</v>
      </c>
      <c r="K2965" s="87"/>
      <c r="L2965" s="87"/>
      <c r="M2965" s="87"/>
      <c r="N2965" s="87"/>
      <c r="O2965" s="87">
        <v>2</v>
      </c>
      <c r="P2965" s="87"/>
      <c r="Q2965" s="87"/>
      <c r="R2965" s="87"/>
      <c r="S2965" s="87"/>
      <c r="T2965" s="87"/>
      <c r="U2965" s="87"/>
      <c r="V2965" s="87">
        <v>7</v>
      </c>
      <c r="W2965" s="87"/>
      <c r="X2965" s="87"/>
      <c r="Y2965" s="87"/>
      <c r="Z2965" s="87"/>
      <c r="AA2965" s="87"/>
      <c r="AB2965" s="87"/>
      <c r="AC2965" s="87"/>
      <c r="AD2965" s="87"/>
      <c r="AE2965" s="87"/>
      <c r="AF2965" s="87"/>
      <c r="AG2965" s="87"/>
      <c r="AH2965" s="87">
        <v>12</v>
      </c>
      <c r="AI2965" s="87"/>
      <c r="AJ2965" s="87"/>
      <c r="AK2965" s="87"/>
      <c r="AL2965" s="87"/>
      <c r="AM2965" s="87"/>
      <c r="AN2965" s="87"/>
      <c r="AO2965" s="87">
        <v>7</v>
      </c>
      <c r="AP2965" s="87">
        <v>5</v>
      </c>
      <c r="AQ2965" s="87"/>
      <c r="AR2965" s="87"/>
      <c r="AS2965" s="87"/>
      <c r="AT2965" s="87"/>
      <c r="AU2965" s="87"/>
      <c r="AV2965" s="87"/>
      <c r="AW2965" s="88" t="str">
        <f>HYPERLINK("http://www.openstreetmap.org/?mlat=30.879&amp;mlon=46.4642&amp;zoom=12#map=12/30.879/46.4642","Maplink1")</f>
        <v>Maplink1</v>
      </c>
      <c r="AX2965" s="88" t="str">
        <f>HYPERLINK("https://www.google.iq/maps/search/+30.879,46.4642/@30.879,46.4642,14z?hl=en","Maplink2")</f>
        <v>Maplink2</v>
      </c>
      <c r="AY2965" s="88" t="str">
        <f>HYPERLINK("http://www.bing.com/maps/?lvl=14&amp;sty=h&amp;cp=30.879~46.4642&amp;sp=point.30.879_46.4642","Maplink3")</f>
        <v>Maplink3</v>
      </c>
      <c r="AZ2965" s="76"/>
    </row>
    <row r="2966" spans="1:52" x14ac:dyDescent="0.25">
      <c r="A2966" s="86">
        <v>33811</v>
      </c>
      <c r="B2966" s="87" t="s">
        <v>28</v>
      </c>
      <c r="C2966" s="87" t="s">
        <v>5567</v>
      </c>
      <c r="D2966" s="87" t="s">
        <v>5840</v>
      </c>
      <c r="E2966" s="87" t="s">
        <v>55</v>
      </c>
      <c r="F2966" s="87">
        <v>30.882387999999999</v>
      </c>
      <c r="G2966" s="87">
        <v>46.568722000000001</v>
      </c>
      <c r="H2966" s="86">
        <v>5</v>
      </c>
      <c r="I2966" s="86">
        <v>30</v>
      </c>
      <c r="J2966" s="87"/>
      <c r="K2966" s="87"/>
      <c r="L2966" s="87"/>
      <c r="M2966" s="87"/>
      <c r="N2966" s="87"/>
      <c r="O2966" s="87"/>
      <c r="P2966" s="87"/>
      <c r="Q2966" s="87"/>
      <c r="R2966" s="87">
        <v>1</v>
      </c>
      <c r="S2966" s="87"/>
      <c r="T2966" s="87"/>
      <c r="U2966" s="87"/>
      <c r="V2966" s="87">
        <v>4</v>
      </c>
      <c r="W2966" s="87"/>
      <c r="X2966" s="87"/>
      <c r="Y2966" s="87"/>
      <c r="Z2966" s="87"/>
      <c r="AA2966" s="87"/>
      <c r="AB2966" s="87"/>
      <c r="AC2966" s="87"/>
      <c r="AD2966" s="87"/>
      <c r="AE2966" s="87"/>
      <c r="AF2966" s="87"/>
      <c r="AG2966" s="87"/>
      <c r="AH2966" s="87">
        <v>5</v>
      </c>
      <c r="AI2966" s="87"/>
      <c r="AJ2966" s="87"/>
      <c r="AK2966" s="87"/>
      <c r="AL2966" s="87"/>
      <c r="AM2966" s="87"/>
      <c r="AN2966" s="87"/>
      <c r="AO2966" s="87">
        <v>4</v>
      </c>
      <c r="AP2966" s="87">
        <v>1</v>
      </c>
      <c r="AQ2966" s="87"/>
      <c r="AR2966" s="87"/>
      <c r="AS2966" s="87"/>
      <c r="AT2966" s="87"/>
      <c r="AU2966" s="87"/>
      <c r="AV2966" s="87"/>
      <c r="AW2966" s="88" t="str">
        <f>HYPERLINK("http://www.openstreetmap.org/?mlat=30.8824&amp;mlon=46.5687&amp;zoom=12#map=12/30.8824/46.5687","Maplink1")</f>
        <v>Maplink1</v>
      </c>
      <c r="AX2966" s="88" t="str">
        <f>HYPERLINK("https://www.google.iq/maps/search/+30.8824,46.5687/@30.8824,46.5687,14z?hl=en","Maplink2")</f>
        <v>Maplink2</v>
      </c>
      <c r="AY2966" s="88" t="str">
        <f>HYPERLINK("http://www.bing.com/maps/?lvl=14&amp;sty=h&amp;cp=30.8824~46.5687&amp;sp=point.30.8824_46.5687","Maplink3")</f>
        <v>Maplink3</v>
      </c>
      <c r="AZ2966" s="76"/>
    </row>
    <row r="2967" spans="1:52" x14ac:dyDescent="0.25">
      <c r="A2967" s="86">
        <v>33809</v>
      </c>
      <c r="B2967" s="87" t="s">
        <v>28</v>
      </c>
      <c r="C2967" s="87" t="s">
        <v>5567</v>
      </c>
      <c r="D2967" s="87" t="s">
        <v>5840</v>
      </c>
      <c r="E2967" s="87" t="s">
        <v>55</v>
      </c>
      <c r="F2967" s="87">
        <v>30.914428999999998</v>
      </c>
      <c r="G2967" s="87">
        <v>46.47878</v>
      </c>
      <c r="H2967" s="86">
        <v>7</v>
      </c>
      <c r="I2967" s="86">
        <v>42</v>
      </c>
      <c r="J2967" s="87"/>
      <c r="K2967" s="87">
        <v>1</v>
      </c>
      <c r="L2967" s="87"/>
      <c r="M2967" s="87"/>
      <c r="N2967" s="87"/>
      <c r="O2967" s="87"/>
      <c r="P2967" s="87"/>
      <c r="Q2967" s="87"/>
      <c r="R2967" s="87">
        <v>1</v>
      </c>
      <c r="S2967" s="87"/>
      <c r="T2967" s="87"/>
      <c r="U2967" s="87"/>
      <c r="V2967" s="87">
        <v>5</v>
      </c>
      <c r="W2967" s="87"/>
      <c r="X2967" s="87"/>
      <c r="Y2967" s="87"/>
      <c r="Z2967" s="87"/>
      <c r="AA2967" s="87"/>
      <c r="AB2967" s="87"/>
      <c r="AC2967" s="87"/>
      <c r="AD2967" s="87"/>
      <c r="AE2967" s="87"/>
      <c r="AF2967" s="87"/>
      <c r="AG2967" s="87"/>
      <c r="AH2967" s="87">
        <v>7</v>
      </c>
      <c r="AI2967" s="87"/>
      <c r="AJ2967" s="87"/>
      <c r="AK2967" s="87"/>
      <c r="AL2967" s="87"/>
      <c r="AM2967" s="87"/>
      <c r="AN2967" s="87"/>
      <c r="AO2967" s="87">
        <v>7</v>
      </c>
      <c r="AP2967" s="87"/>
      <c r="AQ2967" s="87"/>
      <c r="AR2967" s="87"/>
      <c r="AS2967" s="87"/>
      <c r="AT2967" s="87"/>
      <c r="AU2967" s="87"/>
      <c r="AV2967" s="87"/>
      <c r="AW2967" s="88" t="str">
        <f>HYPERLINK("http://www.openstreetmap.org/?mlat=30.9144&amp;mlon=46.4788&amp;zoom=12#map=12/30.9144/46.4788","Maplink1")</f>
        <v>Maplink1</v>
      </c>
      <c r="AX2967" s="88" t="str">
        <f>HYPERLINK("https://www.google.iq/maps/search/+30.9144,46.4788/@30.9144,46.4788,14z?hl=en","Maplink2")</f>
        <v>Maplink2</v>
      </c>
      <c r="AY2967" s="88" t="str">
        <f>HYPERLINK("http://www.bing.com/maps/?lvl=14&amp;sty=h&amp;cp=30.9144~46.4788&amp;sp=point.30.9144_46.4788","Maplink3")</f>
        <v>Maplink3</v>
      </c>
      <c r="AZ2967" s="76"/>
    </row>
    <row r="2968" spans="1:52" x14ac:dyDescent="0.25">
      <c r="A2968" s="86">
        <v>24783</v>
      </c>
      <c r="B2968" s="87" t="s">
        <v>28</v>
      </c>
      <c r="C2968" s="87" t="s">
        <v>5567</v>
      </c>
      <c r="D2968" s="87" t="s">
        <v>5577</v>
      </c>
      <c r="E2968" s="87" t="s">
        <v>5578</v>
      </c>
      <c r="F2968" s="87">
        <v>30.884376786400001</v>
      </c>
      <c r="G2968" s="87">
        <v>46.465677047100002</v>
      </c>
      <c r="H2968" s="86">
        <v>2</v>
      </c>
      <c r="I2968" s="86">
        <v>12</v>
      </c>
      <c r="J2968" s="87"/>
      <c r="K2968" s="87"/>
      <c r="L2968" s="87"/>
      <c r="M2968" s="87"/>
      <c r="N2968" s="87"/>
      <c r="O2968" s="87"/>
      <c r="P2968" s="87"/>
      <c r="Q2968" s="87"/>
      <c r="R2968" s="87"/>
      <c r="S2968" s="87"/>
      <c r="T2968" s="87"/>
      <c r="U2968" s="87"/>
      <c r="V2968" s="87">
        <v>2</v>
      </c>
      <c r="W2968" s="87"/>
      <c r="X2968" s="87"/>
      <c r="Y2968" s="87"/>
      <c r="Z2968" s="87"/>
      <c r="AA2968" s="87"/>
      <c r="AB2968" s="87"/>
      <c r="AC2968" s="87"/>
      <c r="AD2968" s="87"/>
      <c r="AE2968" s="87"/>
      <c r="AF2968" s="87"/>
      <c r="AG2968" s="87"/>
      <c r="AH2968" s="87">
        <v>2</v>
      </c>
      <c r="AI2968" s="87"/>
      <c r="AJ2968" s="87"/>
      <c r="AK2968" s="87"/>
      <c r="AL2968" s="87"/>
      <c r="AM2968" s="87"/>
      <c r="AN2968" s="87"/>
      <c r="AO2968" s="87"/>
      <c r="AP2968" s="87"/>
      <c r="AQ2968" s="87">
        <v>2</v>
      </c>
      <c r="AR2968" s="87"/>
      <c r="AS2968" s="87"/>
      <c r="AT2968" s="87"/>
      <c r="AU2968" s="87"/>
      <c r="AV2968" s="87"/>
      <c r="AW2968" s="88" t="str">
        <f>HYPERLINK("http://www.openstreetmap.org/?mlat=30.8844&amp;mlon=46.4657&amp;zoom=12#map=12/30.8844/46.4657","Maplink1")</f>
        <v>Maplink1</v>
      </c>
      <c r="AX2968" s="88" t="str">
        <f>HYPERLINK("https://www.google.iq/maps/search/+30.8844,46.4657/@30.8844,46.4657,14z?hl=en","Maplink2")</f>
        <v>Maplink2</v>
      </c>
      <c r="AY2968" s="88" t="str">
        <f>HYPERLINK("http://www.bing.com/maps/?lvl=14&amp;sty=h&amp;cp=30.8844~46.4657&amp;sp=point.30.8844_46.4657","Maplink3")</f>
        <v>Maplink3</v>
      </c>
      <c r="AZ2968" s="76"/>
    </row>
    <row r="2969" spans="1:52" x14ac:dyDescent="0.25">
      <c r="A2969" s="86">
        <v>9261</v>
      </c>
      <c r="B2969" s="87" t="s">
        <v>28</v>
      </c>
      <c r="C2969" s="87" t="s">
        <v>5567</v>
      </c>
      <c r="D2969" s="87" t="s">
        <v>5579</v>
      </c>
      <c r="E2969" s="87" t="s">
        <v>410</v>
      </c>
      <c r="F2969" s="87">
        <v>30.885581129199998</v>
      </c>
      <c r="G2969" s="87">
        <v>46.460596602099997</v>
      </c>
      <c r="H2969" s="86">
        <v>5</v>
      </c>
      <c r="I2969" s="86">
        <v>30</v>
      </c>
      <c r="J2969" s="87"/>
      <c r="K2969" s="87"/>
      <c r="L2969" s="87">
        <v>1</v>
      </c>
      <c r="M2969" s="87"/>
      <c r="N2969" s="87"/>
      <c r="O2969" s="87"/>
      <c r="P2969" s="87"/>
      <c r="Q2969" s="87"/>
      <c r="R2969" s="87"/>
      <c r="S2969" s="87"/>
      <c r="T2969" s="87"/>
      <c r="U2969" s="87"/>
      <c r="V2969" s="87">
        <v>4</v>
      </c>
      <c r="W2969" s="87"/>
      <c r="X2969" s="87"/>
      <c r="Y2969" s="87"/>
      <c r="Z2969" s="87"/>
      <c r="AA2969" s="87"/>
      <c r="AB2969" s="87"/>
      <c r="AC2969" s="87"/>
      <c r="AD2969" s="87"/>
      <c r="AE2969" s="87"/>
      <c r="AF2969" s="87"/>
      <c r="AG2969" s="87"/>
      <c r="AH2969" s="87">
        <v>5</v>
      </c>
      <c r="AI2969" s="87"/>
      <c r="AJ2969" s="87"/>
      <c r="AK2969" s="87"/>
      <c r="AL2969" s="87"/>
      <c r="AM2969" s="87"/>
      <c r="AN2969" s="87">
        <v>2</v>
      </c>
      <c r="AO2969" s="87"/>
      <c r="AP2969" s="87">
        <v>3</v>
      </c>
      <c r="AQ2969" s="87"/>
      <c r="AR2969" s="87"/>
      <c r="AS2969" s="87"/>
      <c r="AT2969" s="87"/>
      <c r="AU2969" s="87"/>
      <c r="AV2969" s="87"/>
      <c r="AW2969" s="88" t="str">
        <f>HYPERLINK("http://www.openstreetmap.org/?mlat=30.8856&amp;mlon=46.4606&amp;zoom=12#map=12/30.8856/46.4606","Maplink1")</f>
        <v>Maplink1</v>
      </c>
      <c r="AX2969" s="88" t="str">
        <f>HYPERLINK("https://www.google.iq/maps/search/+30.8856,46.4606/@30.8856,46.4606,14z?hl=en","Maplink2")</f>
        <v>Maplink2</v>
      </c>
      <c r="AY2969" s="88" t="str">
        <f>HYPERLINK("http://www.bing.com/maps/?lvl=14&amp;sty=h&amp;cp=30.8856~46.4606&amp;sp=point.30.8856_46.4606","Maplink3")</f>
        <v>Maplink3</v>
      </c>
      <c r="AZ2969" s="76"/>
    </row>
    <row r="2970" spans="1:52" x14ac:dyDescent="0.25">
      <c r="A2970" s="86">
        <v>9258</v>
      </c>
      <c r="B2970" s="87" t="s">
        <v>28</v>
      </c>
      <c r="C2970" s="87" t="s">
        <v>5567</v>
      </c>
      <c r="D2970" s="87" t="s">
        <v>5580</v>
      </c>
      <c r="E2970" s="87" t="s">
        <v>1353</v>
      </c>
      <c r="F2970" s="87">
        <v>30.901869618300001</v>
      </c>
      <c r="G2970" s="87">
        <v>46.458244977299998</v>
      </c>
      <c r="H2970" s="86">
        <v>6</v>
      </c>
      <c r="I2970" s="86">
        <v>36</v>
      </c>
      <c r="J2970" s="87"/>
      <c r="K2970" s="87"/>
      <c r="L2970" s="87"/>
      <c r="M2970" s="87"/>
      <c r="N2970" s="87"/>
      <c r="O2970" s="87"/>
      <c r="P2970" s="87"/>
      <c r="Q2970" s="87"/>
      <c r="R2970" s="87">
        <v>3</v>
      </c>
      <c r="S2970" s="87"/>
      <c r="T2970" s="87"/>
      <c r="U2970" s="87"/>
      <c r="V2970" s="87">
        <v>3</v>
      </c>
      <c r="W2970" s="87"/>
      <c r="X2970" s="87"/>
      <c r="Y2970" s="87"/>
      <c r="Z2970" s="87"/>
      <c r="AA2970" s="87"/>
      <c r="AB2970" s="87"/>
      <c r="AC2970" s="87"/>
      <c r="AD2970" s="87"/>
      <c r="AE2970" s="87"/>
      <c r="AF2970" s="87"/>
      <c r="AG2970" s="87"/>
      <c r="AH2970" s="87">
        <v>6</v>
      </c>
      <c r="AI2970" s="87"/>
      <c r="AJ2970" s="87"/>
      <c r="AK2970" s="87"/>
      <c r="AL2970" s="87"/>
      <c r="AM2970" s="87"/>
      <c r="AN2970" s="87"/>
      <c r="AO2970" s="87"/>
      <c r="AP2970" s="87">
        <v>6</v>
      </c>
      <c r="AQ2970" s="87"/>
      <c r="AR2970" s="87"/>
      <c r="AS2970" s="87"/>
      <c r="AT2970" s="87"/>
      <c r="AU2970" s="87"/>
      <c r="AV2970" s="87"/>
      <c r="AW2970" s="88" t="str">
        <f>HYPERLINK("http://www.openstreetmap.org/?mlat=30.9019&amp;mlon=46.4582&amp;zoom=12#map=12/30.9019/46.4582","Maplink1")</f>
        <v>Maplink1</v>
      </c>
      <c r="AX2970" s="88" t="str">
        <f>HYPERLINK("https://www.google.iq/maps/search/+30.9019,46.4582/@30.9019,46.4582,14z?hl=en","Maplink2")</f>
        <v>Maplink2</v>
      </c>
      <c r="AY2970" s="88" t="str">
        <f>HYPERLINK("http://www.bing.com/maps/?lvl=14&amp;sty=h&amp;cp=30.9019~46.4582&amp;sp=point.30.9019_46.4582","Maplink3")</f>
        <v>Maplink3</v>
      </c>
      <c r="AZ2970" s="76"/>
    </row>
    <row r="2971" spans="1:52" x14ac:dyDescent="0.25">
      <c r="A2971" s="86">
        <v>22361</v>
      </c>
      <c r="B2971" s="87" t="s">
        <v>29</v>
      </c>
      <c r="C2971" s="87" t="s">
        <v>5581</v>
      </c>
      <c r="D2971" s="87" t="s">
        <v>5582</v>
      </c>
      <c r="E2971" s="87" t="s">
        <v>5583</v>
      </c>
      <c r="F2971" s="87">
        <v>32.910202684700003</v>
      </c>
      <c r="G2971" s="87">
        <v>45.044923400000002</v>
      </c>
      <c r="H2971" s="86">
        <v>14</v>
      </c>
      <c r="I2971" s="86">
        <v>84</v>
      </c>
      <c r="J2971" s="87"/>
      <c r="K2971" s="87"/>
      <c r="L2971" s="87"/>
      <c r="M2971" s="87"/>
      <c r="N2971" s="87"/>
      <c r="O2971" s="87"/>
      <c r="P2971" s="87"/>
      <c r="Q2971" s="87"/>
      <c r="R2971" s="87"/>
      <c r="S2971" s="87"/>
      <c r="T2971" s="87"/>
      <c r="U2971" s="87"/>
      <c r="V2971" s="87">
        <v>14</v>
      </c>
      <c r="W2971" s="87"/>
      <c r="X2971" s="87"/>
      <c r="Y2971" s="87"/>
      <c r="Z2971" s="87"/>
      <c r="AA2971" s="87"/>
      <c r="AB2971" s="87"/>
      <c r="AC2971" s="87"/>
      <c r="AD2971" s="87"/>
      <c r="AE2971" s="87"/>
      <c r="AF2971" s="87"/>
      <c r="AG2971" s="87"/>
      <c r="AH2971" s="87">
        <v>14</v>
      </c>
      <c r="AI2971" s="87"/>
      <c r="AJ2971" s="87"/>
      <c r="AK2971" s="87"/>
      <c r="AL2971" s="87"/>
      <c r="AM2971" s="87"/>
      <c r="AN2971" s="87"/>
      <c r="AO2971" s="87">
        <v>14</v>
      </c>
      <c r="AP2971" s="87"/>
      <c r="AQ2971" s="87"/>
      <c r="AR2971" s="87"/>
      <c r="AS2971" s="87"/>
      <c r="AT2971" s="87"/>
      <c r="AU2971" s="87"/>
      <c r="AV2971" s="87"/>
      <c r="AW2971" s="88" t="str">
        <f>HYPERLINK("http://www.openstreetmap.org/?mlat=32.9102&amp;mlon=45.0449&amp;zoom=12#map=12/32.9102/45.0449","Maplink1")</f>
        <v>Maplink1</v>
      </c>
      <c r="AX2971" s="88" t="str">
        <f>HYPERLINK("https://www.google.iq/maps/search/+32.9102,45.0449/@32.9102,45.0449,14z?hl=en","Maplink2")</f>
        <v>Maplink2</v>
      </c>
      <c r="AY2971" s="88" t="str">
        <f>HYPERLINK("http://www.bing.com/maps/?lvl=14&amp;sty=h&amp;cp=32.9102~45.0449&amp;sp=point.32.9102_45.0449","Maplink3")</f>
        <v>Maplink3</v>
      </c>
      <c r="AZ2971" s="76"/>
    </row>
    <row r="2972" spans="1:52" x14ac:dyDescent="0.25">
      <c r="A2972" s="86">
        <v>24858</v>
      </c>
      <c r="B2972" s="87" t="s">
        <v>29</v>
      </c>
      <c r="C2972" s="87" t="s">
        <v>5581</v>
      </c>
      <c r="D2972" s="87" t="s">
        <v>5584</v>
      </c>
      <c r="E2972" s="87" t="s">
        <v>5585</v>
      </c>
      <c r="F2972" s="87">
        <v>32.9061597707</v>
      </c>
      <c r="G2972" s="87">
        <v>45.056934300000002</v>
      </c>
      <c r="H2972" s="86">
        <v>14</v>
      </c>
      <c r="I2972" s="86">
        <v>84</v>
      </c>
      <c r="J2972" s="87"/>
      <c r="K2972" s="87"/>
      <c r="L2972" s="87"/>
      <c r="M2972" s="87"/>
      <c r="N2972" s="87"/>
      <c r="O2972" s="87"/>
      <c r="P2972" s="87"/>
      <c r="Q2972" s="87"/>
      <c r="R2972" s="87"/>
      <c r="S2972" s="87"/>
      <c r="T2972" s="87"/>
      <c r="U2972" s="87"/>
      <c r="V2972" s="87">
        <v>14</v>
      </c>
      <c r="W2972" s="87"/>
      <c r="X2972" s="87"/>
      <c r="Y2972" s="87"/>
      <c r="Z2972" s="87"/>
      <c r="AA2972" s="87"/>
      <c r="AB2972" s="87"/>
      <c r="AC2972" s="87"/>
      <c r="AD2972" s="87"/>
      <c r="AE2972" s="87"/>
      <c r="AF2972" s="87"/>
      <c r="AG2972" s="87"/>
      <c r="AH2972" s="87">
        <v>14</v>
      </c>
      <c r="AI2972" s="87"/>
      <c r="AJ2972" s="87"/>
      <c r="AK2972" s="87"/>
      <c r="AL2972" s="87"/>
      <c r="AM2972" s="87"/>
      <c r="AN2972" s="87"/>
      <c r="AO2972" s="87">
        <v>14</v>
      </c>
      <c r="AP2972" s="87"/>
      <c r="AQ2972" s="87"/>
      <c r="AR2972" s="87"/>
      <c r="AS2972" s="87"/>
      <c r="AT2972" s="87"/>
      <c r="AU2972" s="87"/>
      <c r="AV2972" s="87"/>
      <c r="AW2972" s="88" t="str">
        <f>HYPERLINK("http://www.openstreetmap.org/?mlat=32.9062&amp;mlon=45.0569&amp;zoom=12#map=12/32.9062/45.0569","Maplink1")</f>
        <v>Maplink1</v>
      </c>
      <c r="AX2972" s="88" t="str">
        <f>HYPERLINK("https://www.google.iq/maps/search/+32.9062,45.0569/@32.9062,45.0569,14z?hl=en","Maplink2")</f>
        <v>Maplink2</v>
      </c>
      <c r="AY2972" s="88" t="str">
        <f>HYPERLINK("http://www.bing.com/maps/?lvl=14&amp;sty=h&amp;cp=32.9062~45.0569&amp;sp=point.32.9062_45.0569","Maplink3")</f>
        <v>Maplink3</v>
      </c>
      <c r="AZ2972" s="76"/>
    </row>
    <row r="2973" spans="1:52" x14ac:dyDescent="0.25">
      <c r="A2973" s="86">
        <v>21043</v>
      </c>
      <c r="B2973" s="87" t="s">
        <v>29</v>
      </c>
      <c r="C2973" s="87" t="s">
        <v>5581</v>
      </c>
      <c r="D2973" s="87" t="s">
        <v>5586</v>
      </c>
      <c r="E2973" s="87" t="s">
        <v>5587</v>
      </c>
      <c r="F2973" s="87">
        <v>32.746336157099996</v>
      </c>
      <c r="G2973" s="87">
        <v>45.301434</v>
      </c>
      <c r="H2973" s="86">
        <v>5</v>
      </c>
      <c r="I2973" s="86">
        <v>30</v>
      </c>
      <c r="J2973" s="87"/>
      <c r="K2973" s="87"/>
      <c r="L2973" s="87"/>
      <c r="M2973" s="87"/>
      <c r="N2973" s="87"/>
      <c r="O2973" s="87"/>
      <c r="P2973" s="87"/>
      <c r="Q2973" s="87"/>
      <c r="R2973" s="87"/>
      <c r="S2973" s="87"/>
      <c r="T2973" s="87"/>
      <c r="U2973" s="87"/>
      <c r="V2973" s="87">
        <v>5</v>
      </c>
      <c r="W2973" s="87"/>
      <c r="X2973" s="87"/>
      <c r="Y2973" s="87"/>
      <c r="Z2973" s="87"/>
      <c r="AA2973" s="87"/>
      <c r="AB2973" s="87"/>
      <c r="AC2973" s="87"/>
      <c r="AD2973" s="87"/>
      <c r="AE2973" s="87"/>
      <c r="AF2973" s="87"/>
      <c r="AG2973" s="87"/>
      <c r="AH2973" s="87">
        <v>5</v>
      </c>
      <c r="AI2973" s="87"/>
      <c r="AJ2973" s="87"/>
      <c r="AK2973" s="87"/>
      <c r="AL2973" s="87"/>
      <c r="AM2973" s="87"/>
      <c r="AN2973" s="87"/>
      <c r="AO2973" s="87"/>
      <c r="AP2973" s="87">
        <v>5</v>
      </c>
      <c r="AQ2973" s="87"/>
      <c r="AR2973" s="87"/>
      <c r="AS2973" s="87"/>
      <c r="AT2973" s="87"/>
      <c r="AU2973" s="87"/>
      <c r="AV2973" s="87"/>
      <c r="AW2973" s="88" t="str">
        <f>HYPERLINK("http://www.openstreetmap.org/?mlat=32.7463&amp;mlon=45.3014&amp;zoom=12#map=12/32.7463/45.3014","Maplink1")</f>
        <v>Maplink1</v>
      </c>
      <c r="AX2973" s="88" t="str">
        <f>HYPERLINK("https://www.google.iq/maps/search/+32.7463,45.3014/@32.7463,45.3014,14z?hl=en","Maplink2")</f>
        <v>Maplink2</v>
      </c>
      <c r="AY2973" s="88" t="str">
        <f>HYPERLINK("http://www.bing.com/maps/?lvl=14&amp;sty=h&amp;cp=32.7463~45.3014&amp;sp=point.32.7463_45.3014","Maplink3")</f>
        <v>Maplink3</v>
      </c>
      <c r="AZ2973" s="76"/>
    </row>
    <row r="2974" spans="1:52" x14ac:dyDescent="0.25">
      <c r="A2974" s="86">
        <v>24857</v>
      </c>
      <c r="B2974" s="87" t="s">
        <v>29</v>
      </c>
      <c r="C2974" s="87" t="s">
        <v>5581</v>
      </c>
      <c r="D2974" s="87" t="s">
        <v>5588</v>
      </c>
      <c r="E2974" s="87" t="s">
        <v>5589</v>
      </c>
      <c r="F2974" s="87">
        <v>32.921921754899998</v>
      </c>
      <c r="G2974" s="87">
        <v>45.072581755500003</v>
      </c>
      <c r="H2974" s="86">
        <v>8</v>
      </c>
      <c r="I2974" s="86">
        <v>48</v>
      </c>
      <c r="J2974" s="87"/>
      <c r="K2974" s="87"/>
      <c r="L2974" s="87"/>
      <c r="M2974" s="87"/>
      <c r="N2974" s="87"/>
      <c r="O2974" s="87"/>
      <c r="P2974" s="87"/>
      <c r="Q2974" s="87"/>
      <c r="R2974" s="87"/>
      <c r="S2974" s="87"/>
      <c r="T2974" s="87"/>
      <c r="U2974" s="87"/>
      <c r="V2974" s="87">
        <v>8</v>
      </c>
      <c r="W2974" s="87"/>
      <c r="X2974" s="87"/>
      <c r="Y2974" s="87"/>
      <c r="Z2974" s="87"/>
      <c r="AA2974" s="87"/>
      <c r="AB2974" s="87"/>
      <c r="AC2974" s="87">
        <v>8</v>
      </c>
      <c r="AD2974" s="87"/>
      <c r="AE2974" s="87"/>
      <c r="AF2974" s="87"/>
      <c r="AG2974" s="87"/>
      <c r="AH2974" s="87"/>
      <c r="AI2974" s="87"/>
      <c r="AJ2974" s="87"/>
      <c r="AK2974" s="87"/>
      <c r="AL2974" s="87"/>
      <c r="AM2974" s="87"/>
      <c r="AN2974" s="87"/>
      <c r="AO2974" s="87">
        <v>8</v>
      </c>
      <c r="AP2974" s="87"/>
      <c r="AQ2974" s="87"/>
      <c r="AR2974" s="87"/>
      <c r="AS2974" s="87"/>
      <c r="AT2974" s="87"/>
      <c r="AU2974" s="87"/>
      <c r="AV2974" s="87"/>
      <c r="AW2974" s="88" t="str">
        <f>HYPERLINK("http://www.openstreetmap.org/?mlat=32.9219&amp;mlon=45.0726&amp;zoom=12#map=12/32.9219/45.0726","Maplink1")</f>
        <v>Maplink1</v>
      </c>
      <c r="AX2974" s="88" t="str">
        <f>HYPERLINK("https://www.google.iq/maps/search/+32.9219,45.0726/@32.9219,45.0726,14z?hl=en","Maplink2")</f>
        <v>Maplink2</v>
      </c>
      <c r="AY2974" s="88" t="str">
        <f>HYPERLINK("http://www.bing.com/maps/?lvl=14&amp;sty=h&amp;cp=32.9219~45.0726&amp;sp=point.32.9219_45.0726","Maplink3")</f>
        <v>Maplink3</v>
      </c>
      <c r="AZ2974" s="76"/>
    </row>
    <row r="2975" spans="1:52" x14ac:dyDescent="0.25">
      <c r="A2975" s="86">
        <v>24855</v>
      </c>
      <c r="B2975" s="87" t="s">
        <v>29</v>
      </c>
      <c r="C2975" s="87" t="s">
        <v>5581</v>
      </c>
      <c r="D2975" s="87" t="s">
        <v>5590</v>
      </c>
      <c r="E2975" s="87" t="s">
        <v>5591</v>
      </c>
      <c r="F2975" s="87">
        <v>32.916875512600001</v>
      </c>
      <c r="G2975" s="87">
        <v>45.0721917081</v>
      </c>
      <c r="H2975" s="86">
        <v>10</v>
      </c>
      <c r="I2975" s="86">
        <v>60</v>
      </c>
      <c r="J2975" s="87"/>
      <c r="K2975" s="87"/>
      <c r="L2975" s="87"/>
      <c r="M2975" s="87"/>
      <c r="N2975" s="87"/>
      <c r="O2975" s="87"/>
      <c r="P2975" s="87"/>
      <c r="Q2975" s="87"/>
      <c r="R2975" s="87"/>
      <c r="S2975" s="87"/>
      <c r="T2975" s="87"/>
      <c r="U2975" s="87"/>
      <c r="V2975" s="87">
        <v>10</v>
      </c>
      <c r="W2975" s="87"/>
      <c r="X2975" s="87"/>
      <c r="Y2975" s="87"/>
      <c r="Z2975" s="87"/>
      <c r="AA2975" s="87"/>
      <c r="AB2975" s="87"/>
      <c r="AC2975" s="87">
        <v>10</v>
      </c>
      <c r="AD2975" s="87"/>
      <c r="AE2975" s="87"/>
      <c r="AF2975" s="87"/>
      <c r="AG2975" s="87"/>
      <c r="AH2975" s="87"/>
      <c r="AI2975" s="87"/>
      <c r="AJ2975" s="87"/>
      <c r="AK2975" s="87"/>
      <c r="AL2975" s="87"/>
      <c r="AM2975" s="87"/>
      <c r="AN2975" s="87"/>
      <c r="AO2975" s="87">
        <v>10</v>
      </c>
      <c r="AP2975" s="87"/>
      <c r="AQ2975" s="87"/>
      <c r="AR2975" s="87"/>
      <c r="AS2975" s="87"/>
      <c r="AT2975" s="87"/>
      <c r="AU2975" s="87"/>
      <c r="AV2975" s="87"/>
      <c r="AW2975" s="88" t="str">
        <f>HYPERLINK("http://www.openstreetmap.org/?mlat=32.9169&amp;mlon=45.0722&amp;zoom=12#map=12/32.9169/45.0722","Maplink1")</f>
        <v>Maplink1</v>
      </c>
      <c r="AX2975" s="88" t="str">
        <f>HYPERLINK("https://www.google.iq/maps/search/+32.9169,45.0722/@32.9169,45.0722,14z?hl=en","Maplink2")</f>
        <v>Maplink2</v>
      </c>
      <c r="AY2975" s="88" t="str">
        <f>HYPERLINK("http://www.bing.com/maps/?lvl=14&amp;sty=h&amp;cp=32.9169~45.0722&amp;sp=point.32.9169_45.0722","Maplink3")</f>
        <v>Maplink3</v>
      </c>
      <c r="AZ2975" s="76"/>
    </row>
    <row r="2976" spans="1:52" x14ac:dyDescent="0.25">
      <c r="A2976" s="86">
        <v>24859</v>
      </c>
      <c r="B2976" s="87" t="s">
        <v>29</v>
      </c>
      <c r="C2976" s="87" t="s">
        <v>5581</v>
      </c>
      <c r="D2976" s="87" t="s">
        <v>5592</v>
      </c>
      <c r="E2976" s="87" t="s">
        <v>5593</v>
      </c>
      <c r="F2976" s="87">
        <v>32.911228060399999</v>
      </c>
      <c r="G2976" s="87">
        <v>45.063439535900002</v>
      </c>
      <c r="H2976" s="86">
        <v>9</v>
      </c>
      <c r="I2976" s="86">
        <v>54</v>
      </c>
      <c r="J2976" s="87"/>
      <c r="K2976" s="87"/>
      <c r="L2976" s="87"/>
      <c r="M2976" s="87"/>
      <c r="N2976" s="87"/>
      <c r="O2976" s="87"/>
      <c r="P2976" s="87"/>
      <c r="Q2976" s="87"/>
      <c r="R2976" s="87"/>
      <c r="S2976" s="87"/>
      <c r="T2976" s="87"/>
      <c r="U2976" s="87"/>
      <c r="V2976" s="87">
        <v>7</v>
      </c>
      <c r="W2976" s="87"/>
      <c r="X2976" s="87">
        <v>2</v>
      </c>
      <c r="Y2976" s="87"/>
      <c r="Z2976" s="87"/>
      <c r="AA2976" s="87"/>
      <c r="AB2976" s="87"/>
      <c r="AC2976" s="87"/>
      <c r="AD2976" s="87"/>
      <c r="AE2976" s="87"/>
      <c r="AF2976" s="87"/>
      <c r="AG2976" s="87"/>
      <c r="AH2976" s="87">
        <v>9</v>
      </c>
      <c r="AI2976" s="87"/>
      <c r="AJ2976" s="87"/>
      <c r="AK2976" s="87"/>
      <c r="AL2976" s="87"/>
      <c r="AM2976" s="87"/>
      <c r="AN2976" s="87"/>
      <c r="AO2976" s="87">
        <v>9</v>
      </c>
      <c r="AP2976" s="87"/>
      <c r="AQ2976" s="87"/>
      <c r="AR2976" s="87"/>
      <c r="AS2976" s="87"/>
      <c r="AT2976" s="87"/>
      <c r="AU2976" s="87"/>
      <c r="AV2976" s="87"/>
      <c r="AW2976" s="88" t="str">
        <f>HYPERLINK("http://www.openstreetmap.org/?mlat=32.9112&amp;mlon=45.0634&amp;zoom=12#map=12/32.9112/45.0634","Maplink1")</f>
        <v>Maplink1</v>
      </c>
      <c r="AX2976" s="88" t="str">
        <f>HYPERLINK("https://www.google.iq/maps/search/+32.9112,45.0634/@32.9112,45.0634,14z?hl=en","Maplink2")</f>
        <v>Maplink2</v>
      </c>
      <c r="AY2976" s="88" t="str">
        <f>HYPERLINK("http://www.bing.com/maps/?lvl=14&amp;sty=h&amp;cp=32.9112~45.0634&amp;sp=point.32.9112_45.0634","Maplink3")</f>
        <v>Maplink3</v>
      </c>
      <c r="AZ2976" s="76"/>
    </row>
    <row r="2977" spans="1:52" x14ac:dyDescent="0.25">
      <c r="A2977" s="86">
        <v>19454</v>
      </c>
      <c r="B2977" s="87" t="s">
        <v>29</v>
      </c>
      <c r="C2977" s="87" t="s">
        <v>5581</v>
      </c>
      <c r="D2977" s="87" t="s">
        <v>5594</v>
      </c>
      <c r="E2977" s="87" t="s">
        <v>5595</v>
      </c>
      <c r="F2977" s="87">
        <v>32.951382638299997</v>
      </c>
      <c r="G2977" s="87">
        <v>44.910884281500003</v>
      </c>
      <c r="H2977" s="86">
        <v>9</v>
      </c>
      <c r="I2977" s="86">
        <v>54</v>
      </c>
      <c r="J2977" s="87"/>
      <c r="K2977" s="87"/>
      <c r="L2977" s="87"/>
      <c r="M2977" s="87"/>
      <c r="N2977" s="87"/>
      <c r="O2977" s="87"/>
      <c r="P2977" s="87"/>
      <c r="Q2977" s="87"/>
      <c r="R2977" s="87"/>
      <c r="S2977" s="87"/>
      <c r="T2977" s="87"/>
      <c r="U2977" s="87"/>
      <c r="V2977" s="87">
        <v>9</v>
      </c>
      <c r="W2977" s="87"/>
      <c r="X2977" s="87"/>
      <c r="Y2977" s="87"/>
      <c r="Z2977" s="87"/>
      <c r="AA2977" s="87"/>
      <c r="AB2977" s="87"/>
      <c r="AC2977" s="87"/>
      <c r="AD2977" s="87"/>
      <c r="AE2977" s="87"/>
      <c r="AF2977" s="87"/>
      <c r="AG2977" s="87"/>
      <c r="AH2977" s="87">
        <v>9</v>
      </c>
      <c r="AI2977" s="87"/>
      <c r="AJ2977" s="87"/>
      <c r="AK2977" s="87"/>
      <c r="AL2977" s="87"/>
      <c r="AM2977" s="87"/>
      <c r="AN2977" s="87"/>
      <c r="AO2977" s="87">
        <v>9</v>
      </c>
      <c r="AP2977" s="87"/>
      <c r="AQ2977" s="87"/>
      <c r="AR2977" s="87"/>
      <c r="AS2977" s="87"/>
      <c r="AT2977" s="87"/>
      <c r="AU2977" s="87"/>
      <c r="AV2977" s="87"/>
      <c r="AW2977" s="88" t="str">
        <f>HYPERLINK("http://www.openstreetmap.org/?mlat=32.9514&amp;mlon=44.9109&amp;zoom=12#map=12/32.9514/44.9109","Maplink1")</f>
        <v>Maplink1</v>
      </c>
      <c r="AX2977" s="88" t="str">
        <f>HYPERLINK("https://www.google.iq/maps/search/+32.9514,44.9109/@32.9514,44.9109,14z?hl=en","Maplink2")</f>
        <v>Maplink2</v>
      </c>
      <c r="AY2977" s="88" t="str">
        <f>HYPERLINK("http://www.bing.com/maps/?lvl=14&amp;sty=h&amp;cp=32.9514~44.9109&amp;sp=point.32.9514_44.9109","Maplink3")</f>
        <v>Maplink3</v>
      </c>
      <c r="AZ2977" s="76"/>
    </row>
    <row r="2978" spans="1:52" x14ac:dyDescent="0.25">
      <c r="A2978" s="86">
        <v>24849</v>
      </c>
      <c r="B2978" s="87" t="s">
        <v>29</v>
      </c>
      <c r="C2978" s="87" t="s">
        <v>5581</v>
      </c>
      <c r="D2978" s="87" t="s">
        <v>5596</v>
      </c>
      <c r="E2978" s="87" t="s">
        <v>5597</v>
      </c>
      <c r="F2978" s="87">
        <v>32.9719295238</v>
      </c>
      <c r="G2978" s="87">
        <v>44.863310908199999</v>
      </c>
      <c r="H2978" s="86">
        <v>6</v>
      </c>
      <c r="I2978" s="86">
        <v>36</v>
      </c>
      <c r="J2978" s="87"/>
      <c r="K2978" s="87"/>
      <c r="L2978" s="87"/>
      <c r="M2978" s="87"/>
      <c r="N2978" s="87"/>
      <c r="O2978" s="87"/>
      <c r="P2978" s="87"/>
      <c r="Q2978" s="87"/>
      <c r="R2978" s="87">
        <v>6</v>
      </c>
      <c r="S2978" s="87"/>
      <c r="T2978" s="87"/>
      <c r="U2978" s="87"/>
      <c r="V2978" s="87"/>
      <c r="W2978" s="87"/>
      <c r="X2978" s="87"/>
      <c r="Y2978" s="87"/>
      <c r="Z2978" s="87"/>
      <c r="AA2978" s="87"/>
      <c r="AB2978" s="87"/>
      <c r="AC2978" s="87"/>
      <c r="AD2978" s="87"/>
      <c r="AE2978" s="87"/>
      <c r="AF2978" s="87"/>
      <c r="AG2978" s="87"/>
      <c r="AH2978" s="87">
        <v>6</v>
      </c>
      <c r="AI2978" s="87"/>
      <c r="AJ2978" s="87"/>
      <c r="AK2978" s="87"/>
      <c r="AL2978" s="87"/>
      <c r="AM2978" s="87"/>
      <c r="AN2978" s="87"/>
      <c r="AO2978" s="87"/>
      <c r="AP2978" s="87">
        <v>6</v>
      </c>
      <c r="AQ2978" s="87"/>
      <c r="AR2978" s="87"/>
      <c r="AS2978" s="87"/>
      <c r="AT2978" s="87"/>
      <c r="AU2978" s="87"/>
      <c r="AV2978" s="87"/>
      <c r="AW2978" s="88" t="str">
        <f>HYPERLINK("http://www.openstreetmap.org/?mlat=32.9719&amp;mlon=44.8633&amp;zoom=12#map=12/32.9719/44.8633","Maplink1")</f>
        <v>Maplink1</v>
      </c>
      <c r="AX2978" s="88" t="str">
        <f>HYPERLINK("https://www.google.iq/maps/search/+32.9719,44.8633/@32.9719,44.8633,14z?hl=en","Maplink2")</f>
        <v>Maplink2</v>
      </c>
      <c r="AY2978" s="88" t="str">
        <f>HYPERLINK("http://www.bing.com/maps/?lvl=14&amp;sty=h&amp;cp=32.9719~44.8633&amp;sp=point.32.9719_44.8633","Maplink3")</f>
        <v>Maplink3</v>
      </c>
      <c r="AZ2978" s="76"/>
    </row>
    <row r="2979" spans="1:52" x14ac:dyDescent="0.25">
      <c r="A2979" s="86">
        <v>22360</v>
      </c>
      <c r="B2979" s="87" t="s">
        <v>29</v>
      </c>
      <c r="C2979" s="87" t="s">
        <v>5581</v>
      </c>
      <c r="D2979" s="87" t="s">
        <v>5598</v>
      </c>
      <c r="E2979" s="87" t="s">
        <v>5599</v>
      </c>
      <c r="F2979" s="87">
        <v>32.917984641899999</v>
      </c>
      <c r="G2979" s="87">
        <v>45.054802700000003</v>
      </c>
      <c r="H2979" s="86">
        <v>8</v>
      </c>
      <c r="I2979" s="86">
        <v>48</v>
      </c>
      <c r="J2979" s="87"/>
      <c r="K2979" s="87"/>
      <c r="L2979" s="87"/>
      <c r="M2979" s="87"/>
      <c r="N2979" s="87"/>
      <c r="O2979" s="87"/>
      <c r="P2979" s="87"/>
      <c r="Q2979" s="87"/>
      <c r="R2979" s="87"/>
      <c r="S2979" s="87"/>
      <c r="T2979" s="87"/>
      <c r="U2979" s="87"/>
      <c r="V2979" s="87">
        <v>8</v>
      </c>
      <c r="W2979" s="87"/>
      <c r="X2979" s="87"/>
      <c r="Y2979" s="87"/>
      <c r="Z2979" s="87"/>
      <c r="AA2979" s="87"/>
      <c r="AB2979" s="87"/>
      <c r="AC2979" s="87"/>
      <c r="AD2979" s="87"/>
      <c r="AE2979" s="87"/>
      <c r="AF2979" s="87"/>
      <c r="AG2979" s="87"/>
      <c r="AH2979" s="87">
        <v>8</v>
      </c>
      <c r="AI2979" s="87"/>
      <c r="AJ2979" s="87"/>
      <c r="AK2979" s="87"/>
      <c r="AL2979" s="87"/>
      <c r="AM2979" s="87"/>
      <c r="AN2979" s="87"/>
      <c r="AO2979" s="87">
        <v>8</v>
      </c>
      <c r="AP2979" s="87"/>
      <c r="AQ2979" s="87"/>
      <c r="AR2979" s="87"/>
      <c r="AS2979" s="87"/>
      <c r="AT2979" s="87"/>
      <c r="AU2979" s="87"/>
      <c r="AV2979" s="87"/>
      <c r="AW2979" s="88" t="str">
        <f>HYPERLINK("http://www.openstreetmap.org/?mlat=32.918&amp;mlon=45.0548&amp;zoom=12#map=12/32.918/45.0548","Maplink1")</f>
        <v>Maplink1</v>
      </c>
      <c r="AX2979" s="88" t="str">
        <f>HYPERLINK("https://www.google.iq/maps/search/+32.918,45.0548/@32.918,45.0548,14z?hl=en","Maplink2")</f>
        <v>Maplink2</v>
      </c>
      <c r="AY2979" s="88" t="str">
        <f>HYPERLINK("http://www.bing.com/maps/?lvl=14&amp;sty=h&amp;cp=32.918~45.0548&amp;sp=point.32.918_45.0548","Maplink3")</f>
        <v>Maplink3</v>
      </c>
      <c r="AZ2979" s="76"/>
    </row>
    <row r="2980" spans="1:52" x14ac:dyDescent="0.25">
      <c r="A2980" s="86">
        <v>24845</v>
      </c>
      <c r="B2980" s="87" t="s">
        <v>29</v>
      </c>
      <c r="C2980" s="87" t="s">
        <v>5581</v>
      </c>
      <c r="D2980" s="87" t="s">
        <v>5600</v>
      </c>
      <c r="E2980" s="87" t="s">
        <v>5601</v>
      </c>
      <c r="F2980" s="87">
        <v>32.9081616908</v>
      </c>
      <c r="G2980" s="87">
        <v>45.049369184</v>
      </c>
      <c r="H2980" s="86">
        <v>7</v>
      </c>
      <c r="I2980" s="86">
        <v>42</v>
      </c>
      <c r="J2980" s="87"/>
      <c r="K2980" s="87"/>
      <c r="L2980" s="87"/>
      <c r="M2980" s="87"/>
      <c r="N2980" s="87"/>
      <c r="O2980" s="87"/>
      <c r="P2980" s="87"/>
      <c r="Q2980" s="87"/>
      <c r="R2980" s="87"/>
      <c r="S2980" s="87"/>
      <c r="T2980" s="87"/>
      <c r="U2980" s="87"/>
      <c r="V2980" s="87">
        <v>7</v>
      </c>
      <c r="W2980" s="87"/>
      <c r="X2980" s="87"/>
      <c r="Y2980" s="87"/>
      <c r="Z2980" s="87"/>
      <c r="AA2980" s="87"/>
      <c r="AB2980" s="87"/>
      <c r="AC2980" s="87"/>
      <c r="AD2980" s="87"/>
      <c r="AE2980" s="87"/>
      <c r="AF2980" s="87"/>
      <c r="AG2980" s="87"/>
      <c r="AH2980" s="87">
        <v>7</v>
      </c>
      <c r="AI2980" s="87"/>
      <c r="AJ2980" s="87"/>
      <c r="AK2980" s="87"/>
      <c r="AL2980" s="87"/>
      <c r="AM2980" s="87"/>
      <c r="AN2980" s="87"/>
      <c r="AO2980" s="87">
        <v>7</v>
      </c>
      <c r="AP2980" s="87"/>
      <c r="AQ2980" s="87"/>
      <c r="AR2980" s="87"/>
      <c r="AS2980" s="87"/>
      <c r="AT2980" s="87"/>
      <c r="AU2980" s="87"/>
      <c r="AV2980" s="87"/>
      <c r="AW2980" s="88" t="str">
        <f>HYPERLINK("http://www.openstreetmap.org/?mlat=32.9082&amp;mlon=45.0494&amp;zoom=12#map=12/32.9082/45.0494","Maplink1")</f>
        <v>Maplink1</v>
      </c>
      <c r="AX2980" s="88" t="str">
        <f>HYPERLINK("https://www.google.iq/maps/search/+32.9082,45.0494/@32.9082,45.0494,14z?hl=en","Maplink2")</f>
        <v>Maplink2</v>
      </c>
      <c r="AY2980" s="88" t="str">
        <f>HYPERLINK("http://www.bing.com/maps/?lvl=14&amp;sty=h&amp;cp=32.9082~45.0494&amp;sp=point.32.9082_45.0494","Maplink3")</f>
        <v>Maplink3</v>
      </c>
      <c r="AZ2980" s="76"/>
    </row>
    <row r="2981" spans="1:52" x14ac:dyDescent="0.25">
      <c r="A2981" s="86">
        <v>19442</v>
      </c>
      <c r="B2981" s="87" t="s">
        <v>29</v>
      </c>
      <c r="C2981" s="87" t="s">
        <v>5581</v>
      </c>
      <c r="D2981" s="87" t="s">
        <v>5602</v>
      </c>
      <c r="E2981" s="87" t="s">
        <v>5603</v>
      </c>
      <c r="F2981" s="87">
        <v>32.9853927391</v>
      </c>
      <c r="G2981" s="87">
        <v>44.847481347900001</v>
      </c>
      <c r="H2981" s="86">
        <v>12</v>
      </c>
      <c r="I2981" s="86">
        <v>72</v>
      </c>
      <c r="J2981" s="87">
        <v>4</v>
      </c>
      <c r="K2981" s="87"/>
      <c r="L2981" s="87"/>
      <c r="M2981" s="87"/>
      <c r="N2981" s="87"/>
      <c r="O2981" s="87"/>
      <c r="P2981" s="87"/>
      <c r="Q2981" s="87"/>
      <c r="R2981" s="87">
        <v>8</v>
      </c>
      <c r="S2981" s="87"/>
      <c r="T2981" s="87"/>
      <c r="U2981" s="87"/>
      <c r="V2981" s="87"/>
      <c r="W2981" s="87"/>
      <c r="X2981" s="87"/>
      <c r="Y2981" s="87"/>
      <c r="Z2981" s="87"/>
      <c r="AA2981" s="87"/>
      <c r="AB2981" s="87"/>
      <c r="AC2981" s="87"/>
      <c r="AD2981" s="87"/>
      <c r="AE2981" s="87"/>
      <c r="AF2981" s="87"/>
      <c r="AG2981" s="87"/>
      <c r="AH2981" s="87">
        <v>12</v>
      </c>
      <c r="AI2981" s="87"/>
      <c r="AJ2981" s="87"/>
      <c r="AK2981" s="87"/>
      <c r="AL2981" s="87"/>
      <c r="AM2981" s="87"/>
      <c r="AN2981" s="87">
        <v>8</v>
      </c>
      <c r="AO2981" s="87"/>
      <c r="AP2981" s="87"/>
      <c r="AQ2981" s="87"/>
      <c r="AR2981" s="87">
        <v>4</v>
      </c>
      <c r="AS2981" s="87"/>
      <c r="AT2981" s="87"/>
      <c r="AU2981" s="87"/>
      <c r="AV2981" s="87"/>
      <c r="AW2981" s="88" t="str">
        <f>HYPERLINK("http://www.openstreetmap.org/?mlat=32.9854&amp;mlon=44.8475&amp;zoom=12#map=12/32.9854/44.8475","Maplink1")</f>
        <v>Maplink1</v>
      </c>
      <c r="AX2981" s="88" t="str">
        <f>HYPERLINK("https://www.google.iq/maps/search/+32.9854,44.8475/@32.9854,44.8475,14z?hl=en","Maplink2")</f>
        <v>Maplink2</v>
      </c>
      <c r="AY2981" s="88" t="str">
        <f>HYPERLINK("http://www.bing.com/maps/?lvl=14&amp;sty=h&amp;cp=32.9854~44.8475&amp;sp=point.32.9854_44.8475","Maplink3")</f>
        <v>Maplink3</v>
      </c>
      <c r="AZ2981" s="76"/>
    </row>
    <row r="2982" spans="1:52" x14ac:dyDescent="0.25">
      <c r="A2982" s="86">
        <v>24967</v>
      </c>
      <c r="B2982" s="87" t="s">
        <v>29</v>
      </c>
      <c r="C2982" s="87" t="s">
        <v>5581</v>
      </c>
      <c r="D2982" s="87" t="s">
        <v>5604</v>
      </c>
      <c r="E2982" s="87" t="s">
        <v>5605</v>
      </c>
      <c r="F2982" s="87">
        <v>32.989220561099998</v>
      </c>
      <c r="G2982" s="87">
        <v>44.840101213499999</v>
      </c>
      <c r="H2982" s="86">
        <v>28</v>
      </c>
      <c r="I2982" s="86">
        <v>168</v>
      </c>
      <c r="J2982" s="87"/>
      <c r="K2982" s="87"/>
      <c r="L2982" s="87"/>
      <c r="M2982" s="87"/>
      <c r="N2982" s="87"/>
      <c r="O2982" s="87">
        <v>10</v>
      </c>
      <c r="P2982" s="87"/>
      <c r="Q2982" s="87"/>
      <c r="R2982" s="87"/>
      <c r="S2982" s="87"/>
      <c r="T2982" s="87"/>
      <c r="U2982" s="87"/>
      <c r="V2982" s="87">
        <v>10</v>
      </c>
      <c r="W2982" s="87"/>
      <c r="X2982" s="87">
        <v>8</v>
      </c>
      <c r="Y2982" s="87"/>
      <c r="Z2982" s="87"/>
      <c r="AA2982" s="87"/>
      <c r="AB2982" s="87"/>
      <c r="AC2982" s="87"/>
      <c r="AD2982" s="87"/>
      <c r="AE2982" s="87"/>
      <c r="AF2982" s="87"/>
      <c r="AG2982" s="87"/>
      <c r="AH2982" s="87">
        <v>19</v>
      </c>
      <c r="AI2982" s="87"/>
      <c r="AJ2982" s="87"/>
      <c r="AK2982" s="87">
        <v>9</v>
      </c>
      <c r="AL2982" s="87"/>
      <c r="AM2982" s="87"/>
      <c r="AN2982" s="87"/>
      <c r="AO2982" s="87">
        <v>10</v>
      </c>
      <c r="AP2982" s="87">
        <v>18</v>
      </c>
      <c r="AQ2982" s="87"/>
      <c r="AR2982" s="87"/>
      <c r="AS2982" s="87"/>
      <c r="AT2982" s="87"/>
      <c r="AU2982" s="87"/>
      <c r="AV2982" s="87"/>
      <c r="AW2982" s="88" t="str">
        <f>HYPERLINK("http://www.openstreetmap.org/?mlat=32.9892&amp;mlon=44.8401&amp;zoom=12#map=12/32.9892/44.8401","Maplink1")</f>
        <v>Maplink1</v>
      </c>
      <c r="AX2982" s="88" t="str">
        <f>HYPERLINK("https://www.google.iq/maps/search/+32.9892,44.8401/@32.9892,44.8401,14z?hl=en","Maplink2")</f>
        <v>Maplink2</v>
      </c>
      <c r="AY2982" s="88" t="str">
        <f>HYPERLINK("http://www.bing.com/maps/?lvl=14&amp;sty=h&amp;cp=32.9892~44.8401&amp;sp=point.32.9892_44.8401","Maplink3")</f>
        <v>Maplink3</v>
      </c>
      <c r="AZ2982" s="76"/>
    </row>
    <row r="2983" spans="1:52" x14ac:dyDescent="0.25">
      <c r="A2983" s="86">
        <v>19509</v>
      </c>
      <c r="B2983" s="87" t="s">
        <v>29</v>
      </c>
      <c r="C2983" s="87" t="s">
        <v>5606</v>
      </c>
      <c r="D2983" s="87" t="s">
        <v>5607</v>
      </c>
      <c r="E2983" s="87" t="s">
        <v>5608</v>
      </c>
      <c r="F2983" s="87">
        <v>32.124308977200002</v>
      </c>
      <c r="G2983" s="87">
        <v>46.116103252999999</v>
      </c>
      <c r="H2983" s="86">
        <v>5</v>
      </c>
      <c r="I2983" s="86">
        <v>30</v>
      </c>
      <c r="J2983" s="87"/>
      <c r="K2983" s="87"/>
      <c r="L2983" s="87"/>
      <c r="M2983" s="87"/>
      <c r="N2983" s="87"/>
      <c r="O2983" s="87"/>
      <c r="P2983" s="87"/>
      <c r="Q2983" s="87"/>
      <c r="R2983" s="87"/>
      <c r="S2983" s="87"/>
      <c r="T2983" s="87"/>
      <c r="U2983" s="87"/>
      <c r="V2983" s="87">
        <v>5</v>
      </c>
      <c r="W2983" s="87"/>
      <c r="X2983" s="87"/>
      <c r="Y2983" s="87"/>
      <c r="Z2983" s="87"/>
      <c r="AA2983" s="87"/>
      <c r="AB2983" s="87"/>
      <c r="AC2983" s="87"/>
      <c r="AD2983" s="87"/>
      <c r="AE2983" s="87"/>
      <c r="AF2983" s="87"/>
      <c r="AG2983" s="87"/>
      <c r="AH2983" s="87">
        <v>5</v>
      </c>
      <c r="AI2983" s="87"/>
      <c r="AJ2983" s="87"/>
      <c r="AK2983" s="87"/>
      <c r="AL2983" s="87"/>
      <c r="AM2983" s="87"/>
      <c r="AN2983" s="87"/>
      <c r="AO2983" s="87"/>
      <c r="AP2983" s="87"/>
      <c r="AQ2983" s="87">
        <v>5</v>
      </c>
      <c r="AR2983" s="87"/>
      <c r="AS2983" s="87"/>
      <c r="AT2983" s="87"/>
      <c r="AU2983" s="87"/>
      <c r="AV2983" s="87"/>
      <c r="AW2983" s="88" t="str">
        <f>HYPERLINK("http://www.openstreetmap.org/?mlat=32.1243&amp;mlon=46.1161&amp;zoom=12#map=12/32.1243/46.1161","Maplink1")</f>
        <v>Maplink1</v>
      </c>
      <c r="AX2983" s="88" t="str">
        <f>HYPERLINK("https://www.google.iq/maps/search/+32.1243,46.1161/@32.1243,46.1161,14z?hl=en","Maplink2")</f>
        <v>Maplink2</v>
      </c>
      <c r="AY2983" s="88" t="str">
        <f>HYPERLINK("http://www.bing.com/maps/?lvl=14&amp;sty=h&amp;cp=32.1243~46.1161&amp;sp=point.32.1243_46.1161","Maplink3")</f>
        <v>Maplink3</v>
      </c>
      <c r="AZ2983" s="76"/>
    </row>
    <row r="2984" spans="1:52" x14ac:dyDescent="0.25">
      <c r="A2984" s="86">
        <v>25580</v>
      </c>
      <c r="B2984" s="87" t="s">
        <v>29</v>
      </c>
      <c r="C2984" s="87" t="s">
        <v>5606</v>
      </c>
      <c r="D2984" s="87" t="s">
        <v>5609</v>
      </c>
      <c r="E2984" s="87" t="s">
        <v>5610</v>
      </c>
      <c r="F2984" s="87">
        <v>32.184657411499998</v>
      </c>
      <c r="G2984" s="87">
        <v>46.039404568800002</v>
      </c>
      <c r="H2984" s="86">
        <v>6</v>
      </c>
      <c r="I2984" s="86">
        <v>36</v>
      </c>
      <c r="J2984" s="87"/>
      <c r="K2984" s="87"/>
      <c r="L2984" s="87"/>
      <c r="M2984" s="87"/>
      <c r="N2984" s="87"/>
      <c r="O2984" s="87"/>
      <c r="P2984" s="87"/>
      <c r="Q2984" s="87"/>
      <c r="R2984" s="87"/>
      <c r="S2984" s="87"/>
      <c r="T2984" s="87"/>
      <c r="U2984" s="87"/>
      <c r="V2984" s="87">
        <v>6</v>
      </c>
      <c r="W2984" s="87"/>
      <c r="X2984" s="87"/>
      <c r="Y2984" s="87"/>
      <c r="Z2984" s="87"/>
      <c r="AA2984" s="87"/>
      <c r="AB2984" s="87"/>
      <c r="AC2984" s="87"/>
      <c r="AD2984" s="87"/>
      <c r="AE2984" s="87"/>
      <c r="AF2984" s="87"/>
      <c r="AG2984" s="87"/>
      <c r="AH2984" s="87">
        <v>6</v>
      </c>
      <c r="AI2984" s="87"/>
      <c r="AJ2984" s="87"/>
      <c r="AK2984" s="87"/>
      <c r="AL2984" s="87"/>
      <c r="AM2984" s="87"/>
      <c r="AN2984" s="87"/>
      <c r="AO2984" s="87">
        <v>6</v>
      </c>
      <c r="AP2984" s="87"/>
      <c r="AQ2984" s="87"/>
      <c r="AR2984" s="87"/>
      <c r="AS2984" s="87"/>
      <c r="AT2984" s="87"/>
      <c r="AU2984" s="87"/>
      <c r="AV2984" s="87"/>
      <c r="AW2984" s="88" t="str">
        <f>HYPERLINK("http://www.openstreetmap.org/?mlat=32.1847&amp;mlon=46.0394&amp;zoom=12#map=12/32.1847/46.0394","Maplink1")</f>
        <v>Maplink1</v>
      </c>
      <c r="AX2984" s="88" t="str">
        <f>HYPERLINK("https://www.google.iq/maps/search/+32.1847,46.0394/@32.1847,46.0394,14z?hl=en","Maplink2")</f>
        <v>Maplink2</v>
      </c>
      <c r="AY2984" s="88" t="str">
        <f>HYPERLINK("http://www.bing.com/maps/?lvl=14&amp;sty=h&amp;cp=32.1847~46.0394&amp;sp=point.32.1847_46.0394","Maplink3")</f>
        <v>Maplink3</v>
      </c>
      <c r="AZ2984" s="76"/>
    </row>
    <row r="2985" spans="1:52" x14ac:dyDescent="0.25">
      <c r="A2985" s="86">
        <v>18733</v>
      </c>
      <c r="B2985" s="87" t="s">
        <v>29</v>
      </c>
      <c r="C2985" s="87" t="s">
        <v>5606</v>
      </c>
      <c r="D2985" s="87" t="s">
        <v>5611</v>
      </c>
      <c r="E2985" s="87" t="s">
        <v>2292</v>
      </c>
      <c r="F2985" s="87">
        <v>32.177807556799998</v>
      </c>
      <c r="G2985" s="87">
        <v>46.0441819224</v>
      </c>
      <c r="H2985" s="86">
        <v>10</v>
      </c>
      <c r="I2985" s="86">
        <v>60</v>
      </c>
      <c r="J2985" s="87"/>
      <c r="K2985" s="87"/>
      <c r="L2985" s="87"/>
      <c r="M2985" s="87"/>
      <c r="N2985" s="87"/>
      <c r="O2985" s="87"/>
      <c r="P2985" s="87"/>
      <c r="Q2985" s="87"/>
      <c r="R2985" s="87"/>
      <c r="S2985" s="87"/>
      <c r="T2985" s="87"/>
      <c r="U2985" s="87"/>
      <c r="V2985" s="87">
        <v>10</v>
      </c>
      <c r="W2985" s="87"/>
      <c r="X2985" s="87"/>
      <c r="Y2985" s="87"/>
      <c r="Z2985" s="87"/>
      <c r="AA2985" s="87"/>
      <c r="AB2985" s="87"/>
      <c r="AC2985" s="87">
        <v>10</v>
      </c>
      <c r="AD2985" s="87"/>
      <c r="AE2985" s="87"/>
      <c r="AF2985" s="87"/>
      <c r="AG2985" s="87"/>
      <c r="AH2985" s="87"/>
      <c r="AI2985" s="87"/>
      <c r="AJ2985" s="87"/>
      <c r="AK2985" s="87"/>
      <c r="AL2985" s="87"/>
      <c r="AM2985" s="87"/>
      <c r="AN2985" s="87"/>
      <c r="AO2985" s="87">
        <v>10</v>
      </c>
      <c r="AP2985" s="87"/>
      <c r="AQ2985" s="87"/>
      <c r="AR2985" s="87"/>
      <c r="AS2985" s="87"/>
      <c r="AT2985" s="87"/>
      <c r="AU2985" s="87"/>
      <c r="AV2985" s="87"/>
      <c r="AW2985" s="88" t="str">
        <f>HYPERLINK("http://www.openstreetmap.org/?mlat=32.1778&amp;mlon=46.0442&amp;zoom=12#map=12/32.1778/46.0442","Maplink1")</f>
        <v>Maplink1</v>
      </c>
      <c r="AX2985" s="88" t="str">
        <f>HYPERLINK("https://www.google.iq/maps/search/+32.1778,46.0442/@32.1778,46.0442,14z?hl=en","Maplink2")</f>
        <v>Maplink2</v>
      </c>
      <c r="AY2985" s="88" t="str">
        <f>HYPERLINK("http://www.bing.com/maps/?lvl=14&amp;sty=h&amp;cp=32.1778~46.0442&amp;sp=point.32.1778_46.0442","Maplink3")</f>
        <v>Maplink3</v>
      </c>
      <c r="AZ2985" s="76"/>
    </row>
    <row r="2986" spans="1:52" x14ac:dyDescent="0.25">
      <c r="A2986" s="86">
        <v>25576</v>
      </c>
      <c r="B2986" s="87" t="s">
        <v>29</v>
      </c>
      <c r="C2986" s="87" t="s">
        <v>5606</v>
      </c>
      <c r="D2986" s="87" t="s">
        <v>5612</v>
      </c>
      <c r="E2986" s="87" t="s">
        <v>5613</v>
      </c>
      <c r="F2986" s="87">
        <v>32.180892262</v>
      </c>
      <c r="G2986" s="87">
        <v>46.0408434203</v>
      </c>
      <c r="H2986" s="86">
        <v>4</v>
      </c>
      <c r="I2986" s="86">
        <v>24</v>
      </c>
      <c r="J2986" s="87"/>
      <c r="K2986" s="87"/>
      <c r="L2986" s="87"/>
      <c r="M2986" s="87"/>
      <c r="N2986" s="87"/>
      <c r="O2986" s="87"/>
      <c r="P2986" s="87"/>
      <c r="Q2986" s="87"/>
      <c r="R2986" s="87"/>
      <c r="S2986" s="87"/>
      <c r="T2986" s="87"/>
      <c r="U2986" s="87"/>
      <c r="V2986" s="87">
        <v>4</v>
      </c>
      <c r="W2986" s="87"/>
      <c r="X2986" s="87"/>
      <c r="Y2986" s="87"/>
      <c r="Z2986" s="87"/>
      <c r="AA2986" s="87"/>
      <c r="AB2986" s="87"/>
      <c r="AC2986" s="87">
        <v>4</v>
      </c>
      <c r="AD2986" s="87"/>
      <c r="AE2986" s="87"/>
      <c r="AF2986" s="87"/>
      <c r="AG2986" s="87"/>
      <c r="AH2986" s="87"/>
      <c r="AI2986" s="87"/>
      <c r="AJ2986" s="87"/>
      <c r="AK2986" s="87"/>
      <c r="AL2986" s="87"/>
      <c r="AM2986" s="87"/>
      <c r="AN2986" s="87"/>
      <c r="AO2986" s="87">
        <v>4</v>
      </c>
      <c r="AP2986" s="87"/>
      <c r="AQ2986" s="87"/>
      <c r="AR2986" s="87"/>
      <c r="AS2986" s="87"/>
      <c r="AT2986" s="87"/>
      <c r="AU2986" s="87"/>
      <c r="AV2986" s="87"/>
      <c r="AW2986" s="88" t="str">
        <f>HYPERLINK("http://www.openstreetmap.org/?mlat=32.1809&amp;mlon=46.0408&amp;zoom=12#map=12/32.1809/46.0408","Maplink1")</f>
        <v>Maplink1</v>
      </c>
      <c r="AX2986" s="88" t="str">
        <f>HYPERLINK("https://www.google.iq/maps/search/+32.1809,46.0408/@32.1809,46.0408,14z?hl=en","Maplink2")</f>
        <v>Maplink2</v>
      </c>
      <c r="AY2986" s="88" t="str">
        <f>HYPERLINK("http://www.bing.com/maps/?lvl=14&amp;sty=h&amp;cp=32.1809~46.0408&amp;sp=point.32.1809_46.0408","Maplink3")</f>
        <v>Maplink3</v>
      </c>
      <c r="AZ2986" s="76"/>
    </row>
    <row r="2987" spans="1:52" x14ac:dyDescent="0.25">
      <c r="A2987" s="86">
        <v>25583</v>
      </c>
      <c r="B2987" s="87" t="s">
        <v>29</v>
      </c>
      <c r="C2987" s="87" t="s">
        <v>5606</v>
      </c>
      <c r="D2987" s="87" t="s">
        <v>5614</v>
      </c>
      <c r="E2987" s="87" t="s">
        <v>1355</v>
      </c>
      <c r="F2987" s="87">
        <v>32.173600012199998</v>
      </c>
      <c r="G2987" s="87">
        <v>46.045309738299999</v>
      </c>
      <c r="H2987" s="86">
        <v>4</v>
      </c>
      <c r="I2987" s="86">
        <v>24</v>
      </c>
      <c r="J2987" s="87"/>
      <c r="K2987" s="87"/>
      <c r="L2987" s="87"/>
      <c r="M2987" s="87"/>
      <c r="N2987" s="87"/>
      <c r="O2987" s="87"/>
      <c r="P2987" s="87"/>
      <c r="Q2987" s="87"/>
      <c r="R2987" s="87"/>
      <c r="S2987" s="87"/>
      <c r="T2987" s="87"/>
      <c r="U2987" s="87"/>
      <c r="V2987" s="87">
        <v>4</v>
      </c>
      <c r="W2987" s="87"/>
      <c r="X2987" s="87"/>
      <c r="Y2987" s="87"/>
      <c r="Z2987" s="87"/>
      <c r="AA2987" s="87"/>
      <c r="AB2987" s="87"/>
      <c r="AC2987" s="87">
        <v>4</v>
      </c>
      <c r="AD2987" s="87"/>
      <c r="AE2987" s="87"/>
      <c r="AF2987" s="87"/>
      <c r="AG2987" s="87"/>
      <c r="AH2987" s="87"/>
      <c r="AI2987" s="87"/>
      <c r="AJ2987" s="87"/>
      <c r="AK2987" s="87"/>
      <c r="AL2987" s="87"/>
      <c r="AM2987" s="87"/>
      <c r="AN2987" s="87"/>
      <c r="AO2987" s="87">
        <v>4</v>
      </c>
      <c r="AP2987" s="87"/>
      <c r="AQ2987" s="87"/>
      <c r="AR2987" s="87"/>
      <c r="AS2987" s="87"/>
      <c r="AT2987" s="87"/>
      <c r="AU2987" s="87"/>
      <c r="AV2987" s="87"/>
      <c r="AW2987" s="88" t="str">
        <f>HYPERLINK("http://www.openstreetmap.org/?mlat=32.1736&amp;mlon=46.0453&amp;zoom=12#map=12/32.1736/46.0453","Maplink1")</f>
        <v>Maplink1</v>
      </c>
      <c r="AX2987" s="88" t="str">
        <f>HYPERLINK("https://www.google.iq/maps/search/+32.1736,46.0453/@32.1736,46.0453,14z?hl=en","Maplink2")</f>
        <v>Maplink2</v>
      </c>
      <c r="AY2987" s="88" t="str">
        <f>HYPERLINK("http://www.bing.com/maps/?lvl=14&amp;sty=h&amp;cp=32.1736~46.0453&amp;sp=point.32.1736_46.0453","Maplink3")</f>
        <v>Maplink3</v>
      </c>
      <c r="AZ2987" s="76"/>
    </row>
    <row r="2988" spans="1:52" x14ac:dyDescent="0.25">
      <c r="A2988" s="86">
        <v>18718</v>
      </c>
      <c r="B2988" s="87" t="s">
        <v>29</v>
      </c>
      <c r="C2988" s="87" t="s">
        <v>5606</v>
      </c>
      <c r="D2988" s="87" t="s">
        <v>5615</v>
      </c>
      <c r="E2988" s="87" t="s">
        <v>5616</v>
      </c>
      <c r="F2988" s="87">
        <v>32.145794817700001</v>
      </c>
      <c r="G2988" s="87">
        <v>46.0435444401</v>
      </c>
      <c r="H2988" s="86">
        <v>4</v>
      </c>
      <c r="I2988" s="86">
        <v>24</v>
      </c>
      <c r="J2988" s="87"/>
      <c r="K2988" s="87"/>
      <c r="L2988" s="87"/>
      <c r="M2988" s="87"/>
      <c r="N2988" s="87"/>
      <c r="O2988" s="87"/>
      <c r="P2988" s="87"/>
      <c r="Q2988" s="87"/>
      <c r="R2988" s="87"/>
      <c r="S2988" s="87"/>
      <c r="T2988" s="87"/>
      <c r="U2988" s="87"/>
      <c r="V2988" s="87">
        <v>4</v>
      </c>
      <c r="W2988" s="87"/>
      <c r="X2988" s="87"/>
      <c r="Y2988" s="87"/>
      <c r="Z2988" s="87"/>
      <c r="AA2988" s="87"/>
      <c r="AB2988" s="87"/>
      <c r="AC2988" s="87">
        <v>4</v>
      </c>
      <c r="AD2988" s="87"/>
      <c r="AE2988" s="87"/>
      <c r="AF2988" s="87"/>
      <c r="AG2988" s="87"/>
      <c r="AH2988" s="87"/>
      <c r="AI2988" s="87"/>
      <c r="AJ2988" s="87"/>
      <c r="AK2988" s="87"/>
      <c r="AL2988" s="87"/>
      <c r="AM2988" s="87"/>
      <c r="AN2988" s="87"/>
      <c r="AO2988" s="87">
        <v>4</v>
      </c>
      <c r="AP2988" s="87"/>
      <c r="AQ2988" s="87"/>
      <c r="AR2988" s="87"/>
      <c r="AS2988" s="87"/>
      <c r="AT2988" s="87"/>
      <c r="AU2988" s="87"/>
      <c r="AV2988" s="87"/>
      <c r="AW2988" s="88" t="str">
        <f>HYPERLINK("http://www.openstreetmap.org/?mlat=32.1458&amp;mlon=46.0435&amp;zoom=12#map=12/32.1458/46.0435","Maplink1")</f>
        <v>Maplink1</v>
      </c>
      <c r="AX2988" s="88" t="str">
        <f>HYPERLINK("https://www.google.iq/maps/search/+32.1458,46.0435/@32.1458,46.0435,14z?hl=en","Maplink2")</f>
        <v>Maplink2</v>
      </c>
      <c r="AY2988" s="88" t="str">
        <f>HYPERLINK("http://www.bing.com/maps/?lvl=14&amp;sty=h&amp;cp=32.1458~46.0435&amp;sp=point.32.1458_46.0435","Maplink3")</f>
        <v>Maplink3</v>
      </c>
      <c r="AZ2988" s="76"/>
    </row>
    <row r="2989" spans="1:52" x14ac:dyDescent="0.25">
      <c r="A2989" s="86">
        <v>24876</v>
      </c>
      <c r="B2989" s="87" t="s">
        <v>29</v>
      </c>
      <c r="C2989" s="87" t="s">
        <v>5606</v>
      </c>
      <c r="D2989" s="87" t="s">
        <v>1888</v>
      </c>
      <c r="E2989" s="87" t="s">
        <v>410</v>
      </c>
      <c r="F2989" s="87">
        <v>32.273148512900001</v>
      </c>
      <c r="G2989" s="87">
        <v>45.927229266099999</v>
      </c>
      <c r="H2989" s="86">
        <v>5</v>
      </c>
      <c r="I2989" s="86">
        <v>30</v>
      </c>
      <c r="J2989" s="87"/>
      <c r="K2989" s="87"/>
      <c r="L2989" s="87"/>
      <c r="M2989" s="87"/>
      <c r="N2989" s="87"/>
      <c r="O2989" s="87"/>
      <c r="P2989" s="87"/>
      <c r="Q2989" s="87"/>
      <c r="R2989" s="87"/>
      <c r="S2989" s="87"/>
      <c r="T2989" s="87"/>
      <c r="U2989" s="87"/>
      <c r="V2989" s="87">
        <v>5</v>
      </c>
      <c r="W2989" s="87"/>
      <c r="X2989" s="87"/>
      <c r="Y2989" s="87"/>
      <c r="Z2989" s="87"/>
      <c r="AA2989" s="87"/>
      <c r="AB2989" s="87"/>
      <c r="AC2989" s="87"/>
      <c r="AD2989" s="87"/>
      <c r="AE2989" s="87"/>
      <c r="AF2989" s="87"/>
      <c r="AG2989" s="87"/>
      <c r="AH2989" s="87">
        <v>5</v>
      </c>
      <c r="AI2989" s="87"/>
      <c r="AJ2989" s="87"/>
      <c r="AK2989" s="87"/>
      <c r="AL2989" s="87"/>
      <c r="AM2989" s="87"/>
      <c r="AN2989" s="87"/>
      <c r="AO2989" s="87">
        <v>5</v>
      </c>
      <c r="AP2989" s="87"/>
      <c r="AQ2989" s="87"/>
      <c r="AR2989" s="87"/>
      <c r="AS2989" s="87"/>
      <c r="AT2989" s="87"/>
      <c r="AU2989" s="87"/>
      <c r="AV2989" s="87"/>
      <c r="AW2989" s="88" t="str">
        <f>HYPERLINK("http://www.openstreetmap.org/?mlat=32.2731&amp;mlon=45.9272&amp;zoom=12#map=12/32.2731/45.9272","Maplink1")</f>
        <v>Maplink1</v>
      </c>
      <c r="AX2989" s="88" t="str">
        <f>HYPERLINK("https://www.google.iq/maps/search/+32.2731,45.9272/@32.2731,45.9272,14z?hl=en","Maplink2")</f>
        <v>Maplink2</v>
      </c>
      <c r="AY2989" s="88" t="str">
        <f>HYPERLINK("http://www.bing.com/maps/?lvl=14&amp;sty=h&amp;cp=32.2731~45.9272&amp;sp=point.32.2731_45.9272","Maplink3")</f>
        <v>Maplink3</v>
      </c>
      <c r="AZ2989" s="76"/>
    </row>
    <row r="2990" spans="1:52" x14ac:dyDescent="0.25">
      <c r="A2990" s="86">
        <v>25584</v>
      </c>
      <c r="B2990" s="87" t="s">
        <v>29</v>
      </c>
      <c r="C2990" s="87" t="s">
        <v>5606</v>
      </c>
      <c r="D2990" s="87" t="s">
        <v>5617</v>
      </c>
      <c r="E2990" s="87" t="s">
        <v>5618</v>
      </c>
      <c r="F2990" s="87">
        <v>32.165861477699998</v>
      </c>
      <c r="G2990" s="87">
        <v>46.043571233500003</v>
      </c>
      <c r="H2990" s="86">
        <v>5</v>
      </c>
      <c r="I2990" s="86">
        <v>30</v>
      </c>
      <c r="J2990" s="87"/>
      <c r="K2990" s="87"/>
      <c r="L2990" s="87"/>
      <c r="M2990" s="87"/>
      <c r="N2990" s="87"/>
      <c r="O2990" s="87"/>
      <c r="P2990" s="87"/>
      <c r="Q2990" s="87"/>
      <c r="R2990" s="87"/>
      <c r="S2990" s="87"/>
      <c r="T2990" s="87"/>
      <c r="U2990" s="87"/>
      <c r="V2990" s="87">
        <v>5</v>
      </c>
      <c r="W2990" s="87"/>
      <c r="X2990" s="87"/>
      <c r="Y2990" s="87"/>
      <c r="Z2990" s="87"/>
      <c r="AA2990" s="87"/>
      <c r="AB2990" s="87"/>
      <c r="AC2990" s="87"/>
      <c r="AD2990" s="87"/>
      <c r="AE2990" s="87"/>
      <c r="AF2990" s="87"/>
      <c r="AG2990" s="87"/>
      <c r="AH2990" s="87">
        <v>5</v>
      </c>
      <c r="AI2990" s="87"/>
      <c r="AJ2990" s="87"/>
      <c r="AK2990" s="87"/>
      <c r="AL2990" s="87"/>
      <c r="AM2990" s="87"/>
      <c r="AN2990" s="87"/>
      <c r="AO2990" s="87">
        <v>5</v>
      </c>
      <c r="AP2990" s="87"/>
      <c r="AQ2990" s="87"/>
      <c r="AR2990" s="87"/>
      <c r="AS2990" s="87"/>
      <c r="AT2990" s="87"/>
      <c r="AU2990" s="87"/>
      <c r="AV2990" s="87"/>
      <c r="AW2990" s="88" t="str">
        <f>HYPERLINK("http://www.openstreetmap.org/?mlat=32.1659&amp;mlon=46.0436&amp;zoom=12#map=12/32.1659/46.0436","Maplink1")</f>
        <v>Maplink1</v>
      </c>
      <c r="AX2990" s="88" t="str">
        <f>HYPERLINK("https://www.google.iq/maps/search/+32.1659,46.0436/@32.1659,46.0436,14z?hl=en","Maplink2")</f>
        <v>Maplink2</v>
      </c>
      <c r="AY2990" s="88" t="str">
        <f>HYPERLINK("http://www.bing.com/maps/?lvl=14&amp;sty=h&amp;cp=32.1659~46.0436&amp;sp=point.32.1659_46.0436","Maplink3")</f>
        <v>Maplink3</v>
      </c>
      <c r="AZ2990" s="76"/>
    </row>
    <row r="2991" spans="1:52" x14ac:dyDescent="0.25">
      <c r="A2991" s="86">
        <v>18732</v>
      </c>
      <c r="B2991" s="87" t="s">
        <v>29</v>
      </c>
      <c r="C2991" s="87" t="s">
        <v>5606</v>
      </c>
      <c r="D2991" s="87" t="s">
        <v>5619</v>
      </c>
      <c r="E2991" s="87" t="s">
        <v>5620</v>
      </c>
      <c r="F2991" s="87">
        <v>32.180203785700002</v>
      </c>
      <c r="G2991" s="87">
        <v>46.034299468900002</v>
      </c>
      <c r="H2991" s="86">
        <v>5</v>
      </c>
      <c r="I2991" s="86">
        <v>30</v>
      </c>
      <c r="J2991" s="87"/>
      <c r="K2991" s="87"/>
      <c r="L2991" s="87"/>
      <c r="M2991" s="87"/>
      <c r="N2991" s="87"/>
      <c r="O2991" s="87"/>
      <c r="P2991" s="87"/>
      <c r="Q2991" s="87"/>
      <c r="R2991" s="87"/>
      <c r="S2991" s="87"/>
      <c r="T2991" s="87"/>
      <c r="U2991" s="87"/>
      <c r="V2991" s="87">
        <v>5</v>
      </c>
      <c r="W2991" s="87"/>
      <c r="X2991" s="87"/>
      <c r="Y2991" s="87"/>
      <c r="Z2991" s="87"/>
      <c r="AA2991" s="87"/>
      <c r="AB2991" s="87"/>
      <c r="AC2991" s="87"/>
      <c r="AD2991" s="87"/>
      <c r="AE2991" s="87"/>
      <c r="AF2991" s="87"/>
      <c r="AG2991" s="87"/>
      <c r="AH2991" s="87">
        <v>5</v>
      </c>
      <c r="AI2991" s="87"/>
      <c r="AJ2991" s="87"/>
      <c r="AK2991" s="87"/>
      <c r="AL2991" s="87"/>
      <c r="AM2991" s="87"/>
      <c r="AN2991" s="87"/>
      <c r="AO2991" s="87">
        <v>5</v>
      </c>
      <c r="AP2991" s="87"/>
      <c r="AQ2991" s="87"/>
      <c r="AR2991" s="87"/>
      <c r="AS2991" s="87"/>
      <c r="AT2991" s="87"/>
      <c r="AU2991" s="87"/>
      <c r="AV2991" s="87"/>
      <c r="AW2991" s="88" t="str">
        <f>HYPERLINK("http://www.openstreetmap.org/?mlat=32.1802&amp;mlon=46.0343&amp;zoom=12#map=12/32.1802/46.0343","Maplink1")</f>
        <v>Maplink1</v>
      </c>
      <c r="AX2991" s="88" t="str">
        <f>HYPERLINK("https://www.google.iq/maps/search/+32.1802,46.0343/@32.1802,46.0343,14z?hl=en","Maplink2")</f>
        <v>Maplink2</v>
      </c>
      <c r="AY2991" s="88" t="str">
        <f>HYPERLINK("http://www.bing.com/maps/?lvl=14&amp;sty=h&amp;cp=32.1802~46.0343&amp;sp=point.32.1802_46.0343","Maplink3")</f>
        <v>Maplink3</v>
      </c>
      <c r="AZ2991" s="76"/>
    </row>
    <row r="2992" spans="1:52" x14ac:dyDescent="0.25">
      <c r="A2992" s="86">
        <v>18686</v>
      </c>
      <c r="B2992" s="87" t="s">
        <v>29</v>
      </c>
      <c r="C2992" s="87" t="s">
        <v>5606</v>
      </c>
      <c r="D2992" s="87" t="s">
        <v>5621</v>
      </c>
      <c r="E2992" s="87" t="s">
        <v>206</v>
      </c>
      <c r="F2992" s="87">
        <v>32.264854633299997</v>
      </c>
      <c r="G2992" s="87">
        <v>45.927114198300004</v>
      </c>
      <c r="H2992" s="86">
        <v>6</v>
      </c>
      <c r="I2992" s="86">
        <v>36</v>
      </c>
      <c r="J2992" s="87"/>
      <c r="K2992" s="87"/>
      <c r="L2992" s="87"/>
      <c r="M2992" s="87"/>
      <c r="N2992" s="87"/>
      <c r="O2992" s="87"/>
      <c r="P2992" s="87"/>
      <c r="Q2992" s="87"/>
      <c r="R2992" s="87"/>
      <c r="S2992" s="87"/>
      <c r="T2992" s="87"/>
      <c r="U2992" s="87"/>
      <c r="V2992" s="87">
        <v>6</v>
      </c>
      <c r="W2992" s="87"/>
      <c r="X2992" s="87"/>
      <c r="Y2992" s="87"/>
      <c r="Z2992" s="87"/>
      <c r="AA2992" s="87"/>
      <c r="AB2992" s="87"/>
      <c r="AC2992" s="87"/>
      <c r="AD2992" s="87"/>
      <c r="AE2992" s="87"/>
      <c r="AF2992" s="87"/>
      <c r="AG2992" s="87"/>
      <c r="AH2992" s="87">
        <v>6</v>
      </c>
      <c r="AI2992" s="87"/>
      <c r="AJ2992" s="87"/>
      <c r="AK2992" s="87"/>
      <c r="AL2992" s="87"/>
      <c r="AM2992" s="87"/>
      <c r="AN2992" s="87"/>
      <c r="AO2992" s="87">
        <v>6</v>
      </c>
      <c r="AP2992" s="87"/>
      <c r="AQ2992" s="87"/>
      <c r="AR2992" s="87"/>
      <c r="AS2992" s="87"/>
      <c r="AT2992" s="87"/>
      <c r="AU2992" s="87"/>
      <c r="AV2992" s="87"/>
      <c r="AW2992" s="88" t="str">
        <f>HYPERLINK("http://www.openstreetmap.org/?mlat=32.2649&amp;mlon=45.9271&amp;zoom=12#map=12/32.2649/45.9271","Maplink1")</f>
        <v>Maplink1</v>
      </c>
      <c r="AX2992" s="88" t="str">
        <f>HYPERLINK("https://www.google.iq/maps/search/+32.2649,45.9271/@32.2649,45.9271,14z?hl=en","Maplink2")</f>
        <v>Maplink2</v>
      </c>
      <c r="AY2992" s="88" t="str">
        <f>HYPERLINK("http://www.bing.com/maps/?lvl=14&amp;sty=h&amp;cp=32.2649~45.9271&amp;sp=point.32.2649_45.9271","Maplink3")</f>
        <v>Maplink3</v>
      </c>
      <c r="AZ2992" s="76"/>
    </row>
    <row r="2993" spans="1:52" x14ac:dyDescent="0.25">
      <c r="A2993" s="86">
        <v>18722</v>
      </c>
      <c r="B2993" s="87" t="s">
        <v>29</v>
      </c>
      <c r="C2993" s="87" t="s">
        <v>5606</v>
      </c>
      <c r="D2993" s="87" t="s">
        <v>5622</v>
      </c>
      <c r="E2993" s="87" t="s">
        <v>116</v>
      </c>
      <c r="F2993" s="87">
        <v>32.173621958600002</v>
      </c>
      <c r="G2993" s="87">
        <v>46.045306273900003</v>
      </c>
      <c r="H2993" s="86">
        <v>10</v>
      </c>
      <c r="I2993" s="86">
        <v>60</v>
      </c>
      <c r="J2993" s="87"/>
      <c r="K2993" s="87"/>
      <c r="L2993" s="87"/>
      <c r="M2993" s="87"/>
      <c r="N2993" s="87"/>
      <c r="O2993" s="87"/>
      <c r="P2993" s="87"/>
      <c r="Q2993" s="87"/>
      <c r="R2993" s="87"/>
      <c r="S2993" s="87"/>
      <c r="T2993" s="87"/>
      <c r="U2993" s="87"/>
      <c r="V2993" s="87">
        <v>10</v>
      </c>
      <c r="W2993" s="87"/>
      <c r="X2993" s="87"/>
      <c r="Y2993" s="87"/>
      <c r="Z2993" s="87"/>
      <c r="AA2993" s="87"/>
      <c r="AB2993" s="87"/>
      <c r="AC2993" s="87"/>
      <c r="AD2993" s="87"/>
      <c r="AE2993" s="87"/>
      <c r="AF2993" s="87"/>
      <c r="AG2993" s="87"/>
      <c r="AH2993" s="87">
        <v>10</v>
      </c>
      <c r="AI2993" s="87"/>
      <c r="AJ2993" s="87"/>
      <c r="AK2993" s="87"/>
      <c r="AL2993" s="87"/>
      <c r="AM2993" s="87"/>
      <c r="AN2993" s="87"/>
      <c r="AO2993" s="87"/>
      <c r="AP2993" s="87">
        <v>10</v>
      </c>
      <c r="AQ2993" s="87"/>
      <c r="AR2993" s="87"/>
      <c r="AS2993" s="87"/>
      <c r="AT2993" s="87"/>
      <c r="AU2993" s="87"/>
      <c r="AV2993" s="87"/>
      <c r="AW2993" s="88" t="str">
        <f>HYPERLINK("http://www.openstreetmap.org/?mlat=32.1736&amp;mlon=46.0453&amp;zoom=12#map=12/32.1736/46.0453","Maplink1")</f>
        <v>Maplink1</v>
      </c>
      <c r="AX2993" s="88" t="str">
        <f>HYPERLINK("https://www.google.iq/maps/search/+32.1736,46.0453/@32.1736,46.0453,14z?hl=en","Maplink2")</f>
        <v>Maplink2</v>
      </c>
      <c r="AY2993" s="88" t="str">
        <f>HYPERLINK("http://www.bing.com/maps/?lvl=14&amp;sty=h&amp;cp=32.1736~46.0453&amp;sp=point.32.1736_46.0453","Maplink3")</f>
        <v>Maplink3</v>
      </c>
      <c r="AZ2993" s="76"/>
    </row>
    <row r="2994" spans="1:52" x14ac:dyDescent="0.25">
      <c r="A2994" s="86">
        <v>24105</v>
      </c>
      <c r="B2994" s="87" t="s">
        <v>29</v>
      </c>
      <c r="C2994" s="87" t="s">
        <v>5606</v>
      </c>
      <c r="D2994" s="87" t="s">
        <v>5623</v>
      </c>
      <c r="E2994" s="87" t="s">
        <v>5624</v>
      </c>
      <c r="F2994" s="87">
        <v>32.168652824799999</v>
      </c>
      <c r="G2994" s="87">
        <v>46.0420213616</v>
      </c>
      <c r="H2994" s="86">
        <v>8</v>
      </c>
      <c r="I2994" s="86">
        <v>48</v>
      </c>
      <c r="J2994" s="87"/>
      <c r="K2994" s="87"/>
      <c r="L2994" s="87"/>
      <c r="M2994" s="87"/>
      <c r="N2994" s="87"/>
      <c r="O2994" s="87"/>
      <c r="P2994" s="87"/>
      <c r="Q2994" s="87"/>
      <c r="R2994" s="87"/>
      <c r="S2994" s="87"/>
      <c r="T2994" s="87"/>
      <c r="U2994" s="87"/>
      <c r="V2994" s="87">
        <v>8</v>
      </c>
      <c r="W2994" s="87"/>
      <c r="X2994" s="87"/>
      <c r="Y2994" s="87"/>
      <c r="Z2994" s="87"/>
      <c r="AA2994" s="87"/>
      <c r="AB2994" s="87"/>
      <c r="AC2994" s="87"/>
      <c r="AD2994" s="87"/>
      <c r="AE2994" s="87"/>
      <c r="AF2994" s="87"/>
      <c r="AG2994" s="87"/>
      <c r="AH2994" s="87">
        <v>8</v>
      </c>
      <c r="AI2994" s="87"/>
      <c r="AJ2994" s="87"/>
      <c r="AK2994" s="87"/>
      <c r="AL2994" s="87"/>
      <c r="AM2994" s="87"/>
      <c r="AN2994" s="87"/>
      <c r="AO2994" s="87">
        <v>8</v>
      </c>
      <c r="AP2994" s="87"/>
      <c r="AQ2994" s="87"/>
      <c r="AR2994" s="87"/>
      <c r="AS2994" s="87"/>
      <c r="AT2994" s="87"/>
      <c r="AU2994" s="87"/>
      <c r="AV2994" s="87"/>
      <c r="AW2994" s="88" t="str">
        <f>HYPERLINK("http://www.openstreetmap.org/?mlat=32.1687&amp;mlon=46.042&amp;zoom=12#map=12/32.1687/46.042","Maplink1")</f>
        <v>Maplink1</v>
      </c>
      <c r="AX2994" s="88" t="str">
        <f>HYPERLINK("https://www.google.iq/maps/search/+32.1687,46.042/@32.1687,46.042,14z?hl=en","Maplink2")</f>
        <v>Maplink2</v>
      </c>
      <c r="AY2994" s="88" t="str">
        <f>HYPERLINK("http://www.bing.com/maps/?lvl=14&amp;sty=h&amp;cp=32.1687~46.042&amp;sp=point.32.1687_46.042","Maplink3")</f>
        <v>Maplink3</v>
      </c>
      <c r="AZ2994" s="76"/>
    </row>
    <row r="2995" spans="1:52" x14ac:dyDescent="0.25">
      <c r="A2995" s="86">
        <v>25581</v>
      </c>
      <c r="B2995" s="87" t="s">
        <v>29</v>
      </c>
      <c r="C2995" s="87" t="s">
        <v>5606</v>
      </c>
      <c r="D2995" s="87" t="s">
        <v>5625</v>
      </c>
      <c r="E2995" s="87" t="s">
        <v>5626</v>
      </c>
      <c r="F2995" s="87">
        <v>32.166661503699999</v>
      </c>
      <c r="G2995" s="87">
        <v>46.055818121500003</v>
      </c>
      <c r="H2995" s="86">
        <v>8</v>
      </c>
      <c r="I2995" s="86">
        <v>48</v>
      </c>
      <c r="J2995" s="87"/>
      <c r="K2995" s="87"/>
      <c r="L2995" s="87"/>
      <c r="M2995" s="87"/>
      <c r="N2995" s="87"/>
      <c r="O2995" s="87"/>
      <c r="P2995" s="87"/>
      <c r="Q2995" s="87"/>
      <c r="R2995" s="87"/>
      <c r="S2995" s="87"/>
      <c r="T2995" s="87"/>
      <c r="U2995" s="87"/>
      <c r="V2995" s="87">
        <v>8</v>
      </c>
      <c r="W2995" s="87"/>
      <c r="X2995" s="87"/>
      <c r="Y2995" s="87"/>
      <c r="Z2995" s="87"/>
      <c r="AA2995" s="87"/>
      <c r="AB2995" s="87"/>
      <c r="AC2995" s="87"/>
      <c r="AD2995" s="87"/>
      <c r="AE2995" s="87"/>
      <c r="AF2995" s="87"/>
      <c r="AG2995" s="87"/>
      <c r="AH2995" s="87">
        <v>8</v>
      </c>
      <c r="AI2995" s="87"/>
      <c r="AJ2995" s="87"/>
      <c r="AK2995" s="87"/>
      <c r="AL2995" s="87"/>
      <c r="AM2995" s="87"/>
      <c r="AN2995" s="87"/>
      <c r="AO2995" s="87">
        <v>8</v>
      </c>
      <c r="AP2995" s="87"/>
      <c r="AQ2995" s="87"/>
      <c r="AR2995" s="87"/>
      <c r="AS2995" s="87"/>
      <c r="AT2995" s="87"/>
      <c r="AU2995" s="87"/>
      <c r="AV2995" s="87"/>
      <c r="AW2995" s="88" t="str">
        <f>HYPERLINK("http://www.openstreetmap.org/?mlat=32.1667&amp;mlon=46.0558&amp;zoom=12#map=12/32.1667/46.0558","Maplink1")</f>
        <v>Maplink1</v>
      </c>
      <c r="AX2995" s="88" t="str">
        <f>HYPERLINK("https://www.google.iq/maps/search/+32.1667,46.0558/@32.1667,46.0558,14z?hl=en","Maplink2")</f>
        <v>Maplink2</v>
      </c>
      <c r="AY2995" s="88" t="str">
        <f>HYPERLINK("http://www.bing.com/maps/?lvl=14&amp;sty=h&amp;cp=32.1667~46.0558&amp;sp=point.32.1667_46.0558","Maplink3")</f>
        <v>Maplink3</v>
      </c>
      <c r="AZ2995" s="76"/>
    </row>
    <row r="2996" spans="1:52" x14ac:dyDescent="0.25">
      <c r="A2996" s="86">
        <v>19049</v>
      </c>
      <c r="B2996" s="87" t="s">
        <v>29</v>
      </c>
      <c r="C2996" s="87" t="s">
        <v>5627</v>
      </c>
      <c r="D2996" s="87" t="s">
        <v>5628</v>
      </c>
      <c r="E2996" s="87" t="s">
        <v>5629</v>
      </c>
      <c r="F2996" s="87">
        <v>32.517868826700003</v>
      </c>
      <c r="G2996" s="87">
        <v>45.607934532500003</v>
      </c>
      <c r="H2996" s="86">
        <v>15</v>
      </c>
      <c r="I2996" s="86">
        <v>90</v>
      </c>
      <c r="J2996" s="87"/>
      <c r="K2996" s="87"/>
      <c r="L2996" s="87"/>
      <c r="M2996" s="87"/>
      <c r="N2996" s="87"/>
      <c r="O2996" s="87"/>
      <c r="P2996" s="87"/>
      <c r="Q2996" s="87"/>
      <c r="R2996" s="87">
        <v>5</v>
      </c>
      <c r="S2996" s="87"/>
      <c r="T2996" s="87"/>
      <c r="U2996" s="87"/>
      <c r="V2996" s="87">
        <v>10</v>
      </c>
      <c r="W2996" s="87"/>
      <c r="X2996" s="87"/>
      <c r="Y2996" s="87"/>
      <c r="Z2996" s="87"/>
      <c r="AA2996" s="87"/>
      <c r="AB2996" s="87"/>
      <c r="AC2996" s="87"/>
      <c r="AD2996" s="87"/>
      <c r="AE2996" s="87"/>
      <c r="AF2996" s="87"/>
      <c r="AG2996" s="87">
        <v>1</v>
      </c>
      <c r="AH2996" s="87">
        <v>14</v>
      </c>
      <c r="AI2996" s="87"/>
      <c r="AJ2996" s="87"/>
      <c r="AK2996" s="87"/>
      <c r="AL2996" s="87"/>
      <c r="AM2996" s="87"/>
      <c r="AN2996" s="87"/>
      <c r="AO2996" s="87">
        <v>15</v>
      </c>
      <c r="AP2996" s="87"/>
      <c r="AQ2996" s="87"/>
      <c r="AR2996" s="87"/>
      <c r="AS2996" s="87"/>
      <c r="AT2996" s="87"/>
      <c r="AU2996" s="87"/>
      <c r="AV2996" s="87"/>
      <c r="AW2996" s="88" t="str">
        <f>HYPERLINK("http://www.openstreetmap.org/?mlat=32.5179&amp;mlon=45.6079&amp;zoom=12#map=12/32.5179/45.6079","Maplink1")</f>
        <v>Maplink1</v>
      </c>
      <c r="AX2996" s="88" t="str">
        <f>HYPERLINK("https://www.google.iq/maps/search/+32.5179,45.6079/@32.5179,45.6079,14z?hl=en","Maplink2")</f>
        <v>Maplink2</v>
      </c>
      <c r="AY2996" s="88" t="str">
        <f>HYPERLINK("http://www.bing.com/maps/?lvl=14&amp;sty=h&amp;cp=32.5179~45.6079&amp;sp=point.32.5179_45.6079","Maplink3")</f>
        <v>Maplink3</v>
      </c>
      <c r="AZ2996" s="76"/>
    </row>
    <row r="2997" spans="1:52" x14ac:dyDescent="0.25">
      <c r="A2997" s="86">
        <v>19539</v>
      </c>
      <c r="B2997" s="87" t="s">
        <v>29</v>
      </c>
      <c r="C2997" s="87" t="s">
        <v>5627</v>
      </c>
      <c r="D2997" s="87" t="s">
        <v>5630</v>
      </c>
      <c r="E2997" s="87" t="s">
        <v>5631</v>
      </c>
      <c r="F2997" s="87">
        <v>32.531224395499997</v>
      </c>
      <c r="G2997" s="87">
        <v>45.345867325500002</v>
      </c>
      <c r="H2997" s="86">
        <v>10</v>
      </c>
      <c r="I2997" s="86">
        <v>60</v>
      </c>
      <c r="J2997" s="87"/>
      <c r="K2997" s="87"/>
      <c r="L2997" s="87"/>
      <c r="M2997" s="87"/>
      <c r="N2997" s="87"/>
      <c r="O2997" s="87"/>
      <c r="P2997" s="87"/>
      <c r="Q2997" s="87"/>
      <c r="R2997" s="87"/>
      <c r="S2997" s="87"/>
      <c r="T2997" s="87"/>
      <c r="U2997" s="87"/>
      <c r="V2997" s="87">
        <v>10</v>
      </c>
      <c r="W2997" s="87"/>
      <c r="X2997" s="87"/>
      <c r="Y2997" s="87"/>
      <c r="Z2997" s="87"/>
      <c r="AA2997" s="87"/>
      <c r="AB2997" s="87"/>
      <c r="AC2997" s="87"/>
      <c r="AD2997" s="87"/>
      <c r="AE2997" s="87"/>
      <c r="AF2997" s="87"/>
      <c r="AG2997" s="87">
        <v>10</v>
      </c>
      <c r="AH2997" s="87"/>
      <c r="AI2997" s="87"/>
      <c r="AJ2997" s="87"/>
      <c r="AK2997" s="87"/>
      <c r="AL2997" s="87"/>
      <c r="AM2997" s="87"/>
      <c r="AN2997" s="87"/>
      <c r="AO2997" s="87">
        <v>10</v>
      </c>
      <c r="AP2997" s="87"/>
      <c r="AQ2997" s="87"/>
      <c r="AR2997" s="87"/>
      <c r="AS2997" s="87"/>
      <c r="AT2997" s="87"/>
      <c r="AU2997" s="87"/>
      <c r="AV2997" s="87"/>
      <c r="AW2997" s="88" t="str">
        <f>HYPERLINK("http://www.openstreetmap.org/?mlat=32.5312&amp;mlon=45.3459&amp;zoom=12#map=12/32.5312/45.3459","Maplink1")</f>
        <v>Maplink1</v>
      </c>
      <c r="AX2997" s="88" t="str">
        <f>HYPERLINK("https://www.google.iq/maps/search/+32.5312,45.3459/@32.5312,45.3459,14z?hl=en","Maplink2")</f>
        <v>Maplink2</v>
      </c>
      <c r="AY2997" s="88" t="str">
        <f>HYPERLINK("http://www.bing.com/maps/?lvl=14&amp;sty=h&amp;cp=32.5312~45.3459&amp;sp=point.32.5312_45.3459","Maplink3")</f>
        <v>Maplink3</v>
      </c>
      <c r="AZ2997" s="76"/>
    </row>
    <row r="2998" spans="1:52" x14ac:dyDescent="0.25">
      <c r="A2998" s="86">
        <v>25096</v>
      </c>
      <c r="B2998" s="87" t="s">
        <v>29</v>
      </c>
      <c r="C2998" s="87" t="s">
        <v>5627</v>
      </c>
      <c r="D2998" s="87" t="s">
        <v>5632</v>
      </c>
      <c r="E2998" s="87" t="s">
        <v>5633</v>
      </c>
      <c r="F2998" s="87">
        <v>32.543523516999997</v>
      </c>
      <c r="G2998" s="87">
        <v>45.3853146776</v>
      </c>
      <c r="H2998" s="86">
        <v>10</v>
      </c>
      <c r="I2998" s="86">
        <v>60</v>
      </c>
      <c r="J2998" s="87"/>
      <c r="K2998" s="87"/>
      <c r="L2998" s="87"/>
      <c r="M2998" s="87"/>
      <c r="N2998" s="87"/>
      <c r="O2998" s="87"/>
      <c r="P2998" s="87"/>
      <c r="Q2998" s="87"/>
      <c r="R2998" s="87">
        <v>10</v>
      </c>
      <c r="S2998" s="87"/>
      <c r="T2998" s="87"/>
      <c r="U2998" s="87"/>
      <c r="V2998" s="87"/>
      <c r="W2998" s="87"/>
      <c r="X2998" s="87"/>
      <c r="Y2998" s="87"/>
      <c r="Z2998" s="87"/>
      <c r="AA2998" s="87"/>
      <c r="AB2998" s="87"/>
      <c r="AC2998" s="87">
        <v>9</v>
      </c>
      <c r="AD2998" s="87"/>
      <c r="AE2998" s="87"/>
      <c r="AF2998" s="87"/>
      <c r="AG2998" s="87">
        <v>1</v>
      </c>
      <c r="AH2998" s="87"/>
      <c r="AI2998" s="87"/>
      <c r="AJ2998" s="87"/>
      <c r="AK2998" s="87"/>
      <c r="AL2998" s="87"/>
      <c r="AM2998" s="87"/>
      <c r="AN2998" s="87">
        <v>10</v>
      </c>
      <c r="AO2998" s="87"/>
      <c r="AP2998" s="87"/>
      <c r="AQ2998" s="87"/>
      <c r="AR2998" s="87"/>
      <c r="AS2998" s="87"/>
      <c r="AT2998" s="87"/>
      <c r="AU2998" s="87"/>
      <c r="AV2998" s="87"/>
      <c r="AW2998" s="88" t="str">
        <f>HYPERLINK("http://www.openstreetmap.org/?mlat=32.5435&amp;mlon=45.3853&amp;zoom=12#map=12/32.5435/45.3853","Maplink1")</f>
        <v>Maplink1</v>
      </c>
      <c r="AX2998" s="88" t="str">
        <f>HYPERLINK("https://www.google.iq/maps/search/+32.5435,45.3853/@32.5435,45.3853,14z?hl=en","Maplink2")</f>
        <v>Maplink2</v>
      </c>
      <c r="AY2998" s="88" t="str">
        <f>HYPERLINK("http://www.bing.com/maps/?lvl=14&amp;sty=h&amp;cp=32.5435~45.3853&amp;sp=point.32.5435_45.3853","Maplink3")</f>
        <v>Maplink3</v>
      </c>
      <c r="AZ2998" s="76"/>
    </row>
    <row r="2999" spans="1:52" x14ac:dyDescent="0.25">
      <c r="A2999" s="86">
        <v>25796</v>
      </c>
      <c r="B2999" s="87" t="s">
        <v>29</v>
      </c>
      <c r="C2999" s="87" t="s">
        <v>5627</v>
      </c>
      <c r="D2999" s="87" t="s">
        <v>5634</v>
      </c>
      <c r="E2999" s="87" t="s">
        <v>5635</v>
      </c>
      <c r="F2999" s="87">
        <v>32.542867091300003</v>
      </c>
      <c r="G2999" s="87">
        <v>45.416702741100003</v>
      </c>
      <c r="H2999" s="86">
        <v>20</v>
      </c>
      <c r="I2999" s="86">
        <v>120</v>
      </c>
      <c r="J2999" s="87"/>
      <c r="K2999" s="87"/>
      <c r="L2999" s="87"/>
      <c r="M2999" s="87"/>
      <c r="N2999" s="87"/>
      <c r="O2999" s="87"/>
      <c r="P2999" s="87"/>
      <c r="Q2999" s="87"/>
      <c r="R2999" s="87">
        <v>10</v>
      </c>
      <c r="S2999" s="87"/>
      <c r="T2999" s="87"/>
      <c r="U2999" s="87"/>
      <c r="V2999" s="87">
        <v>10</v>
      </c>
      <c r="W2999" s="87"/>
      <c r="X2999" s="87"/>
      <c r="Y2999" s="87"/>
      <c r="Z2999" s="87"/>
      <c r="AA2999" s="87"/>
      <c r="AB2999" s="87"/>
      <c r="AC2999" s="87"/>
      <c r="AD2999" s="87"/>
      <c r="AE2999" s="87"/>
      <c r="AF2999" s="87"/>
      <c r="AG2999" s="87"/>
      <c r="AH2999" s="87">
        <v>20</v>
      </c>
      <c r="AI2999" s="87"/>
      <c r="AJ2999" s="87"/>
      <c r="AK2999" s="87"/>
      <c r="AL2999" s="87"/>
      <c r="AM2999" s="87"/>
      <c r="AN2999" s="87">
        <v>10</v>
      </c>
      <c r="AO2999" s="87">
        <v>10</v>
      </c>
      <c r="AP2999" s="87"/>
      <c r="AQ2999" s="87"/>
      <c r="AR2999" s="87"/>
      <c r="AS2999" s="87"/>
      <c r="AT2999" s="87"/>
      <c r="AU2999" s="87"/>
      <c r="AV2999" s="87"/>
      <c r="AW2999" s="88" t="str">
        <f>HYPERLINK("http://www.openstreetmap.org/?mlat=32.5429&amp;mlon=45.4167&amp;zoom=12#map=12/32.5429/45.4167","Maplink1")</f>
        <v>Maplink1</v>
      </c>
      <c r="AX2999" s="88" t="str">
        <f>HYPERLINK("https://www.google.iq/maps/search/+32.5429,45.4167/@32.5429,45.4167,14z?hl=en","Maplink2")</f>
        <v>Maplink2</v>
      </c>
      <c r="AY2999" s="88" t="str">
        <f>HYPERLINK("http://www.bing.com/maps/?lvl=14&amp;sty=h&amp;cp=32.5429~45.4167&amp;sp=point.32.5429_45.4167","Maplink3")</f>
        <v>Maplink3</v>
      </c>
      <c r="AZ2999" s="76"/>
    </row>
    <row r="3000" spans="1:52" x14ac:dyDescent="0.25">
      <c r="A3000" s="86">
        <v>26025</v>
      </c>
      <c r="B3000" s="87" t="s">
        <v>29</v>
      </c>
      <c r="C3000" s="87" t="s">
        <v>5627</v>
      </c>
      <c r="D3000" s="87" t="s">
        <v>5636</v>
      </c>
      <c r="E3000" s="87" t="s">
        <v>5637</v>
      </c>
      <c r="F3000" s="87">
        <v>32.508333585700001</v>
      </c>
      <c r="G3000" s="87">
        <v>45.260133336300001</v>
      </c>
      <c r="H3000" s="86">
        <v>12</v>
      </c>
      <c r="I3000" s="86">
        <v>72</v>
      </c>
      <c r="J3000" s="87"/>
      <c r="K3000" s="87"/>
      <c r="L3000" s="87"/>
      <c r="M3000" s="87"/>
      <c r="N3000" s="87"/>
      <c r="O3000" s="87"/>
      <c r="P3000" s="87"/>
      <c r="Q3000" s="87"/>
      <c r="R3000" s="87"/>
      <c r="S3000" s="87"/>
      <c r="T3000" s="87"/>
      <c r="U3000" s="87"/>
      <c r="V3000" s="87">
        <v>12</v>
      </c>
      <c r="W3000" s="87"/>
      <c r="X3000" s="87"/>
      <c r="Y3000" s="87"/>
      <c r="Z3000" s="87"/>
      <c r="AA3000" s="87"/>
      <c r="AB3000" s="87"/>
      <c r="AC3000" s="87"/>
      <c r="AD3000" s="87"/>
      <c r="AE3000" s="87"/>
      <c r="AF3000" s="87"/>
      <c r="AG3000" s="87">
        <v>3</v>
      </c>
      <c r="AH3000" s="87">
        <v>9</v>
      </c>
      <c r="AI3000" s="87"/>
      <c r="AJ3000" s="87"/>
      <c r="AK3000" s="87"/>
      <c r="AL3000" s="87"/>
      <c r="AM3000" s="87"/>
      <c r="AN3000" s="87"/>
      <c r="AO3000" s="87">
        <v>12</v>
      </c>
      <c r="AP3000" s="87"/>
      <c r="AQ3000" s="87"/>
      <c r="AR3000" s="87"/>
      <c r="AS3000" s="87"/>
      <c r="AT3000" s="87"/>
      <c r="AU3000" s="87"/>
      <c r="AV3000" s="87"/>
      <c r="AW3000" s="88" t="str">
        <f>HYPERLINK("http://www.openstreetmap.org/?mlat=32.5083&amp;mlon=45.2601&amp;zoom=12#map=12/32.5083/45.2601","Maplink1")</f>
        <v>Maplink1</v>
      </c>
      <c r="AX3000" s="88" t="str">
        <f>HYPERLINK("https://www.google.iq/maps/search/+32.5083,45.2601/@32.5083,45.2601,14z?hl=en","Maplink2")</f>
        <v>Maplink2</v>
      </c>
      <c r="AY3000" s="88" t="str">
        <f>HYPERLINK("http://www.bing.com/maps/?lvl=14&amp;sty=h&amp;cp=32.5083~45.2601&amp;sp=point.32.5083_45.2601","Maplink3")</f>
        <v>Maplink3</v>
      </c>
      <c r="AZ3000" s="76"/>
    </row>
    <row r="3001" spans="1:52" x14ac:dyDescent="0.25">
      <c r="A3001" s="86">
        <v>25098</v>
      </c>
      <c r="B3001" s="87" t="s">
        <v>29</v>
      </c>
      <c r="C3001" s="87" t="s">
        <v>5627</v>
      </c>
      <c r="D3001" s="87" t="s">
        <v>5638</v>
      </c>
      <c r="E3001" s="87" t="s">
        <v>5639</v>
      </c>
      <c r="F3001" s="87">
        <v>32.519563680099999</v>
      </c>
      <c r="G3001" s="87">
        <v>45.298834350299998</v>
      </c>
      <c r="H3001" s="86">
        <v>15</v>
      </c>
      <c r="I3001" s="86">
        <v>90</v>
      </c>
      <c r="J3001" s="87"/>
      <c r="K3001" s="87"/>
      <c r="L3001" s="87"/>
      <c r="M3001" s="87"/>
      <c r="N3001" s="87"/>
      <c r="O3001" s="87"/>
      <c r="P3001" s="87"/>
      <c r="Q3001" s="87"/>
      <c r="R3001" s="87"/>
      <c r="S3001" s="87"/>
      <c r="T3001" s="87"/>
      <c r="U3001" s="87"/>
      <c r="V3001" s="87">
        <v>15</v>
      </c>
      <c r="W3001" s="87"/>
      <c r="X3001" s="87"/>
      <c r="Y3001" s="87"/>
      <c r="Z3001" s="87"/>
      <c r="AA3001" s="87"/>
      <c r="AB3001" s="87"/>
      <c r="AC3001" s="87"/>
      <c r="AD3001" s="87"/>
      <c r="AE3001" s="87"/>
      <c r="AF3001" s="87"/>
      <c r="AG3001" s="87">
        <v>3</v>
      </c>
      <c r="AH3001" s="87">
        <v>12</v>
      </c>
      <c r="AI3001" s="87"/>
      <c r="AJ3001" s="87"/>
      <c r="AK3001" s="87"/>
      <c r="AL3001" s="87"/>
      <c r="AM3001" s="87"/>
      <c r="AN3001" s="87"/>
      <c r="AO3001" s="87">
        <v>15</v>
      </c>
      <c r="AP3001" s="87"/>
      <c r="AQ3001" s="87"/>
      <c r="AR3001" s="87"/>
      <c r="AS3001" s="87"/>
      <c r="AT3001" s="87"/>
      <c r="AU3001" s="87"/>
      <c r="AV3001" s="87"/>
      <c r="AW3001" s="88" t="str">
        <f>HYPERLINK("http://www.openstreetmap.org/?mlat=32.5196&amp;mlon=45.2988&amp;zoom=12#map=12/32.5196/45.2988","Maplink1")</f>
        <v>Maplink1</v>
      </c>
      <c r="AX3001" s="88" t="str">
        <f>HYPERLINK("https://www.google.iq/maps/search/+32.5196,45.2988/@32.5196,45.2988,14z?hl=en","Maplink2")</f>
        <v>Maplink2</v>
      </c>
      <c r="AY3001" s="88" t="str">
        <f>HYPERLINK("http://www.bing.com/maps/?lvl=14&amp;sty=h&amp;cp=32.5196~45.2988&amp;sp=point.32.5196_45.2988","Maplink3")</f>
        <v>Maplink3</v>
      </c>
      <c r="AZ3001" s="76"/>
    </row>
    <row r="3002" spans="1:52" x14ac:dyDescent="0.25">
      <c r="A3002" s="86">
        <v>25097</v>
      </c>
      <c r="B3002" s="87" t="s">
        <v>29</v>
      </c>
      <c r="C3002" s="87" t="s">
        <v>5627</v>
      </c>
      <c r="D3002" s="87" t="s">
        <v>5640</v>
      </c>
      <c r="E3002" s="87" t="s">
        <v>5641</v>
      </c>
      <c r="F3002" s="87">
        <v>32.513626803800001</v>
      </c>
      <c r="G3002" s="87">
        <v>45.280720608599999</v>
      </c>
      <c r="H3002" s="86">
        <v>11</v>
      </c>
      <c r="I3002" s="86">
        <v>66</v>
      </c>
      <c r="J3002" s="87"/>
      <c r="K3002" s="87"/>
      <c r="L3002" s="87"/>
      <c r="M3002" s="87"/>
      <c r="N3002" s="87"/>
      <c r="O3002" s="87"/>
      <c r="P3002" s="87"/>
      <c r="Q3002" s="87"/>
      <c r="R3002" s="87"/>
      <c r="S3002" s="87"/>
      <c r="T3002" s="87"/>
      <c r="U3002" s="87"/>
      <c r="V3002" s="87">
        <v>11</v>
      </c>
      <c r="W3002" s="87"/>
      <c r="X3002" s="87"/>
      <c r="Y3002" s="87"/>
      <c r="Z3002" s="87"/>
      <c r="AA3002" s="87"/>
      <c r="AB3002" s="87"/>
      <c r="AC3002" s="87"/>
      <c r="AD3002" s="87"/>
      <c r="AE3002" s="87"/>
      <c r="AF3002" s="87"/>
      <c r="AG3002" s="87">
        <v>3</v>
      </c>
      <c r="AH3002" s="87">
        <v>8</v>
      </c>
      <c r="AI3002" s="87"/>
      <c r="AJ3002" s="87"/>
      <c r="AK3002" s="87"/>
      <c r="AL3002" s="87"/>
      <c r="AM3002" s="87"/>
      <c r="AN3002" s="87"/>
      <c r="AO3002" s="87">
        <v>11</v>
      </c>
      <c r="AP3002" s="87"/>
      <c r="AQ3002" s="87"/>
      <c r="AR3002" s="87"/>
      <c r="AS3002" s="87"/>
      <c r="AT3002" s="87"/>
      <c r="AU3002" s="87"/>
      <c r="AV3002" s="87"/>
      <c r="AW3002" s="88" t="str">
        <f>HYPERLINK("http://www.openstreetmap.org/?mlat=32.5136&amp;mlon=45.2807&amp;zoom=12#map=12/32.5136/45.2807","Maplink1")</f>
        <v>Maplink1</v>
      </c>
      <c r="AX3002" s="88" t="str">
        <f>HYPERLINK("https://www.google.iq/maps/search/+32.5136,45.2807/@32.5136,45.2807,14z?hl=en","Maplink2")</f>
        <v>Maplink2</v>
      </c>
      <c r="AY3002" s="88" t="str">
        <f>HYPERLINK("http://www.bing.com/maps/?lvl=14&amp;sty=h&amp;cp=32.5136~45.2807&amp;sp=point.32.5136_45.2807","Maplink3")</f>
        <v>Maplink3</v>
      </c>
      <c r="AZ3002" s="76"/>
    </row>
    <row r="3003" spans="1:52" x14ac:dyDescent="0.25">
      <c r="A3003" s="86">
        <v>18774</v>
      </c>
      <c r="B3003" s="87" t="s">
        <v>29</v>
      </c>
      <c r="C3003" s="87" t="s">
        <v>5642</v>
      </c>
      <c r="D3003" s="87" t="s">
        <v>5643</v>
      </c>
      <c r="E3003" s="87" t="s">
        <v>5644</v>
      </c>
      <c r="F3003" s="87">
        <v>32.977708943000003</v>
      </c>
      <c r="G3003" s="87">
        <v>44.776516255200001</v>
      </c>
      <c r="H3003" s="86">
        <v>8</v>
      </c>
      <c r="I3003" s="86">
        <v>48</v>
      </c>
      <c r="J3003" s="87">
        <v>3</v>
      </c>
      <c r="K3003" s="87"/>
      <c r="L3003" s="87"/>
      <c r="M3003" s="87"/>
      <c r="N3003" s="87"/>
      <c r="O3003" s="87"/>
      <c r="P3003" s="87"/>
      <c r="Q3003" s="87"/>
      <c r="R3003" s="87"/>
      <c r="S3003" s="87"/>
      <c r="T3003" s="87"/>
      <c r="U3003" s="87"/>
      <c r="V3003" s="87">
        <v>5</v>
      </c>
      <c r="W3003" s="87"/>
      <c r="X3003" s="87"/>
      <c r="Y3003" s="87"/>
      <c r="Z3003" s="87"/>
      <c r="AA3003" s="87"/>
      <c r="AB3003" s="87"/>
      <c r="AC3003" s="87"/>
      <c r="AD3003" s="87"/>
      <c r="AE3003" s="87"/>
      <c r="AF3003" s="87"/>
      <c r="AG3003" s="87"/>
      <c r="AH3003" s="87">
        <v>8</v>
      </c>
      <c r="AI3003" s="87"/>
      <c r="AJ3003" s="87"/>
      <c r="AK3003" s="87"/>
      <c r="AL3003" s="87"/>
      <c r="AM3003" s="87"/>
      <c r="AN3003" s="87">
        <v>8</v>
      </c>
      <c r="AO3003" s="87"/>
      <c r="AP3003" s="87"/>
      <c r="AQ3003" s="87"/>
      <c r="AR3003" s="87"/>
      <c r="AS3003" s="87"/>
      <c r="AT3003" s="87"/>
      <c r="AU3003" s="87"/>
      <c r="AV3003" s="87"/>
      <c r="AW3003" s="88" t="str">
        <f>HYPERLINK("http://www.openstreetmap.org/?mlat=32.9777&amp;mlon=44.7765&amp;zoom=12#map=12/32.9777/44.7765","Maplink1")</f>
        <v>Maplink1</v>
      </c>
      <c r="AX3003" s="88" t="str">
        <f>HYPERLINK("https://www.google.iq/maps/search/+32.9777,44.7765/@32.9777,44.7765,14z?hl=en","Maplink2")</f>
        <v>Maplink2</v>
      </c>
      <c r="AY3003" s="88" t="str">
        <f>HYPERLINK("http://www.bing.com/maps/?lvl=14&amp;sty=h&amp;cp=32.9777~44.7765&amp;sp=point.32.9777_44.7765","Maplink3")</f>
        <v>Maplink3</v>
      </c>
      <c r="AZ3003" s="76"/>
    </row>
    <row r="3004" spans="1:52" x14ac:dyDescent="0.25">
      <c r="A3004" s="86">
        <v>25385</v>
      </c>
      <c r="B3004" s="87" t="s">
        <v>29</v>
      </c>
      <c r="C3004" s="87" t="s">
        <v>5642</v>
      </c>
      <c r="D3004" s="87" t="s">
        <v>5645</v>
      </c>
      <c r="E3004" s="87" t="s">
        <v>5646</v>
      </c>
      <c r="F3004" s="87">
        <v>32.919433504899999</v>
      </c>
      <c r="G3004" s="87">
        <v>44.7694341459</v>
      </c>
      <c r="H3004" s="86">
        <v>8</v>
      </c>
      <c r="I3004" s="86">
        <v>48</v>
      </c>
      <c r="J3004" s="87"/>
      <c r="K3004" s="87"/>
      <c r="L3004" s="87"/>
      <c r="M3004" s="87"/>
      <c r="N3004" s="87"/>
      <c r="O3004" s="87"/>
      <c r="P3004" s="87"/>
      <c r="Q3004" s="87"/>
      <c r="R3004" s="87"/>
      <c r="S3004" s="87"/>
      <c r="T3004" s="87"/>
      <c r="U3004" s="87"/>
      <c r="V3004" s="87"/>
      <c r="W3004" s="87"/>
      <c r="X3004" s="87">
        <v>8</v>
      </c>
      <c r="Y3004" s="87"/>
      <c r="Z3004" s="87"/>
      <c r="AA3004" s="87"/>
      <c r="AB3004" s="87"/>
      <c r="AC3004" s="87"/>
      <c r="AD3004" s="87"/>
      <c r="AE3004" s="87"/>
      <c r="AF3004" s="87"/>
      <c r="AG3004" s="87"/>
      <c r="AH3004" s="87">
        <v>8</v>
      </c>
      <c r="AI3004" s="87"/>
      <c r="AJ3004" s="87"/>
      <c r="AK3004" s="87"/>
      <c r="AL3004" s="87"/>
      <c r="AM3004" s="87"/>
      <c r="AN3004" s="87"/>
      <c r="AO3004" s="87"/>
      <c r="AP3004" s="87">
        <v>8</v>
      </c>
      <c r="AQ3004" s="87"/>
      <c r="AR3004" s="87"/>
      <c r="AS3004" s="87"/>
      <c r="AT3004" s="87"/>
      <c r="AU3004" s="87"/>
      <c r="AV3004" s="87"/>
      <c r="AW3004" s="88" t="str">
        <f>HYPERLINK("http://www.openstreetmap.org/?mlat=32.9194&amp;mlon=44.7694&amp;zoom=12#map=12/32.9194/44.7694","Maplink1")</f>
        <v>Maplink1</v>
      </c>
      <c r="AX3004" s="88" t="str">
        <f>HYPERLINK("https://www.google.iq/maps/search/+32.9194,44.7694/@32.9194,44.7694,14z?hl=en","Maplink2")</f>
        <v>Maplink2</v>
      </c>
      <c r="AY3004" s="88" t="str">
        <f>HYPERLINK("http://www.bing.com/maps/?lvl=14&amp;sty=h&amp;cp=32.9194~44.7694&amp;sp=point.32.9194_44.7694","Maplink3")</f>
        <v>Maplink3</v>
      </c>
      <c r="AZ3004" s="76"/>
    </row>
    <row r="3005" spans="1:52" x14ac:dyDescent="0.25">
      <c r="A3005" s="86">
        <v>25112</v>
      </c>
      <c r="B3005" s="87" t="s">
        <v>29</v>
      </c>
      <c r="C3005" s="87" t="s">
        <v>5642</v>
      </c>
      <c r="D3005" s="87" t="s">
        <v>5647</v>
      </c>
      <c r="E3005" s="87" t="s">
        <v>269</v>
      </c>
      <c r="F3005" s="87">
        <v>32.767458490099997</v>
      </c>
      <c r="G3005" s="87">
        <v>45.167236199999998</v>
      </c>
      <c r="H3005" s="86">
        <v>7</v>
      </c>
      <c r="I3005" s="86">
        <v>42</v>
      </c>
      <c r="J3005" s="87"/>
      <c r="K3005" s="87"/>
      <c r="L3005" s="87"/>
      <c r="M3005" s="87"/>
      <c r="N3005" s="87"/>
      <c r="O3005" s="87"/>
      <c r="P3005" s="87"/>
      <c r="Q3005" s="87"/>
      <c r="R3005" s="87"/>
      <c r="S3005" s="87"/>
      <c r="T3005" s="87"/>
      <c r="U3005" s="87"/>
      <c r="V3005" s="87">
        <v>7</v>
      </c>
      <c r="W3005" s="87"/>
      <c r="X3005" s="87"/>
      <c r="Y3005" s="87"/>
      <c r="Z3005" s="87"/>
      <c r="AA3005" s="87"/>
      <c r="AB3005" s="87"/>
      <c r="AC3005" s="87"/>
      <c r="AD3005" s="87"/>
      <c r="AE3005" s="87"/>
      <c r="AF3005" s="87"/>
      <c r="AG3005" s="87"/>
      <c r="AH3005" s="87">
        <v>7</v>
      </c>
      <c r="AI3005" s="87"/>
      <c r="AJ3005" s="87"/>
      <c r="AK3005" s="87"/>
      <c r="AL3005" s="87"/>
      <c r="AM3005" s="87"/>
      <c r="AN3005" s="87"/>
      <c r="AO3005" s="87"/>
      <c r="AP3005" s="87">
        <v>7</v>
      </c>
      <c r="AQ3005" s="87"/>
      <c r="AR3005" s="87"/>
      <c r="AS3005" s="87"/>
      <c r="AT3005" s="87"/>
      <c r="AU3005" s="87"/>
      <c r="AV3005" s="87"/>
      <c r="AW3005" s="88" t="str">
        <f>HYPERLINK("http://www.openstreetmap.org/?mlat=32.7675&amp;mlon=45.1672&amp;zoom=12#map=12/32.7675/45.1672","Maplink1")</f>
        <v>Maplink1</v>
      </c>
      <c r="AX3005" s="88" t="str">
        <f>HYPERLINK("https://www.google.iq/maps/search/+32.7675,45.1672/@32.7675,45.1672,14z?hl=en","Maplink2")</f>
        <v>Maplink2</v>
      </c>
      <c r="AY3005" s="88" t="str">
        <f>HYPERLINK("http://www.bing.com/maps/?lvl=14&amp;sty=h&amp;cp=32.7675~45.1672&amp;sp=point.32.7675_45.1672","Maplink3")</f>
        <v>Maplink3</v>
      </c>
      <c r="AZ3005" s="76"/>
    </row>
    <row r="3006" spans="1:52" x14ac:dyDescent="0.25">
      <c r="A3006" s="86">
        <v>19397</v>
      </c>
      <c r="B3006" s="87" t="s">
        <v>29</v>
      </c>
      <c r="C3006" s="87" t="s">
        <v>5642</v>
      </c>
      <c r="D3006" s="87" t="s">
        <v>5648</v>
      </c>
      <c r="E3006" s="87" t="s">
        <v>55</v>
      </c>
      <c r="F3006" s="87">
        <v>32.932935084900002</v>
      </c>
      <c r="G3006" s="87">
        <v>44.771563115699998</v>
      </c>
      <c r="H3006" s="86">
        <v>11</v>
      </c>
      <c r="I3006" s="86">
        <v>66</v>
      </c>
      <c r="J3006" s="87">
        <v>4</v>
      </c>
      <c r="K3006" s="87"/>
      <c r="L3006" s="87"/>
      <c r="M3006" s="87"/>
      <c r="N3006" s="87"/>
      <c r="O3006" s="87"/>
      <c r="P3006" s="87"/>
      <c r="Q3006" s="87"/>
      <c r="R3006" s="87"/>
      <c r="S3006" s="87"/>
      <c r="T3006" s="87"/>
      <c r="U3006" s="87"/>
      <c r="V3006" s="87"/>
      <c r="W3006" s="87"/>
      <c r="X3006" s="87">
        <v>7</v>
      </c>
      <c r="Y3006" s="87"/>
      <c r="Z3006" s="87"/>
      <c r="AA3006" s="87"/>
      <c r="AB3006" s="87"/>
      <c r="AC3006" s="87"/>
      <c r="AD3006" s="87"/>
      <c r="AE3006" s="87"/>
      <c r="AF3006" s="87"/>
      <c r="AG3006" s="87"/>
      <c r="AH3006" s="87">
        <v>11</v>
      </c>
      <c r="AI3006" s="87"/>
      <c r="AJ3006" s="87"/>
      <c r="AK3006" s="87"/>
      <c r="AL3006" s="87"/>
      <c r="AM3006" s="87"/>
      <c r="AN3006" s="87"/>
      <c r="AO3006" s="87">
        <v>7</v>
      </c>
      <c r="AP3006" s="87"/>
      <c r="AQ3006" s="87"/>
      <c r="AR3006" s="87">
        <v>4</v>
      </c>
      <c r="AS3006" s="87"/>
      <c r="AT3006" s="87"/>
      <c r="AU3006" s="87"/>
      <c r="AV3006" s="87"/>
      <c r="AW3006" s="88" t="str">
        <f>HYPERLINK("http://www.openstreetmap.org/?mlat=32.9329&amp;mlon=44.7716&amp;zoom=12#map=12/32.9329/44.7716","Maplink1")</f>
        <v>Maplink1</v>
      </c>
      <c r="AX3006" s="88" t="str">
        <f>HYPERLINK("https://www.google.iq/maps/search/+32.9329,44.7716/@32.9329,44.7716,14z?hl=en","Maplink2")</f>
        <v>Maplink2</v>
      </c>
      <c r="AY3006" s="88" t="str">
        <f>HYPERLINK("http://www.bing.com/maps/?lvl=14&amp;sty=h&amp;cp=32.9329~44.7716&amp;sp=point.32.9329_44.7716","Maplink3")</f>
        <v>Maplink3</v>
      </c>
      <c r="AZ3006" s="76"/>
    </row>
    <row r="3007" spans="1:52" x14ac:dyDescent="0.25">
      <c r="A3007" s="86">
        <v>19402</v>
      </c>
      <c r="B3007" s="87" t="s">
        <v>29</v>
      </c>
      <c r="C3007" s="87" t="s">
        <v>5642</v>
      </c>
      <c r="D3007" s="87" t="s">
        <v>5649</v>
      </c>
      <c r="E3007" s="87" t="s">
        <v>3529</v>
      </c>
      <c r="F3007" s="87">
        <v>32.921326385100002</v>
      </c>
      <c r="G3007" s="87">
        <v>44.775121695000003</v>
      </c>
      <c r="H3007" s="86">
        <v>8</v>
      </c>
      <c r="I3007" s="86">
        <v>48</v>
      </c>
      <c r="J3007" s="87">
        <v>8</v>
      </c>
      <c r="K3007" s="87"/>
      <c r="L3007" s="87"/>
      <c r="M3007" s="87"/>
      <c r="N3007" s="87"/>
      <c r="O3007" s="87"/>
      <c r="P3007" s="87"/>
      <c r="Q3007" s="87"/>
      <c r="R3007" s="87"/>
      <c r="S3007" s="87"/>
      <c r="T3007" s="87"/>
      <c r="U3007" s="87"/>
      <c r="V3007" s="87"/>
      <c r="W3007" s="87"/>
      <c r="X3007" s="87"/>
      <c r="Y3007" s="87"/>
      <c r="Z3007" s="87"/>
      <c r="AA3007" s="87"/>
      <c r="AB3007" s="87"/>
      <c r="AC3007" s="87"/>
      <c r="AD3007" s="87"/>
      <c r="AE3007" s="87"/>
      <c r="AF3007" s="87"/>
      <c r="AG3007" s="87"/>
      <c r="AH3007" s="87">
        <v>8</v>
      </c>
      <c r="AI3007" s="87"/>
      <c r="AJ3007" s="87"/>
      <c r="AK3007" s="87"/>
      <c r="AL3007" s="87"/>
      <c r="AM3007" s="87"/>
      <c r="AN3007" s="87"/>
      <c r="AO3007" s="87"/>
      <c r="AP3007" s="87"/>
      <c r="AQ3007" s="87"/>
      <c r="AR3007" s="87">
        <v>8</v>
      </c>
      <c r="AS3007" s="87"/>
      <c r="AT3007" s="87"/>
      <c r="AU3007" s="87"/>
      <c r="AV3007" s="87"/>
      <c r="AW3007" s="88" t="str">
        <f>HYPERLINK("http://www.openstreetmap.org/?mlat=32.9213&amp;mlon=44.7751&amp;zoom=12#map=12/32.9213/44.7751","Maplink1")</f>
        <v>Maplink1</v>
      </c>
      <c r="AX3007" s="88" t="str">
        <f>HYPERLINK("https://www.google.iq/maps/search/+32.9213,44.7751/@32.9213,44.7751,14z?hl=en","Maplink2")</f>
        <v>Maplink2</v>
      </c>
      <c r="AY3007" s="88" t="str">
        <f>HYPERLINK("http://www.bing.com/maps/?lvl=14&amp;sty=h&amp;cp=32.9213~44.7751&amp;sp=point.32.9213_44.7751","Maplink3")</f>
        <v>Maplink3</v>
      </c>
      <c r="AZ3007" s="76"/>
    </row>
    <row r="3008" spans="1:52" x14ac:dyDescent="0.25">
      <c r="A3008" s="86">
        <v>24155</v>
      </c>
      <c r="B3008" s="87" t="s">
        <v>29</v>
      </c>
      <c r="C3008" s="87" t="s">
        <v>5642</v>
      </c>
      <c r="D3008" s="87" t="s">
        <v>5650</v>
      </c>
      <c r="E3008" s="87" t="s">
        <v>1301</v>
      </c>
      <c r="F3008" s="87">
        <v>32.765097312499996</v>
      </c>
      <c r="G3008" s="87">
        <v>45.167689600000003</v>
      </c>
      <c r="H3008" s="86">
        <v>7</v>
      </c>
      <c r="I3008" s="86">
        <v>42</v>
      </c>
      <c r="J3008" s="87"/>
      <c r="K3008" s="87"/>
      <c r="L3008" s="87"/>
      <c r="M3008" s="87"/>
      <c r="N3008" s="87"/>
      <c r="O3008" s="87"/>
      <c r="P3008" s="87"/>
      <c r="Q3008" s="87"/>
      <c r="R3008" s="87"/>
      <c r="S3008" s="87"/>
      <c r="T3008" s="87"/>
      <c r="U3008" s="87"/>
      <c r="V3008" s="87">
        <v>7</v>
      </c>
      <c r="W3008" s="87"/>
      <c r="X3008" s="87"/>
      <c r="Y3008" s="87"/>
      <c r="Z3008" s="87"/>
      <c r="AA3008" s="87"/>
      <c r="AB3008" s="87"/>
      <c r="AC3008" s="87"/>
      <c r="AD3008" s="87"/>
      <c r="AE3008" s="87"/>
      <c r="AF3008" s="87"/>
      <c r="AG3008" s="87"/>
      <c r="AH3008" s="87">
        <v>7</v>
      </c>
      <c r="AI3008" s="87"/>
      <c r="AJ3008" s="87"/>
      <c r="AK3008" s="87"/>
      <c r="AL3008" s="87"/>
      <c r="AM3008" s="87"/>
      <c r="AN3008" s="87"/>
      <c r="AO3008" s="87">
        <v>7</v>
      </c>
      <c r="AP3008" s="87"/>
      <c r="AQ3008" s="87"/>
      <c r="AR3008" s="87"/>
      <c r="AS3008" s="87"/>
      <c r="AT3008" s="87"/>
      <c r="AU3008" s="87"/>
      <c r="AV3008" s="87"/>
      <c r="AW3008" s="88" t="str">
        <f>HYPERLINK("http://www.openstreetmap.org/?mlat=32.7651&amp;mlon=45.1677&amp;zoom=12#map=12/32.7651/45.1677","Maplink1")</f>
        <v>Maplink1</v>
      </c>
      <c r="AX3008" s="88" t="str">
        <f>HYPERLINK("https://www.google.iq/maps/search/+32.7651,45.1677/@32.7651,45.1677,14z?hl=en","Maplink2")</f>
        <v>Maplink2</v>
      </c>
      <c r="AY3008" s="88" t="str">
        <f>HYPERLINK("http://www.bing.com/maps/?lvl=14&amp;sty=h&amp;cp=32.7651~45.1677&amp;sp=point.32.7651_45.1677","Maplink3")</f>
        <v>Maplink3</v>
      </c>
      <c r="AZ3008" s="76"/>
    </row>
    <row r="3009" spans="1:52" x14ac:dyDescent="0.25">
      <c r="A3009" s="86">
        <v>25387</v>
      </c>
      <c r="B3009" s="87" t="s">
        <v>29</v>
      </c>
      <c r="C3009" s="87" t="s">
        <v>5642</v>
      </c>
      <c r="D3009" s="87" t="s">
        <v>5651</v>
      </c>
      <c r="E3009" s="87" t="s">
        <v>3354</v>
      </c>
      <c r="F3009" s="87">
        <v>32.931906661699998</v>
      </c>
      <c r="G3009" s="87">
        <v>44.773986615399998</v>
      </c>
      <c r="H3009" s="86">
        <v>15</v>
      </c>
      <c r="I3009" s="86">
        <v>90</v>
      </c>
      <c r="J3009" s="87"/>
      <c r="K3009" s="87"/>
      <c r="L3009" s="87"/>
      <c r="M3009" s="87"/>
      <c r="N3009" s="87"/>
      <c r="O3009" s="87"/>
      <c r="P3009" s="87"/>
      <c r="Q3009" s="87"/>
      <c r="R3009" s="87"/>
      <c r="S3009" s="87"/>
      <c r="T3009" s="87"/>
      <c r="U3009" s="87"/>
      <c r="V3009" s="87">
        <v>5</v>
      </c>
      <c r="W3009" s="87"/>
      <c r="X3009" s="87">
        <v>10</v>
      </c>
      <c r="Y3009" s="87"/>
      <c r="Z3009" s="87"/>
      <c r="AA3009" s="87"/>
      <c r="AB3009" s="87"/>
      <c r="AC3009" s="87"/>
      <c r="AD3009" s="87"/>
      <c r="AE3009" s="87"/>
      <c r="AF3009" s="87"/>
      <c r="AG3009" s="87"/>
      <c r="AH3009" s="87">
        <v>15</v>
      </c>
      <c r="AI3009" s="87"/>
      <c r="AJ3009" s="87"/>
      <c r="AK3009" s="87"/>
      <c r="AL3009" s="87"/>
      <c r="AM3009" s="87"/>
      <c r="AN3009" s="87"/>
      <c r="AO3009" s="87">
        <v>15</v>
      </c>
      <c r="AP3009" s="87"/>
      <c r="AQ3009" s="87"/>
      <c r="AR3009" s="87"/>
      <c r="AS3009" s="87"/>
      <c r="AT3009" s="87"/>
      <c r="AU3009" s="87"/>
      <c r="AV3009" s="87"/>
      <c r="AW3009" s="88" t="str">
        <f>HYPERLINK("http://www.openstreetmap.org/?mlat=32.9319&amp;mlon=44.774&amp;zoom=12#map=12/32.9319/44.774","Maplink1")</f>
        <v>Maplink1</v>
      </c>
      <c r="AX3009" s="88" t="str">
        <f>HYPERLINK("https://www.google.iq/maps/search/+32.9319,44.774/@32.9319,44.774,14z?hl=en","Maplink2")</f>
        <v>Maplink2</v>
      </c>
      <c r="AY3009" s="88" t="str">
        <f>HYPERLINK("http://www.bing.com/maps/?lvl=14&amp;sty=h&amp;cp=32.9319~44.774&amp;sp=point.32.9319_44.774","Maplink3")</f>
        <v>Maplink3</v>
      </c>
      <c r="AZ3009" s="76"/>
    </row>
    <row r="3010" spans="1:52" x14ac:dyDescent="0.25">
      <c r="A3010" s="86">
        <v>25386</v>
      </c>
      <c r="B3010" s="87" t="s">
        <v>29</v>
      </c>
      <c r="C3010" s="87" t="s">
        <v>5642</v>
      </c>
      <c r="D3010" s="87" t="s">
        <v>5652</v>
      </c>
      <c r="E3010" s="87" t="s">
        <v>3847</v>
      </c>
      <c r="F3010" s="87">
        <v>32.9263602921</v>
      </c>
      <c r="G3010" s="87">
        <v>44.768489146999997</v>
      </c>
      <c r="H3010" s="86">
        <v>18</v>
      </c>
      <c r="I3010" s="86">
        <v>108</v>
      </c>
      <c r="J3010" s="87"/>
      <c r="K3010" s="87"/>
      <c r="L3010" s="87"/>
      <c r="M3010" s="87"/>
      <c r="N3010" s="87"/>
      <c r="O3010" s="87"/>
      <c r="P3010" s="87"/>
      <c r="Q3010" s="87"/>
      <c r="R3010" s="87"/>
      <c r="S3010" s="87"/>
      <c r="T3010" s="87"/>
      <c r="U3010" s="87"/>
      <c r="V3010" s="87">
        <v>18</v>
      </c>
      <c r="W3010" s="87"/>
      <c r="X3010" s="87"/>
      <c r="Y3010" s="87"/>
      <c r="Z3010" s="87"/>
      <c r="AA3010" s="87"/>
      <c r="AB3010" s="87"/>
      <c r="AC3010" s="87"/>
      <c r="AD3010" s="87"/>
      <c r="AE3010" s="87"/>
      <c r="AF3010" s="87"/>
      <c r="AG3010" s="87"/>
      <c r="AH3010" s="87">
        <v>18</v>
      </c>
      <c r="AI3010" s="87"/>
      <c r="AJ3010" s="87"/>
      <c r="AK3010" s="87"/>
      <c r="AL3010" s="87"/>
      <c r="AM3010" s="87"/>
      <c r="AN3010" s="87"/>
      <c r="AO3010" s="87">
        <v>18</v>
      </c>
      <c r="AP3010" s="87"/>
      <c r="AQ3010" s="87"/>
      <c r="AR3010" s="87"/>
      <c r="AS3010" s="87"/>
      <c r="AT3010" s="87"/>
      <c r="AU3010" s="87"/>
      <c r="AV3010" s="87"/>
      <c r="AW3010" s="88" t="str">
        <f>HYPERLINK("http://www.openstreetmap.org/?mlat=32.9264&amp;mlon=44.7685&amp;zoom=12#map=12/32.9264/44.7685","Maplink1")</f>
        <v>Maplink1</v>
      </c>
      <c r="AX3010" s="88" t="str">
        <f>HYPERLINK("https://www.google.iq/maps/search/+32.9264,44.7685/@32.9264,44.7685,14z?hl=en","Maplink2")</f>
        <v>Maplink2</v>
      </c>
      <c r="AY3010" s="88" t="str">
        <f>HYPERLINK("http://www.bing.com/maps/?lvl=14&amp;sty=h&amp;cp=32.9264~44.7685&amp;sp=point.32.9264_44.7685","Maplink3")</f>
        <v>Maplink3</v>
      </c>
      <c r="AZ3010" s="76"/>
    </row>
    <row r="3011" spans="1:52" x14ac:dyDescent="0.25">
      <c r="A3011" s="86">
        <v>25110</v>
      </c>
      <c r="B3011" s="87" t="s">
        <v>29</v>
      </c>
      <c r="C3011" s="87" t="s">
        <v>5642</v>
      </c>
      <c r="D3011" s="87" t="s">
        <v>3398</v>
      </c>
      <c r="E3011" s="87" t="s">
        <v>1353</v>
      </c>
      <c r="F3011" s="87">
        <v>32.7632504404</v>
      </c>
      <c r="G3011" s="87">
        <v>45.169496881100002</v>
      </c>
      <c r="H3011" s="86">
        <v>4</v>
      </c>
      <c r="I3011" s="86">
        <v>24</v>
      </c>
      <c r="J3011" s="87">
        <v>4</v>
      </c>
      <c r="K3011" s="87"/>
      <c r="L3011" s="87"/>
      <c r="M3011" s="87"/>
      <c r="N3011" s="87"/>
      <c r="O3011" s="87"/>
      <c r="P3011" s="87"/>
      <c r="Q3011" s="87"/>
      <c r="R3011" s="87"/>
      <c r="S3011" s="87"/>
      <c r="T3011" s="87"/>
      <c r="U3011" s="87"/>
      <c r="V3011" s="87"/>
      <c r="W3011" s="87"/>
      <c r="X3011" s="87"/>
      <c r="Y3011" s="87"/>
      <c r="Z3011" s="87"/>
      <c r="AA3011" s="87"/>
      <c r="AB3011" s="87"/>
      <c r="AC3011" s="87"/>
      <c r="AD3011" s="87"/>
      <c r="AE3011" s="87"/>
      <c r="AF3011" s="87"/>
      <c r="AG3011" s="87"/>
      <c r="AH3011" s="87">
        <v>4</v>
      </c>
      <c r="AI3011" s="87"/>
      <c r="AJ3011" s="87"/>
      <c r="AK3011" s="87"/>
      <c r="AL3011" s="87"/>
      <c r="AM3011" s="87"/>
      <c r="AN3011" s="87"/>
      <c r="AO3011" s="87"/>
      <c r="AP3011" s="87"/>
      <c r="AQ3011" s="87"/>
      <c r="AR3011" s="87">
        <v>4</v>
      </c>
      <c r="AS3011" s="87"/>
      <c r="AT3011" s="87"/>
      <c r="AU3011" s="87"/>
      <c r="AV3011" s="87"/>
      <c r="AW3011" s="88" t="str">
        <f>HYPERLINK("http://www.openstreetmap.org/?mlat=32.7633&amp;mlon=45.1695&amp;zoom=12#map=12/32.7633/45.1695","Maplink1")</f>
        <v>Maplink1</v>
      </c>
      <c r="AX3011" s="88" t="str">
        <f>HYPERLINK("https://www.google.iq/maps/search/+32.7633,45.1695/@32.7633,45.1695,14z?hl=en","Maplink2")</f>
        <v>Maplink2</v>
      </c>
      <c r="AY3011" s="88" t="str">
        <f>HYPERLINK("http://www.bing.com/maps/?lvl=14&amp;sty=h&amp;cp=32.7633~45.1695&amp;sp=point.32.7633_45.1695","Maplink3")</f>
        <v>Maplink3</v>
      </c>
      <c r="AZ3011" s="76"/>
    </row>
    <row r="3012" spans="1:52" x14ac:dyDescent="0.25">
      <c r="A3012" s="86">
        <v>25111</v>
      </c>
      <c r="B3012" s="87" t="s">
        <v>29</v>
      </c>
      <c r="C3012" s="87" t="s">
        <v>5642</v>
      </c>
      <c r="D3012" s="87" t="s">
        <v>5653</v>
      </c>
      <c r="E3012" s="87" t="s">
        <v>5654</v>
      </c>
      <c r="F3012" s="87">
        <v>32.766070395500002</v>
      </c>
      <c r="G3012" s="87">
        <v>45.171703683600001</v>
      </c>
      <c r="H3012" s="86">
        <v>3</v>
      </c>
      <c r="I3012" s="86">
        <v>18</v>
      </c>
      <c r="J3012" s="87"/>
      <c r="K3012" s="87"/>
      <c r="L3012" s="87"/>
      <c r="M3012" s="87"/>
      <c r="N3012" s="87"/>
      <c r="O3012" s="87"/>
      <c r="P3012" s="87"/>
      <c r="Q3012" s="87"/>
      <c r="R3012" s="87"/>
      <c r="S3012" s="87"/>
      <c r="T3012" s="87"/>
      <c r="U3012" s="87"/>
      <c r="V3012" s="87">
        <v>3</v>
      </c>
      <c r="W3012" s="87"/>
      <c r="X3012" s="87"/>
      <c r="Y3012" s="87"/>
      <c r="Z3012" s="87"/>
      <c r="AA3012" s="87"/>
      <c r="AB3012" s="87"/>
      <c r="AC3012" s="87"/>
      <c r="AD3012" s="87"/>
      <c r="AE3012" s="87"/>
      <c r="AF3012" s="87"/>
      <c r="AG3012" s="87"/>
      <c r="AH3012" s="87">
        <v>3</v>
      </c>
      <c r="AI3012" s="87"/>
      <c r="AJ3012" s="87"/>
      <c r="AK3012" s="87"/>
      <c r="AL3012" s="87"/>
      <c r="AM3012" s="87"/>
      <c r="AN3012" s="87"/>
      <c r="AO3012" s="87">
        <v>3</v>
      </c>
      <c r="AP3012" s="87"/>
      <c r="AQ3012" s="87"/>
      <c r="AR3012" s="87"/>
      <c r="AS3012" s="87"/>
      <c r="AT3012" s="87"/>
      <c r="AU3012" s="87"/>
      <c r="AV3012" s="87"/>
      <c r="AW3012" s="88" t="str">
        <f>HYPERLINK("http://www.openstreetmap.org/?mlat=32.7661&amp;mlon=45.1717&amp;zoom=12#map=12/32.7661/45.1717","Maplink1")</f>
        <v>Maplink1</v>
      </c>
      <c r="AX3012" s="88" t="str">
        <f>HYPERLINK("https://www.google.iq/maps/search/+32.7661,45.1717/@32.7661,45.1717,14z?hl=en","Maplink2")</f>
        <v>Maplink2</v>
      </c>
      <c r="AY3012" s="88" t="str">
        <f>HYPERLINK("http://www.bing.com/maps/?lvl=14&amp;sty=h&amp;cp=32.7661~45.1717&amp;sp=point.32.7661_45.1717","Maplink3")</f>
        <v>Maplink3</v>
      </c>
      <c r="AZ3012" s="76"/>
    </row>
    <row r="3013" spans="1:52" x14ac:dyDescent="0.25">
      <c r="A3013" s="86">
        <v>25315</v>
      </c>
      <c r="B3013" s="87" t="s">
        <v>29</v>
      </c>
      <c r="C3013" s="87" t="s">
        <v>5655</v>
      </c>
      <c r="D3013" s="87" t="s">
        <v>5656</v>
      </c>
      <c r="E3013" s="87" t="s">
        <v>5657</v>
      </c>
      <c r="F3013" s="87">
        <v>33.096324825499998</v>
      </c>
      <c r="G3013" s="87">
        <v>45.958426045099998</v>
      </c>
      <c r="H3013" s="86">
        <v>4</v>
      </c>
      <c r="I3013" s="86">
        <v>24</v>
      </c>
      <c r="J3013" s="87"/>
      <c r="K3013" s="87"/>
      <c r="L3013" s="87"/>
      <c r="M3013" s="87"/>
      <c r="N3013" s="87"/>
      <c r="O3013" s="87"/>
      <c r="P3013" s="87"/>
      <c r="Q3013" s="87"/>
      <c r="R3013" s="87"/>
      <c r="S3013" s="87"/>
      <c r="T3013" s="87"/>
      <c r="U3013" s="87"/>
      <c r="V3013" s="87">
        <v>4</v>
      </c>
      <c r="W3013" s="87"/>
      <c r="X3013" s="87"/>
      <c r="Y3013" s="87"/>
      <c r="Z3013" s="87"/>
      <c r="AA3013" s="87"/>
      <c r="AB3013" s="87"/>
      <c r="AC3013" s="87">
        <v>4</v>
      </c>
      <c r="AD3013" s="87"/>
      <c r="AE3013" s="87"/>
      <c r="AF3013" s="87"/>
      <c r="AG3013" s="87"/>
      <c r="AH3013" s="87"/>
      <c r="AI3013" s="87"/>
      <c r="AJ3013" s="87"/>
      <c r="AK3013" s="87"/>
      <c r="AL3013" s="87"/>
      <c r="AM3013" s="87"/>
      <c r="AN3013" s="87"/>
      <c r="AO3013" s="87">
        <v>4</v>
      </c>
      <c r="AP3013" s="87"/>
      <c r="AQ3013" s="87"/>
      <c r="AR3013" s="87"/>
      <c r="AS3013" s="87"/>
      <c r="AT3013" s="87"/>
      <c r="AU3013" s="87"/>
      <c r="AV3013" s="87"/>
      <c r="AW3013" s="88" t="str">
        <f>HYPERLINK("http://www.openstreetmap.org/?mlat=33.0963&amp;mlon=45.9584&amp;zoom=12#map=12/33.0963/45.9584","Maplink1")</f>
        <v>Maplink1</v>
      </c>
      <c r="AX3013" s="88" t="str">
        <f>HYPERLINK("https://www.google.iq/maps/search/+33.0963,45.9584/@33.0963,45.9584,14z?hl=en","Maplink2")</f>
        <v>Maplink2</v>
      </c>
      <c r="AY3013" s="88" t="str">
        <f>HYPERLINK("http://www.bing.com/maps/?lvl=14&amp;sty=h&amp;cp=33.0963~45.9584&amp;sp=point.33.0963_45.9584","Maplink3")</f>
        <v>Maplink3</v>
      </c>
      <c r="AZ3013" s="76"/>
    </row>
    <row r="3014" spans="1:52" x14ac:dyDescent="0.25">
      <c r="A3014" s="86">
        <v>19492</v>
      </c>
      <c r="B3014" s="87" t="s">
        <v>29</v>
      </c>
      <c r="C3014" s="87" t="s">
        <v>5655</v>
      </c>
      <c r="D3014" s="87" t="s">
        <v>5658</v>
      </c>
      <c r="E3014" s="87" t="s">
        <v>5659</v>
      </c>
      <c r="F3014" s="87">
        <v>33.115891656999999</v>
      </c>
      <c r="G3014" s="87">
        <v>45.948530788799999</v>
      </c>
      <c r="H3014" s="86">
        <v>7</v>
      </c>
      <c r="I3014" s="86">
        <v>42</v>
      </c>
      <c r="J3014" s="87"/>
      <c r="K3014" s="87"/>
      <c r="L3014" s="87"/>
      <c r="M3014" s="87"/>
      <c r="N3014" s="87"/>
      <c r="O3014" s="87"/>
      <c r="P3014" s="87"/>
      <c r="Q3014" s="87"/>
      <c r="R3014" s="87"/>
      <c r="S3014" s="87"/>
      <c r="T3014" s="87"/>
      <c r="U3014" s="87"/>
      <c r="V3014" s="87">
        <v>7</v>
      </c>
      <c r="W3014" s="87"/>
      <c r="X3014" s="87"/>
      <c r="Y3014" s="87"/>
      <c r="Z3014" s="87"/>
      <c r="AA3014" s="87"/>
      <c r="AB3014" s="87"/>
      <c r="AC3014" s="87"/>
      <c r="AD3014" s="87"/>
      <c r="AE3014" s="87"/>
      <c r="AF3014" s="87"/>
      <c r="AG3014" s="87"/>
      <c r="AH3014" s="87">
        <v>7</v>
      </c>
      <c r="AI3014" s="87"/>
      <c r="AJ3014" s="87"/>
      <c r="AK3014" s="87"/>
      <c r="AL3014" s="87"/>
      <c r="AM3014" s="87"/>
      <c r="AN3014" s="87"/>
      <c r="AO3014" s="87">
        <v>7</v>
      </c>
      <c r="AP3014" s="87"/>
      <c r="AQ3014" s="87"/>
      <c r="AR3014" s="87"/>
      <c r="AS3014" s="87"/>
      <c r="AT3014" s="87"/>
      <c r="AU3014" s="87"/>
      <c r="AV3014" s="87"/>
      <c r="AW3014" s="88" t="str">
        <f>HYPERLINK("http://www.openstreetmap.org/?mlat=33.1159&amp;mlon=45.9485&amp;zoom=12#map=12/33.1159/45.9485","Maplink1")</f>
        <v>Maplink1</v>
      </c>
      <c r="AX3014" s="88" t="str">
        <f>HYPERLINK("https://www.google.iq/maps/search/+33.1159,45.9485/@33.1159,45.9485,14z?hl=en","Maplink2")</f>
        <v>Maplink2</v>
      </c>
      <c r="AY3014" s="88" t="str">
        <f>HYPERLINK("http://www.bing.com/maps/?lvl=14&amp;sty=h&amp;cp=33.1159~45.9485&amp;sp=point.33.1159_45.9485","Maplink3")</f>
        <v>Maplink3</v>
      </c>
      <c r="AZ3014" s="76"/>
    </row>
    <row r="3015" spans="1:52" x14ac:dyDescent="0.25">
      <c r="A3015" s="86">
        <v>18459</v>
      </c>
      <c r="B3015" s="87" t="s">
        <v>29</v>
      </c>
      <c r="C3015" s="87" t="s">
        <v>5655</v>
      </c>
      <c r="D3015" s="87" t="s">
        <v>5660</v>
      </c>
      <c r="E3015" s="87" t="s">
        <v>5661</v>
      </c>
      <c r="F3015" s="87">
        <v>33.116196434899997</v>
      </c>
      <c r="G3015" s="87">
        <v>45.932556172699996</v>
      </c>
      <c r="H3015" s="86">
        <v>5</v>
      </c>
      <c r="I3015" s="86">
        <v>30</v>
      </c>
      <c r="J3015" s="87"/>
      <c r="K3015" s="87"/>
      <c r="L3015" s="87"/>
      <c r="M3015" s="87"/>
      <c r="N3015" s="87"/>
      <c r="O3015" s="87"/>
      <c r="P3015" s="87"/>
      <c r="Q3015" s="87"/>
      <c r="R3015" s="87"/>
      <c r="S3015" s="87"/>
      <c r="T3015" s="87"/>
      <c r="U3015" s="87"/>
      <c r="V3015" s="87">
        <v>5</v>
      </c>
      <c r="W3015" s="87"/>
      <c r="X3015" s="87"/>
      <c r="Y3015" s="87"/>
      <c r="Z3015" s="87"/>
      <c r="AA3015" s="87"/>
      <c r="AB3015" s="87"/>
      <c r="AC3015" s="87"/>
      <c r="AD3015" s="87"/>
      <c r="AE3015" s="87"/>
      <c r="AF3015" s="87"/>
      <c r="AG3015" s="87"/>
      <c r="AH3015" s="87">
        <v>5</v>
      </c>
      <c r="AI3015" s="87"/>
      <c r="AJ3015" s="87"/>
      <c r="AK3015" s="87"/>
      <c r="AL3015" s="87"/>
      <c r="AM3015" s="87"/>
      <c r="AN3015" s="87"/>
      <c r="AO3015" s="87">
        <v>5</v>
      </c>
      <c r="AP3015" s="87"/>
      <c r="AQ3015" s="87"/>
      <c r="AR3015" s="87"/>
      <c r="AS3015" s="87"/>
      <c r="AT3015" s="87"/>
      <c r="AU3015" s="87"/>
      <c r="AV3015" s="87"/>
      <c r="AW3015" s="88" t="str">
        <f>HYPERLINK("http://www.openstreetmap.org/?mlat=33.1162&amp;mlon=45.9326&amp;zoom=12#map=12/33.1162/45.9326","Maplink1")</f>
        <v>Maplink1</v>
      </c>
      <c r="AX3015" s="88" t="str">
        <f>HYPERLINK("https://www.google.iq/maps/search/+33.1162,45.9326/@33.1162,45.9326,14z?hl=en","Maplink2")</f>
        <v>Maplink2</v>
      </c>
      <c r="AY3015" s="88" t="str">
        <f>HYPERLINK("http://www.bing.com/maps/?lvl=14&amp;sty=h&amp;cp=33.1162~45.9326&amp;sp=point.33.1162_45.9326","Maplink3")</f>
        <v>Maplink3</v>
      </c>
      <c r="AZ3015" s="76"/>
    </row>
    <row r="3016" spans="1:52" x14ac:dyDescent="0.25">
      <c r="A3016" s="86">
        <v>25313</v>
      </c>
      <c r="B3016" s="87" t="s">
        <v>29</v>
      </c>
      <c r="C3016" s="87" t="s">
        <v>5655</v>
      </c>
      <c r="D3016" s="87" t="s">
        <v>3105</v>
      </c>
      <c r="E3016" s="87" t="s">
        <v>206</v>
      </c>
      <c r="F3016" s="87">
        <v>33.117759854100001</v>
      </c>
      <c r="G3016" s="87">
        <v>45.938000791199997</v>
      </c>
      <c r="H3016" s="86">
        <v>5</v>
      </c>
      <c r="I3016" s="86">
        <v>30</v>
      </c>
      <c r="J3016" s="87"/>
      <c r="K3016" s="87"/>
      <c r="L3016" s="87"/>
      <c r="M3016" s="87"/>
      <c r="N3016" s="87"/>
      <c r="O3016" s="87"/>
      <c r="P3016" s="87"/>
      <c r="Q3016" s="87"/>
      <c r="R3016" s="87"/>
      <c r="S3016" s="87"/>
      <c r="T3016" s="87"/>
      <c r="U3016" s="87"/>
      <c r="V3016" s="87">
        <v>5</v>
      </c>
      <c r="W3016" s="87"/>
      <c r="X3016" s="87"/>
      <c r="Y3016" s="87"/>
      <c r="Z3016" s="87"/>
      <c r="AA3016" s="87"/>
      <c r="AB3016" s="87"/>
      <c r="AC3016" s="87"/>
      <c r="AD3016" s="87"/>
      <c r="AE3016" s="87"/>
      <c r="AF3016" s="87"/>
      <c r="AG3016" s="87"/>
      <c r="AH3016" s="87">
        <v>5</v>
      </c>
      <c r="AI3016" s="87"/>
      <c r="AJ3016" s="87"/>
      <c r="AK3016" s="87"/>
      <c r="AL3016" s="87"/>
      <c r="AM3016" s="87"/>
      <c r="AN3016" s="87"/>
      <c r="AO3016" s="87"/>
      <c r="AP3016" s="87">
        <v>5</v>
      </c>
      <c r="AQ3016" s="87"/>
      <c r="AR3016" s="87"/>
      <c r="AS3016" s="87"/>
      <c r="AT3016" s="87"/>
      <c r="AU3016" s="87"/>
      <c r="AV3016" s="87"/>
      <c r="AW3016" s="88" t="str">
        <f>HYPERLINK("http://www.openstreetmap.org/?mlat=33.1178&amp;mlon=45.938&amp;zoom=12#map=12/33.1178/45.938","Maplink1")</f>
        <v>Maplink1</v>
      </c>
      <c r="AX3016" s="88" t="str">
        <f>HYPERLINK("https://www.google.iq/maps/search/+33.1178,45.938/@33.1178,45.938,14z?hl=en","Maplink2")</f>
        <v>Maplink2</v>
      </c>
      <c r="AY3016" s="88" t="str">
        <f>HYPERLINK("http://www.bing.com/maps/?lvl=14&amp;sty=h&amp;cp=33.1178~45.938&amp;sp=point.33.1178_45.938","Maplink3")</f>
        <v>Maplink3</v>
      </c>
      <c r="AZ3016" s="76"/>
    </row>
    <row r="3017" spans="1:52" x14ac:dyDescent="0.25">
      <c r="A3017" s="86">
        <v>25314</v>
      </c>
      <c r="B3017" s="87" t="s">
        <v>29</v>
      </c>
      <c r="C3017" s="87" t="s">
        <v>5655</v>
      </c>
      <c r="D3017" s="87" t="s">
        <v>3398</v>
      </c>
      <c r="E3017" s="87" t="s">
        <v>1353</v>
      </c>
      <c r="F3017" s="87">
        <v>33.108564599700003</v>
      </c>
      <c r="G3017" s="87">
        <v>45.927803769800001</v>
      </c>
      <c r="H3017" s="86">
        <v>7</v>
      </c>
      <c r="I3017" s="86">
        <v>42</v>
      </c>
      <c r="J3017" s="87"/>
      <c r="K3017" s="87"/>
      <c r="L3017" s="87"/>
      <c r="M3017" s="87"/>
      <c r="N3017" s="87"/>
      <c r="O3017" s="87"/>
      <c r="P3017" s="87"/>
      <c r="Q3017" s="87"/>
      <c r="R3017" s="87"/>
      <c r="S3017" s="87"/>
      <c r="T3017" s="87"/>
      <c r="U3017" s="87"/>
      <c r="V3017" s="87">
        <v>7</v>
      </c>
      <c r="W3017" s="87"/>
      <c r="X3017" s="87"/>
      <c r="Y3017" s="87"/>
      <c r="Z3017" s="87"/>
      <c r="AA3017" s="87"/>
      <c r="AB3017" s="87"/>
      <c r="AC3017" s="87"/>
      <c r="AD3017" s="87"/>
      <c r="AE3017" s="87"/>
      <c r="AF3017" s="87"/>
      <c r="AG3017" s="87"/>
      <c r="AH3017" s="87">
        <v>7</v>
      </c>
      <c r="AI3017" s="87"/>
      <c r="AJ3017" s="87"/>
      <c r="AK3017" s="87"/>
      <c r="AL3017" s="87"/>
      <c r="AM3017" s="87"/>
      <c r="AN3017" s="87"/>
      <c r="AO3017" s="87">
        <v>7</v>
      </c>
      <c r="AP3017" s="87"/>
      <c r="AQ3017" s="87"/>
      <c r="AR3017" s="87"/>
      <c r="AS3017" s="87"/>
      <c r="AT3017" s="87"/>
      <c r="AU3017" s="87"/>
      <c r="AV3017" s="87"/>
      <c r="AW3017" s="88" t="str">
        <f>HYPERLINK("http://www.openstreetmap.org/?mlat=33.1086&amp;mlon=45.9278&amp;zoom=12#map=12/33.1086/45.9278","Maplink1")</f>
        <v>Maplink1</v>
      </c>
      <c r="AX3017" s="88" t="str">
        <f>HYPERLINK("https://www.google.iq/maps/search/+33.1086,45.9278/@33.1086,45.9278,14z?hl=en","Maplink2")</f>
        <v>Maplink2</v>
      </c>
      <c r="AY3017" s="88" t="str">
        <f>HYPERLINK("http://www.bing.com/maps/?lvl=14&amp;sty=h&amp;cp=33.1086~45.9278&amp;sp=point.33.1086_45.9278","Maplink3")</f>
        <v>Maplink3</v>
      </c>
      <c r="AZ3017" s="76"/>
    </row>
    <row r="3018" spans="1:52" x14ac:dyDescent="0.25">
      <c r="A3018" s="86">
        <v>18438</v>
      </c>
      <c r="B3018" s="87" t="s">
        <v>29</v>
      </c>
      <c r="C3018" s="87" t="s">
        <v>5655</v>
      </c>
      <c r="D3018" s="87" t="s">
        <v>5662</v>
      </c>
      <c r="E3018" s="87" t="s">
        <v>5663</v>
      </c>
      <c r="F3018" s="87">
        <v>32.967287425899997</v>
      </c>
      <c r="G3018" s="87">
        <v>45.871067503100001</v>
      </c>
      <c r="H3018" s="86">
        <v>10</v>
      </c>
      <c r="I3018" s="86">
        <v>60</v>
      </c>
      <c r="J3018" s="87"/>
      <c r="K3018" s="87"/>
      <c r="L3018" s="87"/>
      <c r="M3018" s="87"/>
      <c r="N3018" s="87"/>
      <c r="O3018" s="87"/>
      <c r="P3018" s="87"/>
      <c r="Q3018" s="87"/>
      <c r="R3018" s="87"/>
      <c r="S3018" s="87"/>
      <c r="T3018" s="87"/>
      <c r="U3018" s="87"/>
      <c r="V3018" s="87">
        <v>10</v>
      </c>
      <c r="W3018" s="87"/>
      <c r="X3018" s="87"/>
      <c r="Y3018" s="87"/>
      <c r="Z3018" s="87"/>
      <c r="AA3018" s="87"/>
      <c r="AB3018" s="87"/>
      <c r="AC3018" s="87"/>
      <c r="AD3018" s="87"/>
      <c r="AE3018" s="87"/>
      <c r="AF3018" s="87"/>
      <c r="AG3018" s="87"/>
      <c r="AH3018" s="87">
        <v>10</v>
      </c>
      <c r="AI3018" s="87"/>
      <c r="AJ3018" s="87"/>
      <c r="AK3018" s="87"/>
      <c r="AL3018" s="87"/>
      <c r="AM3018" s="87"/>
      <c r="AN3018" s="87"/>
      <c r="AO3018" s="87">
        <v>10</v>
      </c>
      <c r="AP3018" s="87"/>
      <c r="AQ3018" s="87"/>
      <c r="AR3018" s="87"/>
      <c r="AS3018" s="87"/>
      <c r="AT3018" s="87"/>
      <c r="AU3018" s="87"/>
      <c r="AV3018" s="87"/>
      <c r="AW3018" s="88" t="str">
        <f>HYPERLINK("http://www.openstreetmap.org/?mlat=32.9673&amp;mlon=45.8711&amp;zoom=12#map=12/32.9673/45.8711","Maplink1")</f>
        <v>Maplink1</v>
      </c>
      <c r="AX3018" s="88" t="str">
        <f>HYPERLINK("https://www.google.iq/maps/search/+32.9673,45.8711/@32.9673,45.8711,14z?hl=en","Maplink2")</f>
        <v>Maplink2</v>
      </c>
      <c r="AY3018" s="88" t="str">
        <f>HYPERLINK("http://www.bing.com/maps/?lvl=14&amp;sty=h&amp;cp=32.9673~45.8711&amp;sp=point.32.9673_45.8711","Maplink3")</f>
        <v>Maplink3</v>
      </c>
      <c r="AZ3018" s="76"/>
    </row>
    <row r="3019" spans="1:52" x14ac:dyDescent="0.25">
      <c r="A3019" s="86">
        <v>19548</v>
      </c>
      <c r="B3019" s="87" t="s">
        <v>29</v>
      </c>
      <c r="C3019" s="87" t="s">
        <v>5664</v>
      </c>
      <c r="D3019" s="87" t="s">
        <v>5665</v>
      </c>
      <c r="E3019" s="87" t="s">
        <v>5666</v>
      </c>
      <c r="F3019" s="87">
        <v>32.566595693099998</v>
      </c>
      <c r="G3019" s="87">
        <v>45.649405147000003</v>
      </c>
      <c r="H3019" s="86">
        <v>31</v>
      </c>
      <c r="I3019" s="86">
        <v>186</v>
      </c>
      <c r="J3019" s="87"/>
      <c r="K3019" s="87"/>
      <c r="L3019" s="87"/>
      <c r="M3019" s="87"/>
      <c r="N3019" s="87"/>
      <c r="O3019" s="87"/>
      <c r="P3019" s="87"/>
      <c r="Q3019" s="87"/>
      <c r="R3019" s="87"/>
      <c r="S3019" s="87"/>
      <c r="T3019" s="87"/>
      <c r="U3019" s="87"/>
      <c r="V3019" s="87">
        <v>31</v>
      </c>
      <c r="W3019" s="87"/>
      <c r="X3019" s="87"/>
      <c r="Y3019" s="87"/>
      <c r="Z3019" s="87"/>
      <c r="AA3019" s="87"/>
      <c r="AB3019" s="87"/>
      <c r="AC3019" s="87"/>
      <c r="AD3019" s="87"/>
      <c r="AE3019" s="87"/>
      <c r="AF3019" s="87"/>
      <c r="AG3019" s="87">
        <v>10</v>
      </c>
      <c r="AH3019" s="87">
        <v>21</v>
      </c>
      <c r="AI3019" s="87"/>
      <c r="AJ3019" s="87"/>
      <c r="AK3019" s="87"/>
      <c r="AL3019" s="87"/>
      <c r="AM3019" s="87"/>
      <c r="AN3019" s="87"/>
      <c r="AO3019" s="87">
        <v>31</v>
      </c>
      <c r="AP3019" s="87"/>
      <c r="AQ3019" s="87"/>
      <c r="AR3019" s="87"/>
      <c r="AS3019" s="87"/>
      <c r="AT3019" s="87"/>
      <c r="AU3019" s="87"/>
      <c r="AV3019" s="87"/>
      <c r="AW3019" s="88" t="str">
        <f>HYPERLINK("http://www.openstreetmap.org/?mlat=32.5666&amp;mlon=45.6494&amp;zoom=12#map=12/32.5666/45.6494","Maplink1")</f>
        <v>Maplink1</v>
      </c>
      <c r="AX3019" s="88" t="str">
        <f>HYPERLINK("https://www.google.iq/maps/search/+32.5666,45.6494/@32.5666,45.6494,14z?hl=en","Maplink2")</f>
        <v>Maplink2</v>
      </c>
      <c r="AY3019" s="88" t="str">
        <f>HYPERLINK("http://www.bing.com/maps/?lvl=14&amp;sty=h&amp;cp=32.5666~45.6494&amp;sp=point.32.5666_45.6494","Maplink3")</f>
        <v>Maplink3</v>
      </c>
      <c r="AZ3019" s="76"/>
    </row>
    <row r="3020" spans="1:52" x14ac:dyDescent="0.25">
      <c r="A3020" s="86">
        <v>24220</v>
      </c>
      <c r="B3020" s="87" t="s">
        <v>29</v>
      </c>
      <c r="C3020" s="87" t="s">
        <v>5664</v>
      </c>
      <c r="D3020" s="87" t="s">
        <v>5667</v>
      </c>
      <c r="E3020" s="87" t="s">
        <v>5668</v>
      </c>
      <c r="F3020" s="87">
        <v>32.461983941</v>
      </c>
      <c r="G3020" s="87">
        <v>46.072947295200002</v>
      </c>
      <c r="H3020" s="86">
        <v>3</v>
      </c>
      <c r="I3020" s="86">
        <v>18</v>
      </c>
      <c r="J3020" s="87"/>
      <c r="K3020" s="87"/>
      <c r="L3020" s="87"/>
      <c r="M3020" s="87"/>
      <c r="N3020" s="87"/>
      <c r="O3020" s="87"/>
      <c r="P3020" s="87"/>
      <c r="Q3020" s="87"/>
      <c r="R3020" s="87"/>
      <c r="S3020" s="87"/>
      <c r="T3020" s="87"/>
      <c r="U3020" s="87"/>
      <c r="V3020" s="87">
        <v>3</v>
      </c>
      <c r="W3020" s="87"/>
      <c r="X3020" s="87"/>
      <c r="Y3020" s="87"/>
      <c r="Z3020" s="87"/>
      <c r="AA3020" s="87"/>
      <c r="AB3020" s="87"/>
      <c r="AC3020" s="87"/>
      <c r="AD3020" s="87"/>
      <c r="AE3020" s="87"/>
      <c r="AF3020" s="87"/>
      <c r="AG3020" s="87"/>
      <c r="AH3020" s="87">
        <v>3</v>
      </c>
      <c r="AI3020" s="87"/>
      <c r="AJ3020" s="87"/>
      <c r="AK3020" s="87"/>
      <c r="AL3020" s="87"/>
      <c r="AM3020" s="87"/>
      <c r="AN3020" s="87"/>
      <c r="AO3020" s="87">
        <v>3</v>
      </c>
      <c r="AP3020" s="87"/>
      <c r="AQ3020" s="87"/>
      <c r="AR3020" s="87"/>
      <c r="AS3020" s="87"/>
      <c r="AT3020" s="87"/>
      <c r="AU3020" s="87"/>
      <c r="AV3020" s="87"/>
      <c r="AW3020" s="88" t="str">
        <f>HYPERLINK("http://www.openstreetmap.org/?mlat=32.462&amp;mlon=46.0729&amp;zoom=12#map=12/32.462/46.0729","Maplink1")</f>
        <v>Maplink1</v>
      </c>
      <c r="AX3020" s="88" t="str">
        <f>HYPERLINK("https://www.google.iq/maps/search/+32.462,46.0729/@32.462,46.0729,14z?hl=en","Maplink2")</f>
        <v>Maplink2</v>
      </c>
      <c r="AY3020" s="88" t="str">
        <f>HYPERLINK("http://www.bing.com/maps/?lvl=14&amp;sty=h&amp;cp=32.462~46.0729&amp;sp=point.32.462_46.0729","Maplink3")</f>
        <v>Maplink3</v>
      </c>
      <c r="AZ3020" s="76"/>
    </row>
    <row r="3021" spans="1:52" x14ac:dyDescent="0.25">
      <c r="A3021" s="86">
        <v>19524</v>
      </c>
      <c r="B3021" s="87" t="s">
        <v>29</v>
      </c>
      <c r="C3021" s="87" t="s">
        <v>5664</v>
      </c>
      <c r="D3021" s="87" t="s">
        <v>5669</v>
      </c>
      <c r="E3021" s="87" t="s">
        <v>5670</v>
      </c>
      <c r="F3021" s="87">
        <v>32.525261061899997</v>
      </c>
      <c r="G3021" s="87">
        <v>45.869938734900003</v>
      </c>
      <c r="H3021" s="86">
        <v>8</v>
      </c>
      <c r="I3021" s="86">
        <v>48</v>
      </c>
      <c r="J3021" s="87"/>
      <c r="K3021" s="87"/>
      <c r="L3021" s="87"/>
      <c r="M3021" s="87"/>
      <c r="N3021" s="87"/>
      <c r="O3021" s="87"/>
      <c r="P3021" s="87"/>
      <c r="Q3021" s="87"/>
      <c r="R3021" s="87"/>
      <c r="S3021" s="87"/>
      <c r="T3021" s="87"/>
      <c r="U3021" s="87"/>
      <c r="V3021" s="87">
        <v>8</v>
      </c>
      <c r="W3021" s="87"/>
      <c r="X3021" s="87"/>
      <c r="Y3021" s="87"/>
      <c r="Z3021" s="87"/>
      <c r="AA3021" s="87"/>
      <c r="AB3021" s="87"/>
      <c r="AC3021" s="87"/>
      <c r="AD3021" s="87"/>
      <c r="AE3021" s="87"/>
      <c r="AF3021" s="87"/>
      <c r="AG3021" s="87">
        <v>4</v>
      </c>
      <c r="AH3021" s="87">
        <v>4</v>
      </c>
      <c r="AI3021" s="87"/>
      <c r="AJ3021" s="87"/>
      <c r="AK3021" s="87"/>
      <c r="AL3021" s="87"/>
      <c r="AM3021" s="87"/>
      <c r="AN3021" s="87"/>
      <c r="AO3021" s="87">
        <v>8</v>
      </c>
      <c r="AP3021" s="87"/>
      <c r="AQ3021" s="87"/>
      <c r="AR3021" s="87"/>
      <c r="AS3021" s="87"/>
      <c r="AT3021" s="87"/>
      <c r="AU3021" s="87"/>
      <c r="AV3021" s="87"/>
      <c r="AW3021" s="88" t="str">
        <f>HYPERLINK("http://www.openstreetmap.org/?mlat=32.5253&amp;mlon=45.8699&amp;zoom=12#map=12/32.5253/45.8699","Maplink1")</f>
        <v>Maplink1</v>
      </c>
      <c r="AX3021" s="88" t="str">
        <f>HYPERLINK("https://www.google.iq/maps/search/+32.5253,45.8699/@32.5253,45.8699,14z?hl=en","Maplink2")</f>
        <v>Maplink2</v>
      </c>
      <c r="AY3021" s="88" t="str">
        <f>HYPERLINK("http://www.bing.com/maps/?lvl=14&amp;sty=h&amp;cp=32.5253~45.8699&amp;sp=point.32.5253_45.8699","Maplink3")</f>
        <v>Maplink3</v>
      </c>
      <c r="AZ3021" s="76"/>
    </row>
    <row r="3022" spans="1:52" x14ac:dyDescent="0.25">
      <c r="A3022" s="86">
        <v>24786</v>
      </c>
      <c r="B3022" s="87" t="s">
        <v>29</v>
      </c>
      <c r="C3022" s="87" t="s">
        <v>5664</v>
      </c>
      <c r="D3022" s="87" t="s">
        <v>5671</v>
      </c>
      <c r="E3022" s="87" t="s">
        <v>5672</v>
      </c>
      <c r="F3022" s="87">
        <v>32.5452502646</v>
      </c>
      <c r="G3022" s="87">
        <v>45.851843532499998</v>
      </c>
      <c r="H3022" s="86">
        <v>10</v>
      </c>
      <c r="I3022" s="86">
        <v>60</v>
      </c>
      <c r="J3022" s="87"/>
      <c r="K3022" s="87"/>
      <c r="L3022" s="87"/>
      <c r="M3022" s="87"/>
      <c r="N3022" s="87"/>
      <c r="O3022" s="87"/>
      <c r="P3022" s="87"/>
      <c r="Q3022" s="87"/>
      <c r="R3022" s="87"/>
      <c r="S3022" s="87"/>
      <c r="T3022" s="87"/>
      <c r="U3022" s="87"/>
      <c r="V3022" s="87">
        <v>5</v>
      </c>
      <c r="W3022" s="87"/>
      <c r="X3022" s="87">
        <v>5</v>
      </c>
      <c r="Y3022" s="87"/>
      <c r="Z3022" s="87"/>
      <c r="AA3022" s="87"/>
      <c r="AB3022" s="87"/>
      <c r="AC3022" s="87"/>
      <c r="AD3022" s="87"/>
      <c r="AE3022" s="87"/>
      <c r="AF3022" s="87"/>
      <c r="AG3022" s="87"/>
      <c r="AH3022" s="87">
        <v>10</v>
      </c>
      <c r="AI3022" s="87"/>
      <c r="AJ3022" s="87"/>
      <c r="AK3022" s="87"/>
      <c r="AL3022" s="87"/>
      <c r="AM3022" s="87"/>
      <c r="AN3022" s="87"/>
      <c r="AO3022" s="87">
        <v>10</v>
      </c>
      <c r="AP3022" s="87"/>
      <c r="AQ3022" s="87"/>
      <c r="AR3022" s="87"/>
      <c r="AS3022" s="87"/>
      <c r="AT3022" s="87"/>
      <c r="AU3022" s="87"/>
      <c r="AV3022" s="87"/>
      <c r="AW3022" s="88" t="str">
        <f>HYPERLINK("http://www.openstreetmap.org/?mlat=32.5453&amp;mlon=45.8518&amp;zoom=12#map=12/32.5453/45.8518","Maplink1")</f>
        <v>Maplink1</v>
      </c>
      <c r="AX3022" s="88" t="str">
        <f>HYPERLINK("https://www.google.iq/maps/search/+32.5453,45.8518/@32.5453,45.8518,14z?hl=en","Maplink2")</f>
        <v>Maplink2</v>
      </c>
      <c r="AY3022" s="88" t="str">
        <f>HYPERLINK("http://www.bing.com/maps/?lvl=14&amp;sty=h&amp;cp=32.5453~45.8518&amp;sp=point.32.5453_45.8518","Maplink3")</f>
        <v>Maplink3</v>
      </c>
      <c r="AZ3022" s="76"/>
    </row>
    <row r="3023" spans="1:52" x14ac:dyDescent="0.25">
      <c r="A3023" s="86">
        <v>27278</v>
      </c>
      <c r="B3023" s="87" t="s">
        <v>29</v>
      </c>
      <c r="C3023" s="87" t="s">
        <v>5664</v>
      </c>
      <c r="D3023" s="87" t="s">
        <v>5673</v>
      </c>
      <c r="E3023" s="87" t="s">
        <v>5674</v>
      </c>
      <c r="F3023" s="87">
        <v>32.535891105899999</v>
      </c>
      <c r="G3023" s="87">
        <v>45.857079965399997</v>
      </c>
      <c r="H3023" s="86">
        <v>12</v>
      </c>
      <c r="I3023" s="86">
        <v>72</v>
      </c>
      <c r="J3023" s="87"/>
      <c r="K3023" s="87"/>
      <c r="L3023" s="87"/>
      <c r="M3023" s="87"/>
      <c r="N3023" s="87"/>
      <c r="O3023" s="87"/>
      <c r="P3023" s="87"/>
      <c r="Q3023" s="87"/>
      <c r="R3023" s="87"/>
      <c r="S3023" s="87"/>
      <c r="T3023" s="87"/>
      <c r="U3023" s="87"/>
      <c r="V3023" s="87">
        <v>12</v>
      </c>
      <c r="W3023" s="87"/>
      <c r="X3023" s="87"/>
      <c r="Y3023" s="87"/>
      <c r="Z3023" s="87"/>
      <c r="AA3023" s="87"/>
      <c r="AB3023" s="87"/>
      <c r="AC3023" s="87"/>
      <c r="AD3023" s="87"/>
      <c r="AE3023" s="87"/>
      <c r="AF3023" s="87"/>
      <c r="AG3023" s="87"/>
      <c r="AH3023" s="87">
        <v>12</v>
      </c>
      <c r="AI3023" s="87"/>
      <c r="AJ3023" s="87"/>
      <c r="AK3023" s="87"/>
      <c r="AL3023" s="87"/>
      <c r="AM3023" s="87"/>
      <c r="AN3023" s="87"/>
      <c r="AO3023" s="87">
        <v>12</v>
      </c>
      <c r="AP3023" s="87"/>
      <c r="AQ3023" s="87"/>
      <c r="AR3023" s="87"/>
      <c r="AS3023" s="87"/>
      <c r="AT3023" s="87"/>
      <c r="AU3023" s="87"/>
      <c r="AV3023" s="87"/>
      <c r="AW3023" s="88" t="str">
        <f>HYPERLINK("http://www.openstreetmap.org/?mlat=32.5359&amp;mlon=45.8571&amp;zoom=12#map=12/32.5359/45.8571","Maplink1")</f>
        <v>Maplink1</v>
      </c>
      <c r="AX3023" s="88" t="str">
        <f>HYPERLINK("https://www.google.iq/maps/search/+32.5359,45.8571/@32.5359,45.8571,14z?hl=en","Maplink2")</f>
        <v>Maplink2</v>
      </c>
      <c r="AY3023" s="88" t="str">
        <f>HYPERLINK("http://www.bing.com/maps/?lvl=14&amp;sty=h&amp;cp=32.5359~45.8571&amp;sp=point.32.5359_45.8571","Maplink3")</f>
        <v>Maplink3</v>
      </c>
      <c r="AZ3023" s="76"/>
    </row>
    <row r="3024" spans="1:52" x14ac:dyDescent="0.25">
      <c r="A3024" s="86">
        <v>27277</v>
      </c>
      <c r="B3024" s="87" t="s">
        <v>29</v>
      </c>
      <c r="C3024" s="87" t="s">
        <v>5664</v>
      </c>
      <c r="D3024" s="87" t="s">
        <v>5675</v>
      </c>
      <c r="E3024" s="87" t="s">
        <v>5676</v>
      </c>
      <c r="F3024" s="87">
        <v>32.529881711000002</v>
      </c>
      <c r="G3024" s="87">
        <v>45.839648306900003</v>
      </c>
      <c r="H3024" s="86">
        <v>12</v>
      </c>
      <c r="I3024" s="86">
        <v>72</v>
      </c>
      <c r="J3024" s="87"/>
      <c r="K3024" s="87"/>
      <c r="L3024" s="87"/>
      <c r="M3024" s="87"/>
      <c r="N3024" s="87"/>
      <c r="O3024" s="87"/>
      <c r="P3024" s="87"/>
      <c r="Q3024" s="87"/>
      <c r="R3024" s="87"/>
      <c r="S3024" s="87"/>
      <c r="T3024" s="87"/>
      <c r="U3024" s="87"/>
      <c r="V3024" s="87">
        <v>12</v>
      </c>
      <c r="W3024" s="87"/>
      <c r="X3024" s="87"/>
      <c r="Y3024" s="87"/>
      <c r="Z3024" s="87"/>
      <c r="AA3024" s="87"/>
      <c r="AB3024" s="87"/>
      <c r="AC3024" s="87"/>
      <c r="AD3024" s="87"/>
      <c r="AE3024" s="87"/>
      <c r="AF3024" s="87"/>
      <c r="AG3024" s="87"/>
      <c r="AH3024" s="87">
        <v>12</v>
      </c>
      <c r="AI3024" s="87"/>
      <c r="AJ3024" s="87"/>
      <c r="AK3024" s="87"/>
      <c r="AL3024" s="87"/>
      <c r="AM3024" s="87"/>
      <c r="AN3024" s="87"/>
      <c r="AO3024" s="87">
        <v>12</v>
      </c>
      <c r="AP3024" s="87"/>
      <c r="AQ3024" s="87"/>
      <c r="AR3024" s="87"/>
      <c r="AS3024" s="87"/>
      <c r="AT3024" s="87"/>
      <c r="AU3024" s="87"/>
      <c r="AV3024" s="87"/>
      <c r="AW3024" s="88" t="str">
        <f>HYPERLINK("http://www.openstreetmap.org/?mlat=32.5299&amp;mlon=45.8396&amp;zoom=12#map=12/32.5299/45.8396","Maplink1")</f>
        <v>Maplink1</v>
      </c>
      <c r="AX3024" s="88" t="str">
        <f>HYPERLINK("https://www.google.iq/maps/search/+32.5299,45.8396/@32.5299,45.8396,14z?hl=en","Maplink2")</f>
        <v>Maplink2</v>
      </c>
      <c r="AY3024" s="88" t="str">
        <f>HYPERLINK("http://www.bing.com/maps/?lvl=14&amp;sty=h&amp;cp=32.5299~45.8396&amp;sp=point.32.5299_45.8396","Maplink3")</f>
        <v>Maplink3</v>
      </c>
      <c r="AZ3024" s="76"/>
    </row>
    <row r="3025" spans="1:52" x14ac:dyDescent="0.25">
      <c r="A3025" s="86">
        <v>23256</v>
      </c>
      <c r="B3025" s="87" t="s">
        <v>29</v>
      </c>
      <c r="C3025" s="87" t="s">
        <v>5664</v>
      </c>
      <c r="D3025" s="87" t="s">
        <v>5677</v>
      </c>
      <c r="E3025" s="87" t="s">
        <v>5678</v>
      </c>
      <c r="F3025" s="87">
        <v>32.530750979799997</v>
      </c>
      <c r="G3025" s="87">
        <v>45.7473125</v>
      </c>
      <c r="H3025" s="86">
        <v>55</v>
      </c>
      <c r="I3025" s="86">
        <v>330</v>
      </c>
      <c r="J3025" s="87"/>
      <c r="K3025" s="87"/>
      <c r="L3025" s="87"/>
      <c r="M3025" s="87"/>
      <c r="N3025" s="87"/>
      <c r="O3025" s="87">
        <v>7</v>
      </c>
      <c r="P3025" s="87"/>
      <c r="Q3025" s="87"/>
      <c r="R3025" s="87">
        <v>42</v>
      </c>
      <c r="S3025" s="87"/>
      <c r="T3025" s="87"/>
      <c r="U3025" s="87"/>
      <c r="V3025" s="87">
        <v>6</v>
      </c>
      <c r="W3025" s="87"/>
      <c r="X3025" s="87"/>
      <c r="Y3025" s="87"/>
      <c r="Z3025" s="87"/>
      <c r="AA3025" s="87"/>
      <c r="AB3025" s="87"/>
      <c r="AC3025" s="87"/>
      <c r="AD3025" s="87"/>
      <c r="AE3025" s="87"/>
      <c r="AF3025" s="87"/>
      <c r="AG3025" s="87"/>
      <c r="AH3025" s="87">
        <v>55</v>
      </c>
      <c r="AI3025" s="87"/>
      <c r="AJ3025" s="87"/>
      <c r="AK3025" s="87"/>
      <c r="AL3025" s="87"/>
      <c r="AM3025" s="87"/>
      <c r="AN3025" s="87"/>
      <c r="AO3025" s="87">
        <v>42</v>
      </c>
      <c r="AP3025" s="87">
        <v>13</v>
      </c>
      <c r="AQ3025" s="87"/>
      <c r="AR3025" s="87"/>
      <c r="AS3025" s="87"/>
      <c r="AT3025" s="87"/>
      <c r="AU3025" s="87"/>
      <c r="AV3025" s="87"/>
      <c r="AW3025" s="88" t="str">
        <f>HYPERLINK("http://www.openstreetmap.org/?mlat=32.5308&amp;mlon=45.7473&amp;zoom=12#map=12/32.5308/45.7473","Maplink1")</f>
        <v>Maplink1</v>
      </c>
      <c r="AX3025" s="88" t="str">
        <f>HYPERLINK("https://www.google.iq/maps/search/+32.5308,45.7473/@32.5308,45.7473,14z?hl=en","Maplink2")</f>
        <v>Maplink2</v>
      </c>
      <c r="AY3025" s="88" t="str">
        <f>HYPERLINK("http://www.bing.com/maps/?lvl=14&amp;sty=h&amp;cp=32.5308~45.7473&amp;sp=point.32.5308_45.7473","Maplink3")</f>
        <v>Maplink3</v>
      </c>
      <c r="AZ3025" s="76"/>
    </row>
    <row r="3026" spans="1:52" x14ac:dyDescent="0.25">
      <c r="A3026" s="86">
        <v>23395</v>
      </c>
      <c r="B3026" s="87" t="s">
        <v>29</v>
      </c>
      <c r="C3026" s="87" t="s">
        <v>5664</v>
      </c>
      <c r="D3026" s="87" t="s">
        <v>5679</v>
      </c>
      <c r="E3026" s="87" t="s">
        <v>5680</v>
      </c>
      <c r="F3026" s="87">
        <v>32.401217232299999</v>
      </c>
      <c r="G3026" s="87">
        <v>46.230500750799997</v>
      </c>
      <c r="H3026" s="86">
        <v>6</v>
      </c>
      <c r="I3026" s="86">
        <v>36</v>
      </c>
      <c r="J3026" s="87"/>
      <c r="K3026" s="87"/>
      <c r="L3026" s="87"/>
      <c r="M3026" s="87"/>
      <c r="N3026" s="87"/>
      <c r="O3026" s="87"/>
      <c r="P3026" s="87"/>
      <c r="Q3026" s="87"/>
      <c r="R3026" s="87"/>
      <c r="S3026" s="87"/>
      <c r="T3026" s="87"/>
      <c r="U3026" s="87"/>
      <c r="V3026" s="87">
        <v>6</v>
      </c>
      <c r="W3026" s="87"/>
      <c r="X3026" s="87"/>
      <c r="Y3026" s="87"/>
      <c r="Z3026" s="87"/>
      <c r="AA3026" s="87"/>
      <c r="AB3026" s="87"/>
      <c r="AC3026" s="87"/>
      <c r="AD3026" s="87"/>
      <c r="AE3026" s="87"/>
      <c r="AF3026" s="87"/>
      <c r="AG3026" s="87"/>
      <c r="AH3026" s="87">
        <v>6</v>
      </c>
      <c r="AI3026" s="87"/>
      <c r="AJ3026" s="87"/>
      <c r="AK3026" s="87"/>
      <c r="AL3026" s="87"/>
      <c r="AM3026" s="87"/>
      <c r="AN3026" s="87"/>
      <c r="AO3026" s="87">
        <v>6</v>
      </c>
      <c r="AP3026" s="87"/>
      <c r="AQ3026" s="87"/>
      <c r="AR3026" s="87"/>
      <c r="AS3026" s="87"/>
      <c r="AT3026" s="87"/>
      <c r="AU3026" s="87"/>
      <c r="AV3026" s="87"/>
      <c r="AW3026" s="88" t="str">
        <f>HYPERLINK("http://www.openstreetmap.org/?mlat=32.4012&amp;mlon=46.2305&amp;zoom=12#map=12/32.4012/46.2305","Maplink1")</f>
        <v>Maplink1</v>
      </c>
      <c r="AX3026" s="88" t="str">
        <f>HYPERLINK("https://www.google.iq/maps/search/+32.4012,46.2305/@32.4012,46.2305,14z?hl=en","Maplink2")</f>
        <v>Maplink2</v>
      </c>
      <c r="AY3026" s="88" t="str">
        <f>HYPERLINK("http://www.bing.com/maps/?lvl=14&amp;sty=h&amp;cp=32.4012~46.2305&amp;sp=point.32.4012_46.2305","Maplink3")</f>
        <v>Maplink3</v>
      </c>
      <c r="AZ3026" s="76"/>
    </row>
    <row r="3027" spans="1:52" x14ac:dyDescent="0.25">
      <c r="A3027" s="86">
        <v>23703</v>
      </c>
      <c r="B3027" s="87" t="s">
        <v>29</v>
      </c>
      <c r="C3027" s="87" t="s">
        <v>5664</v>
      </c>
      <c r="D3027" s="87" t="s">
        <v>5681</v>
      </c>
      <c r="E3027" s="87" t="s">
        <v>5682</v>
      </c>
      <c r="F3027" s="87">
        <v>32.539086419699998</v>
      </c>
      <c r="G3027" s="87">
        <v>45.826404023000002</v>
      </c>
      <c r="H3027" s="86">
        <v>15</v>
      </c>
      <c r="I3027" s="86">
        <v>90</v>
      </c>
      <c r="J3027" s="87"/>
      <c r="K3027" s="87"/>
      <c r="L3027" s="87"/>
      <c r="M3027" s="87"/>
      <c r="N3027" s="87"/>
      <c r="O3027" s="87"/>
      <c r="P3027" s="87"/>
      <c r="Q3027" s="87"/>
      <c r="R3027" s="87"/>
      <c r="S3027" s="87"/>
      <c r="T3027" s="87"/>
      <c r="U3027" s="87"/>
      <c r="V3027" s="87">
        <v>15</v>
      </c>
      <c r="W3027" s="87"/>
      <c r="X3027" s="87"/>
      <c r="Y3027" s="87"/>
      <c r="Z3027" s="87"/>
      <c r="AA3027" s="87"/>
      <c r="AB3027" s="87"/>
      <c r="AC3027" s="87"/>
      <c r="AD3027" s="87"/>
      <c r="AE3027" s="87"/>
      <c r="AF3027" s="87"/>
      <c r="AG3027" s="87"/>
      <c r="AH3027" s="87">
        <v>15</v>
      </c>
      <c r="AI3027" s="87"/>
      <c r="AJ3027" s="87"/>
      <c r="AK3027" s="87"/>
      <c r="AL3027" s="87"/>
      <c r="AM3027" s="87"/>
      <c r="AN3027" s="87"/>
      <c r="AO3027" s="87"/>
      <c r="AP3027" s="87"/>
      <c r="AQ3027" s="87">
        <v>15</v>
      </c>
      <c r="AR3027" s="87"/>
      <c r="AS3027" s="87"/>
      <c r="AT3027" s="87"/>
      <c r="AU3027" s="87"/>
      <c r="AV3027" s="87"/>
      <c r="AW3027" s="88" t="str">
        <f>HYPERLINK("http://www.openstreetmap.org/?mlat=32.5391&amp;mlon=45.8264&amp;zoom=12#map=12/32.5391/45.8264","Maplink1")</f>
        <v>Maplink1</v>
      </c>
      <c r="AX3027" s="88" t="str">
        <f>HYPERLINK("https://www.google.iq/maps/search/+32.5391,45.8264/@32.5391,45.8264,14z?hl=en","Maplink2")</f>
        <v>Maplink2</v>
      </c>
      <c r="AY3027" s="88" t="str">
        <f>HYPERLINK("http://www.bing.com/maps/?lvl=14&amp;sty=h&amp;cp=32.5391~45.8264&amp;sp=point.32.5391_45.8264","Maplink3")</f>
        <v>Maplink3</v>
      </c>
      <c r="AZ3027" s="76"/>
    </row>
    <row r="3028" spans="1:52" x14ac:dyDescent="0.25">
      <c r="A3028" s="86">
        <v>19546</v>
      </c>
      <c r="B3028" s="87" t="s">
        <v>29</v>
      </c>
      <c r="C3028" s="87" t="s">
        <v>5664</v>
      </c>
      <c r="D3028" s="87" t="s">
        <v>5683</v>
      </c>
      <c r="E3028" s="87" t="s">
        <v>5684</v>
      </c>
      <c r="F3028" s="87">
        <v>32.528666987599998</v>
      </c>
      <c r="G3028" s="87">
        <v>45.804317311399998</v>
      </c>
      <c r="H3028" s="86">
        <v>16</v>
      </c>
      <c r="I3028" s="86">
        <v>96</v>
      </c>
      <c r="J3028" s="87">
        <v>6</v>
      </c>
      <c r="K3028" s="87"/>
      <c r="L3028" s="87"/>
      <c r="M3028" s="87"/>
      <c r="N3028" s="87"/>
      <c r="O3028" s="87"/>
      <c r="P3028" s="87"/>
      <c r="Q3028" s="87"/>
      <c r="R3028" s="87"/>
      <c r="S3028" s="87"/>
      <c r="T3028" s="87"/>
      <c r="U3028" s="87"/>
      <c r="V3028" s="87">
        <v>10</v>
      </c>
      <c r="W3028" s="87"/>
      <c r="X3028" s="87"/>
      <c r="Y3028" s="87"/>
      <c r="Z3028" s="87"/>
      <c r="AA3028" s="87"/>
      <c r="AB3028" s="87"/>
      <c r="AC3028" s="87"/>
      <c r="AD3028" s="87"/>
      <c r="AE3028" s="87"/>
      <c r="AF3028" s="87"/>
      <c r="AG3028" s="87"/>
      <c r="AH3028" s="87">
        <v>16</v>
      </c>
      <c r="AI3028" s="87"/>
      <c r="AJ3028" s="87"/>
      <c r="AK3028" s="87"/>
      <c r="AL3028" s="87"/>
      <c r="AM3028" s="87"/>
      <c r="AN3028" s="87"/>
      <c r="AO3028" s="87">
        <v>16</v>
      </c>
      <c r="AP3028" s="87"/>
      <c r="AQ3028" s="87"/>
      <c r="AR3028" s="87"/>
      <c r="AS3028" s="87"/>
      <c r="AT3028" s="87"/>
      <c r="AU3028" s="87"/>
      <c r="AV3028" s="87"/>
      <c r="AW3028" s="88" t="str">
        <f>HYPERLINK("http://www.openstreetmap.org/?mlat=32.5287&amp;mlon=45.8043&amp;zoom=12#map=12/32.5287/45.8043","Maplink1")</f>
        <v>Maplink1</v>
      </c>
      <c r="AX3028" s="88" t="str">
        <f>HYPERLINK("https://www.google.iq/maps/search/+32.5287,45.8043/@32.5287,45.8043,14z?hl=en","Maplink2")</f>
        <v>Maplink2</v>
      </c>
      <c r="AY3028" s="88" t="str">
        <f>HYPERLINK("http://www.bing.com/maps/?lvl=14&amp;sty=h&amp;cp=32.5287~45.8043&amp;sp=point.32.5287_45.8043","Maplink3")</f>
        <v>Maplink3</v>
      </c>
      <c r="AZ3028" s="76"/>
    </row>
    <row r="3029" spans="1:52" x14ac:dyDescent="0.25">
      <c r="A3029" s="86">
        <v>24869</v>
      </c>
      <c r="B3029" s="87" t="s">
        <v>29</v>
      </c>
      <c r="C3029" s="87" t="s">
        <v>5664</v>
      </c>
      <c r="D3029" s="87" t="s">
        <v>5685</v>
      </c>
      <c r="E3029" s="87" t="s">
        <v>5686</v>
      </c>
      <c r="F3029" s="87">
        <v>32.561776488500001</v>
      </c>
      <c r="G3029" s="87">
        <v>46.273411408100003</v>
      </c>
      <c r="H3029" s="86">
        <v>4</v>
      </c>
      <c r="I3029" s="86">
        <v>24</v>
      </c>
      <c r="J3029" s="87"/>
      <c r="K3029" s="87"/>
      <c r="L3029" s="87"/>
      <c r="M3029" s="87"/>
      <c r="N3029" s="87"/>
      <c r="O3029" s="87"/>
      <c r="P3029" s="87"/>
      <c r="Q3029" s="87"/>
      <c r="R3029" s="87"/>
      <c r="S3029" s="87"/>
      <c r="T3029" s="87"/>
      <c r="U3029" s="87"/>
      <c r="V3029" s="87">
        <v>4</v>
      </c>
      <c r="W3029" s="87"/>
      <c r="X3029" s="87"/>
      <c r="Y3029" s="87"/>
      <c r="Z3029" s="87"/>
      <c r="AA3029" s="87"/>
      <c r="AB3029" s="87"/>
      <c r="AC3029" s="87"/>
      <c r="AD3029" s="87"/>
      <c r="AE3029" s="87"/>
      <c r="AF3029" s="87"/>
      <c r="AG3029" s="87">
        <v>4</v>
      </c>
      <c r="AH3029" s="87"/>
      <c r="AI3029" s="87"/>
      <c r="AJ3029" s="87"/>
      <c r="AK3029" s="87"/>
      <c r="AL3029" s="87"/>
      <c r="AM3029" s="87"/>
      <c r="AN3029" s="87"/>
      <c r="AO3029" s="87">
        <v>4</v>
      </c>
      <c r="AP3029" s="87"/>
      <c r="AQ3029" s="87"/>
      <c r="AR3029" s="87"/>
      <c r="AS3029" s="87"/>
      <c r="AT3029" s="87"/>
      <c r="AU3029" s="87"/>
      <c r="AV3029" s="87"/>
      <c r="AW3029" s="88" t="str">
        <f>HYPERLINK("http://www.openstreetmap.org/?mlat=32.5618&amp;mlon=46.2734&amp;zoom=12#map=12/32.5618/46.2734","Maplink1")</f>
        <v>Maplink1</v>
      </c>
      <c r="AX3029" s="88" t="str">
        <f>HYPERLINK("https://www.google.iq/maps/search/+32.5618,46.2734/@32.5618,46.2734,14z?hl=en","Maplink2")</f>
        <v>Maplink2</v>
      </c>
      <c r="AY3029" s="88" t="str">
        <f>HYPERLINK("http://www.bing.com/maps/?lvl=14&amp;sty=h&amp;cp=32.5618~46.2734&amp;sp=point.32.5618_46.2734","Maplink3")</f>
        <v>Maplink3</v>
      </c>
      <c r="AZ3029" s="76"/>
    </row>
    <row r="3030" spans="1:52" x14ac:dyDescent="0.25">
      <c r="A3030" s="86">
        <v>23967</v>
      </c>
      <c r="B3030" s="87" t="s">
        <v>29</v>
      </c>
      <c r="C3030" s="87" t="s">
        <v>5664</v>
      </c>
      <c r="D3030" s="87" t="s">
        <v>5687</v>
      </c>
      <c r="E3030" s="87" t="s">
        <v>5688</v>
      </c>
      <c r="F3030" s="87">
        <v>32.517704121599998</v>
      </c>
      <c r="G3030" s="87">
        <v>45.808937471100002</v>
      </c>
      <c r="H3030" s="86">
        <v>21</v>
      </c>
      <c r="I3030" s="86">
        <v>126</v>
      </c>
      <c r="J3030" s="87"/>
      <c r="K3030" s="87"/>
      <c r="L3030" s="87"/>
      <c r="M3030" s="87"/>
      <c r="N3030" s="87"/>
      <c r="O3030" s="87"/>
      <c r="P3030" s="87"/>
      <c r="Q3030" s="87"/>
      <c r="R3030" s="87"/>
      <c r="S3030" s="87"/>
      <c r="T3030" s="87"/>
      <c r="U3030" s="87"/>
      <c r="V3030" s="87">
        <v>21</v>
      </c>
      <c r="W3030" s="87"/>
      <c r="X3030" s="87"/>
      <c r="Y3030" s="87"/>
      <c r="Z3030" s="87"/>
      <c r="AA3030" s="87"/>
      <c r="AB3030" s="87"/>
      <c r="AC3030" s="87"/>
      <c r="AD3030" s="87"/>
      <c r="AE3030" s="87"/>
      <c r="AF3030" s="87"/>
      <c r="AG3030" s="87"/>
      <c r="AH3030" s="87">
        <v>21</v>
      </c>
      <c r="AI3030" s="87"/>
      <c r="AJ3030" s="87"/>
      <c r="AK3030" s="87"/>
      <c r="AL3030" s="87"/>
      <c r="AM3030" s="87"/>
      <c r="AN3030" s="87"/>
      <c r="AO3030" s="87">
        <v>21</v>
      </c>
      <c r="AP3030" s="87"/>
      <c r="AQ3030" s="87"/>
      <c r="AR3030" s="87"/>
      <c r="AS3030" s="87"/>
      <c r="AT3030" s="87"/>
      <c r="AU3030" s="87"/>
      <c r="AV3030" s="87"/>
      <c r="AW3030" s="88" t="str">
        <f>HYPERLINK("http://www.openstreetmap.org/?mlat=32.5177&amp;mlon=45.8089&amp;zoom=12#map=12/32.5177/45.8089","Maplink1")</f>
        <v>Maplink1</v>
      </c>
      <c r="AX3030" s="88" t="str">
        <f>HYPERLINK("https://www.google.iq/maps/search/+32.5177,45.8089/@32.5177,45.8089,14z?hl=en","Maplink2")</f>
        <v>Maplink2</v>
      </c>
      <c r="AY3030" s="88" t="str">
        <f>HYPERLINK("http://www.bing.com/maps/?lvl=14&amp;sty=h&amp;cp=32.5177~45.8089&amp;sp=point.32.5177_45.8089","Maplink3")</f>
        <v>Maplink3</v>
      </c>
      <c r="AZ3030" s="76"/>
    </row>
    <row r="3031" spans="1:52" x14ac:dyDescent="0.25">
      <c r="A3031" s="86">
        <v>24868</v>
      </c>
      <c r="B3031" s="87" t="s">
        <v>29</v>
      </c>
      <c r="C3031" s="87" t="s">
        <v>5664</v>
      </c>
      <c r="D3031" s="87" t="s">
        <v>5689</v>
      </c>
      <c r="E3031" s="87" t="s">
        <v>5690</v>
      </c>
      <c r="F3031" s="87">
        <v>32.574724478900002</v>
      </c>
      <c r="G3031" s="87">
        <v>46.268174378700003</v>
      </c>
      <c r="H3031" s="86">
        <v>2</v>
      </c>
      <c r="I3031" s="86">
        <v>12</v>
      </c>
      <c r="J3031" s="87"/>
      <c r="K3031" s="87"/>
      <c r="L3031" s="87"/>
      <c r="M3031" s="87"/>
      <c r="N3031" s="87"/>
      <c r="O3031" s="87"/>
      <c r="P3031" s="87"/>
      <c r="Q3031" s="87"/>
      <c r="R3031" s="87"/>
      <c r="S3031" s="87"/>
      <c r="T3031" s="87"/>
      <c r="U3031" s="87"/>
      <c r="V3031" s="87">
        <v>2</v>
      </c>
      <c r="W3031" s="87"/>
      <c r="X3031" s="87"/>
      <c r="Y3031" s="87"/>
      <c r="Z3031" s="87"/>
      <c r="AA3031" s="87"/>
      <c r="AB3031" s="87"/>
      <c r="AC3031" s="87">
        <v>2</v>
      </c>
      <c r="AD3031" s="87"/>
      <c r="AE3031" s="87"/>
      <c r="AF3031" s="87"/>
      <c r="AG3031" s="87"/>
      <c r="AH3031" s="87"/>
      <c r="AI3031" s="87"/>
      <c r="AJ3031" s="87"/>
      <c r="AK3031" s="87"/>
      <c r="AL3031" s="87"/>
      <c r="AM3031" s="87"/>
      <c r="AN3031" s="87"/>
      <c r="AO3031" s="87">
        <v>2</v>
      </c>
      <c r="AP3031" s="87"/>
      <c r="AQ3031" s="87"/>
      <c r="AR3031" s="87"/>
      <c r="AS3031" s="87"/>
      <c r="AT3031" s="87"/>
      <c r="AU3031" s="87"/>
      <c r="AV3031" s="87"/>
      <c r="AW3031" s="88" t="str">
        <f>HYPERLINK("http://www.openstreetmap.org/?mlat=32.5747&amp;mlon=46.2682&amp;zoom=12#map=12/32.5747/46.2682","Maplink1")</f>
        <v>Maplink1</v>
      </c>
      <c r="AX3031" s="88" t="str">
        <f>HYPERLINK("https://www.google.iq/maps/search/+32.5747,46.2682/@32.5747,46.2682,14z?hl=en","Maplink2")</f>
        <v>Maplink2</v>
      </c>
      <c r="AY3031" s="88" t="str">
        <f>HYPERLINK("http://www.bing.com/maps/?lvl=14&amp;sty=h&amp;cp=32.5747~46.2682&amp;sp=point.32.5747_46.2682","Maplink3")</f>
        <v>Maplink3</v>
      </c>
      <c r="AZ3031" s="76"/>
    </row>
    <row r="3032" spans="1:52" x14ac:dyDescent="0.25">
      <c r="A3032" s="86">
        <v>24883</v>
      </c>
      <c r="B3032" s="87" t="s">
        <v>29</v>
      </c>
      <c r="C3032" s="87" t="s">
        <v>5664</v>
      </c>
      <c r="D3032" s="87" t="s">
        <v>5691</v>
      </c>
      <c r="E3032" s="87" t="s">
        <v>5692</v>
      </c>
      <c r="F3032" s="87">
        <v>32.455618635500002</v>
      </c>
      <c r="G3032" s="87">
        <v>46.071892183999999</v>
      </c>
      <c r="H3032" s="86">
        <v>5</v>
      </c>
      <c r="I3032" s="86">
        <v>30</v>
      </c>
      <c r="J3032" s="87"/>
      <c r="K3032" s="87"/>
      <c r="L3032" s="87"/>
      <c r="M3032" s="87"/>
      <c r="N3032" s="87"/>
      <c r="O3032" s="87"/>
      <c r="P3032" s="87"/>
      <c r="Q3032" s="87"/>
      <c r="R3032" s="87"/>
      <c r="S3032" s="87"/>
      <c r="T3032" s="87"/>
      <c r="U3032" s="87"/>
      <c r="V3032" s="87">
        <v>5</v>
      </c>
      <c r="W3032" s="87"/>
      <c r="X3032" s="87"/>
      <c r="Y3032" s="87"/>
      <c r="Z3032" s="87"/>
      <c r="AA3032" s="87"/>
      <c r="AB3032" s="87"/>
      <c r="AC3032" s="87"/>
      <c r="AD3032" s="87"/>
      <c r="AE3032" s="87"/>
      <c r="AF3032" s="87"/>
      <c r="AG3032" s="87"/>
      <c r="AH3032" s="87">
        <v>5</v>
      </c>
      <c r="AI3032" s="87"/>
      <c r="AJ3032" s="87"/>
      <c r="AK3032" s="87"/>
      <c r="AL3032" s="87"/>
      <c r="AM3032" s="87"/>
      <c r="AN3032" s="87"/>
      <c r="AO3032" s="87">
        <v>5</v>
      </c>
      <c r="AP3032" s="87"/>
      <c r="AQ3032" s="87"/>
      <c r="AR3032" s="87"/>
      <c r="AS3032" s="87"/>
      <c r="AT3032" s="87"/>
      <c r="AU3032" s="87"/>
      <c r="AV3032" s="87"/>
      <c r="AW3032" s="88" t="str">
        <f>HYPERLINK("http://www.openstreetmap.org/?mlat=32.4556&amp;mlon=46.0719&amp;zoom=12#map=12/32.4556/46.0719","Maplink1")</f>
        <v>Maplink1</v>
      </c>
      <c r="AX3032" s="88" t="str">
        <f>HYPERLINK("https://www.google.iq/maps/search/+32.4556,46.0719/@32.4556,46.0719,14z?hl=en","Maplink2")</f>
        <v>Maplink2</v>
      </c>
      <c r="AY3032" s="88" t="str">
        <f>HYPERLINK("http://www.bing.com/maps/?lvl=14&amp;sty=h&amp;cp=32.4556~46.0719&amp;sp=point.32.4556_46.0719","Maplink3")</f>
        <v>Maplink3</v>
      </c>
      <c r="AZ3032" s="76"/>
    </row>
    <row r="3033" spans="1:52" x14ac:dyDescent="0.25">
      <c r="A3033" s="86">
        <v>24867</v>
      </c>
      <c r="B3033" s="87" t="s">
        <v>29</v>
      </c>
      <c r="C3033" s="87" t="s">
        <v>5664</v>
      </c>
      <c r="D3033" s="87" t="s">
        <v>5693</v>
      </c>
      <c r="E3033" s="87" t="s">
        <v>5694</v>
      </c>
      <c r="F3033" s="87">
        <v>32.458279410300001</v>
      </c>
      <c r="G3033" s="87">
        <v>45.8004440096</v>
      </c>
      <c r="H3033" s="86">
        <v>3</v>
      </c>
      <c r="I3033" s="86">
        <v>18</v>
      </c>
      <c r="J3033" s="87"/>
      <c r="K3033" s="87"/>
      <c r="L3033" s="87"/>
      <c r="M3033" s="87"/>
      <c r="N3033" s="87"/>
      <c r="O3033" s="87"/>
      <c r="P3033" s="87"/>
      <c r="Q3033" s="87"/>
      <c r="R3033" s="87"/>
      <c r="S3033" s="87"/>
      <c r="T3033" s="87"/>
      <c r="U3033" s="87"/>
      <c r="V3033" s="87">
        <v>3</v>
      </c>
      <c r="W3033" s="87"/>
      <c r="X3033" s="87"/>
      <c r="Y3033" s="87"/>
      <c r="Z3033" s="87"/>
      <c r="AA3033" s="87"/>
      <c r="AB3033" s="87"/>
      <c r="AC3033" s="87"/>
      <c r="AD3033" s="87"/>
      <c r="AE3033" s="87"/>
      <c r="AF3033" s="87"/>
      <c r="AG3033" s="87"/>
      <c r="AH3033" s="87">
        <v>3</v>
      </c>
      <c r="AI3033" s="87"/>
      <c r="AJ3033" s="87"/>
      <c r="AK3033" s="87"/>
      <c r="AL3033" s="87"/>
      <c r="AM3033" s="87"/>
      <c r="AN3033" s="87"/>
      <c r="AO3033" s="87">
        <v>3</v>
      </c>
      <c r="AP3033" s="87"/>
      <c r="AQ3033" s="87"/>
      <c r="AR3033" s="87"/>
      <c r="AS3033" s="87"/>
      <c r="AT3033" s="87"/>
      <c r="AU3033" s="87"/>
      <c r="AV3033" s="87"/>
      <c r="AW3033" s="88" t="str">
        <f>HYPERLINK("http://www.openstreetmap.org/?mlat=32.4583&amp;mlon=45.8004&amp;zoom=12#map=12/32.4583/45.8004","Maplink1")</f>
        <v>Maplink1</v>
      </c>
      <c r="AX3033" s="88" t="str">
        <f>HYPERLINK("https://www.google.iq/maps/search/+32.4583,45.8004/@32.4583,45.8004,14z?hl=en","Maplink2")</f>
        <v>Maplink2</v>
      </c>
      <c r="AY3033" s="88" t="str">
        <f>HYPERLINK("http://www.bing.com/maps/?lvl=14&amp;sty=h&amp;cp=32.4583~45.8004&amp;sp=point.32.4583_45.8004","Maplink3")</f>
        <v>Maplink3</v>
      </c>
      <c r="AZ3033" s="76"/>
    </row>
    <row r="3034" spans="1:52" x14ac:dyDescent="0.25">
      <c r="A3034" s="86">
        <v>19214</v>
      </c>
      <c r="B3034" s="87" t="s">
        <v>29</v>
      </c>
      <c r="C3034" s="87" t="s">
        <v>5664</v>
      </c>
      <c r="D3034" s="87" t="s">
        <v>5695</v>
      </c>
      <c r="E3034" s="87" t="s">
        <v>5696</v>
      </c>
      <c r="F3034" s="87">
        <v>32.636923539100003</v>
      </c>
      <c r="G3034" s="87">
        <v>46.179954929799997</v>
      </c>
      <c r="H3034" s="86">
        <v>2</v>
      </c>
      <c r="I3034" s="86">
        <v>12</v>
      </c>
      <c r="J3034" s="87"/>
      <c r="K3034" s="87"/>
      <c r="L3034" s="87"/>
      <c r="M3034" s="87"/>
      <c r="N3034" s="87"/>
      <c r="O3034" s="87"/>
      <c r="P3034" s="87"/>
      <c r="Q3034" s="87"/>
      <c r="R3034" s="87"/>
      <c r="S3034" s="87"/>
      <c r="T3034" s="87"/>
      <c r="U3034" s="87"/>
      <c r="V3034" s="87">
        <v>2</v>
      </c>
      <c r="W3034" s="87"/>
      <c r="X3034" s="87"/>
      <c r="Y3034" s="87"/>
      <c r="Z3034" s="87"/>
      <c r="AA3034" s="87"/>
      <c r="AB3034" s="87"/>
      <c r="AC3034" s="87"/>
      <c r="AD3034" s="87"/>
      <c r="AE3034" s="87"/>
      <c r="AF3034" s="87"/>
      <c r="AG3034" s="87"/>
      <c r="AH3034" s="87"/>
      <c r="AI3034" s="87"/>
      <c r="AJ3034" s="87"/>
      <c r="AK3034" s="87"/>
      <c r="AL3034" s="87">
        <v>2</v>
      </c>
      <c r="AM3034" s="87"/>
      <c r="AN3034" s="87"/>
      <c r="AO3034" s="87">
        <v>2</v>
      </c>
      <c r="AP3034" s="87"/>
      <c r="AQ3034" s="87"/>
      <c r="AR3034" s="87"/>
      <c r="AS3034" s="87"/>
      <c r="AT3034" s="87"/>
      <c r="AU3034" s="87"/>
      <c r="AV3034" s="87"/>
      <c r="AW3034" s="88" t="str">
        <f>HYPERLINK("http://www.openstreetmap.org/?mlat=32.6369&amp;mlon=46.18&amp;zoom=12#map=12/32.6369/46.18","Maplink1")</f>
        <v>Maplink1</v>
      </c>
      <c r="AX3034" s="88" t="str">
        <f>HYPERLINK("https://www.google.iq/maps/search/+32.6369,46.18/@32.6369,46.18,14z?hl=en","Maplink2")</f>
        <v>Maplink2</v>
      </c>
      <c r="AY3034" s="88" t="str">
        <f>HYPERLINK("http://www.bing.com/maps/?lvl=14&amp;sty=h&amp;cp=32.6369~46.18&amp;sp=point.32.6369_46.18","Maplink3")</f>
        <v>Maplink3</v>
      </c>
      <c r="AZ3034" s="76"/>
    </row>
    <row r="3035" spans="1:52" x14ac:dyDescent="0.25">
      <c r="A3035" s="86">
        <v>25109</v>
      </c>
      <c r="B3035" s="87" t="s">
        <v>29</v>
      </c>
      <c r="C3035" s="87" t="s">
        <v>5664</v>
      </c>
      <c r="D3035" s="87" t="s">
        <v>5697</v>
      </c>
      <c r="E3035" s="87" t="s">
        <v>5698</v>
      </c>
      <c r="F3035" s="87">
        <v>32.483308403099997</v>
      </c>
      <c r="G3035" s="87">
        <v>45.825021659400001</v>
      </c>
      <c r="H3035" s="86">
        <v>12</v>
      </c>
      <c r="I3035" s="86">
        <v>72</v>
      </c>
      <c r="J3035" s="87"/>
      <c r="K3035" s="87"/>
      <c r="L3035" s="87"/>
      <c r="M3035" s="87"/>
      <c r="N3035" s="87"/>
      <c r="O3035" s="87"/>
      <c r="P3035" s="87"/>
      <c r="Q3035" s="87"/>
      <c r="R3035" s="87"/>
      <c r="S3035" s="87"/>
      <c r="T3035" s="87"/>
      <c r="U3035" s="87"/>
      <c r="V3035" s="87">
        <v>12</v>
      </c>
      <c r="W3035" s="87"/>
      <c r="X3035" s="87"/>
      <c r="Y3035" s="87"/>
      <c r="Z3035" s="87"/>
      <c r="AA3035" s="87"/>
      <c r="AB3035" s="87"/>
      <c r="AC3035" s="87"/>
      <c r="AD3035" s="87"/>
      <c r="AE3035" s="87"/>
      <c r="AF3035" s="87"/>
      <c r="AG3035" s="87"/>
      <c r="AH3035" s="87">
        <v>12</v>
      </c>
      <c r="AI3035" s="87"/>
      <c r="AJ3035" s="87"/>
      <c r="AK3035" s="87"/>
      <c r="AL3035" s="87"/>
      <c r="AM3035" s="87"/>
      <c r="AN3035" s="87"/>
      <c r="AO3035" s="87">
        <v>12</v>
      </c>
      <c r="AP3035" s="87"/>
      <c r="AQ3035" s="87"/>
      <c r="AR3035" s="87"/>
      <c r="AS3035" s="87"/>
      <c r="AT3035" s="87"/>
      <c r="AU3035" s="87"/>
      <c r="AV3035" s="87"/>
      <c r="AW3035" s="88" t="str">
        <f>HYPERLINK("http://www.openstreetmap.org/?mlat=32.4833&amp;mlon=45.825&amp;zoom=12#map=12/32.4833/45.825","Maplink1")</f>
        <v>Maplink1</v>
      </c>
      <c r="AX3035" s="88" t="str">
        <f>HYPERLINK("https://www.google.iq/maps/search/+32.4833,45.825/@32.4833,45.825,14z?hl=en","Maplink2")</f>
        <v>Maplink2</v>
      </c>
      <c r="AY3035" s="88" t="str">
        <f>HYPERLINK("http://www.bing.com/maps/?lvl=14&amp;sty=h&amp;cp=32.4833~45.825&amp;sp=point.32.4833_45.825","Maplink3")</f>
        <v>Maplink3</v>
      </c>
      <c r="AZ3035" s="76"/>
    </row>
    <row r="3036" spans="1:52" x14ac:dyDescent="0.25">
      <c r="A3036" s="86">
        <v>25108</v>
      </c>
      <c r="B3036" s="87" t="s">
        <v>29</v>
      </c>
      <c r="C3036" s="87" t="s">
        <v>5664</v>
      </c>
      <c r="D3036" s="87" t="s">
        <v>5699</v>
      </c>
      <c r="E3036" s="87" t="s">
        <v>5700</v>
      </c>
      <c r="F3036" s="87">
        <v>32.492859699599997</v>
      </c>
      <c r="G3036" s="87">
        <v>45.8155863283</v>
      </c>
      <c r="H3036" s="86">
        <v>11</v>
      </c>
      <c r="I3036" s="86">
        <v>66</v>
      </c>
      <c r="J3036" s="87"/>
      <c r="K3036" s="87"/>
      <c r="L3036" s="87"/>
      <c r="M3036" s="87"/>
      <c r="N3036" s="87"/>
      <c r="O3036" s="87">
        <v>6</v>
      </c>
      <c r="P3036" s="87"/>
      <c r="Q3036" s="87"/>
      <c r="R3036" s="87"/>
      <c r="S3036" s="87"/>
      <c r="T3036" s="87"/>
      <c r="U3036" s="87"/>
      <c r="V3036" s="87">
        <v>5</v>
      </c>
      <c r="W3036" s="87"/>
      <c r="X3036" s="87"/>
      <c r="Y3036" s="87"/>
      <c r="Z3036" s="87"/>
      <c r="AA3036" s="87"/>
      <c r="AB3036" s="87"/>
      <c r="AC3036" s="87"/>
      <c r="AD3036" s="87"/>
      <c r="AE3036" s="87"/>
      <c r="AF3036" s="87"/>
      <c r="AG3036" s="87"/>
      <c r="AH3036" s="87">
        <v>11</v>
      </c>
      <c r="AI3036" s="87"/>
      <c r="AJ3036" s="87"/>
      <c r="AK3036" s="87"/>
      <c r="AL3036" s="87"/>
      <c r="AM3036" s="87"/>
      <c r="AN3036" s="87"/>
      <c r="AO3036" s="87">
        <v>6</v>
      </c>
      <c r="AP3036" s="87">
        <v>5</v>
      </c>
      <c r="AQ3036" s="87"/>
      <c r="AR3036" s="87"/>
      <c r="AS3036" s="87"/>
      <c r="AT3036" s="87"/>
      <c r="AU3036" s="87"/>
      <c r="AV3036" s="87"/>
      <c r="AW3036" s="88" t="str">
        <f>HYPERLINK("http://www.openstreetmap.org/?mlat=32.4929&amp;mlon=45.8156&amp;zoom=12#map=12/32.4929/45.8156","Maplink1")</f>
        <v>Maplink1</v>
      </c>
      <c r="AX3036" s="88" t="str">
        <f>HYPERLINK("https://www.google.iq/maps/search/+32.4929,45.8156/@32.4929,45.8156,14z?hl=en","Maplink2")</f>
        <v>Maplink2</v>
      </c>
      <c r="AY3036" s="88" t="str">
        <f>HYPERLINK("http://www.bing.com/maps/?lvl=14&amp;sty=h&amp;cp=32.4929~45.8156&amp;sp=point.32.4929_45.8156","Maplink3")</f>
        <v>Maplink3</v>
      </c>
      <c r="AZ3036" s="76"/>
    </row>
    <row r="3037" spans="1:52" x14ac:dyDescent="0.25">
      <c r="A3037" s="86">
        <v>27275</v>
      </c>
      <c r="B3037" s="87" t="s">
        <v>29</v>
      </c>
      <c r="C3037" s="87" t="s">
        <v>5664</v>
      </c>
      <c r="D3037" s="87" t="s">
        <v>5701</v>
      </c>
      <c r="E3037" s="87" t="s">
        <v>5702</v>
      </c>
      <c r="F3037" s="87">
        <v>32.532478923500001</v>
      </c>
      <c r="G3037" s="87">
        <v>45.791221200000003</v>
      </c>
      <c r="H3037" s="86">
        <v>20</v>
      </c>
      <c r="I3037" s="86">
        <v>120</v>
      </c>
      <c r="J3037" s="87"/>
      <c r="K3037" s="87"/>
      <c r="L3037" s="87"/>
      <c r="M3037" s="87"/>
      <c r="N3037" s="87"/>
      <c r="O3037" s="87">
        <v>10</v>
      </c>
      <c r="P3037" s="87"/>
      <c r="Q3037" s="87"/>
      <c r="R3037" s="87"/>
      <c r="S3037" s="87"/>
      <c r="T3037" s="87"/>
      <c r="U3037" s="87"/>
      <c r="V3037" s="87">
        <v>10</v>
      </c>
      <c r="W3037" s="87"/>
      <c r="X3037" s="87"/>
      <c r="Y3037" s="87"/>
      <c r="Z3037" s="87"/>
      <c r="AA3037" s="87"/>
      <c r="AB3037" s="87"/>
      <c r="AC3037" s="87"/>
      <c r="AD3037" s="87"/>
      <c r="AE3037" s="87"/>
      <c r="AF3037" s="87"/>
      <c r="AG3037" s="87"/>
      <c r="AH3037" s="87">
        <v>20</v>
      </c>
      <c r="AI3037" s="87"/>
      <c r="AJ3037" s="87"/>
      <c r="AK3037" s="87"/>
      <c r="AL3037" s="87"/>
      <c r="AM3037" s="87"/>
      <c r="AN3037" s="87"/>
      <c r="AO3037" s="87">
        <v>20</v>
      </c>
      <c r="AP3037" s="87"/>
      <c r="AQ3037" s="87"/>
      <c r="AR3037" s="87"/>
      <c r="AS3037" s="87"/>
      <c r="AT3037" s="87"/>
      <c r="AU3037" s="87"/>
      <c r="AV3037" s="87"/>
      <c r="AW3037" s="88" t="str">
        <f>HYPERLINK("http://www.openstreetmap.org/?mlat=32.5325&amp;mlon=45.7912&amp;zoom=12#map=12/32.5325/45.7912","Maplink1")</f>
        <v>Maplink1</v>
      </c>
      <c r="AX3037" s="88" t="str">
        <f>HYPERLINK("https://www.google.iq/maps/search/+32.5325,45.7912/@32.5325,45.7912,14z?hl=en","Maplink2")</f>
        <v>Maplink2</v>
      </c>
      <c r="AY3037" s="88" t="str">
        <f>HYPERLINK("http://www.bing.com/maps/?lvl=14&amp;sty=h&amp;cp=32.5325~45.7912&amp;sp=point.32.5325_45.7912","Maplink3")</f>
        <v>Maplink3</v>
      </c>
      <c r="AZ3037" s="76"/>
    </row>
    <row r="3038" spans="1:52" x14ac:dyDescent="0.25">
      <c r="A3038" s="86">
        <v>25103</v>
      </c>
      <c r="B3038" s="87" t="s">
        <v>29</v>
      </c>
      <c r="C3038" s="87" t="s">
        <v>5664</v>
      </c>
      <c r="D3038" s="87" t="s">
        <v>5703</v>
      </c>
      <c r="E3038" s="87" t="s">
        <v>5704</v>
      </c>
      <c r="F3038" s="87">
        <v>32.478340627999998</v>
      </c>
      <c r="G3038" s="87">
        <v>45.812839300500002</v>
      </c>
      <c r="H3038" s="86">
        <v>25</v>
      </c>
      <c r="I3038" s="86">
        <v>150</v>
      </c>
      <c r="J3038" s="87"/>
      <c r="K3038" s="87"/>
      <c r="L3038" s="87"/>
      <c r="M3038" s="87"/>
      <c r="N3038" s="87"/>
      <c r="O3038" s="87"/>
      <c r="P3038" s="87"/>
      <c r="Q3038" s="87"/>
      <c r="R3038" s="87"/>
      <c r="S3038" s="87"/>
      <c r="T3038" s="87"/>
      <c r="U3038" s="87"/>
      <c r="V3038" s="87">
        <v>25</v>
      </c>
      <c r="W3038" s="87"/>
      <c r="X3038" s="87"/>
      <c r="Y3038" s="87"/>
      <c r="Z3038" s="87"/>
      <c r="AA3038" s="87"/>
      <c r="AB3038" s="87"/>
      <c r="AC3038" s="87"/>
      <c r="AD3038" s="87"/>
      <c r="AE3038" s="87"/>
      <c r="AF3038" s="87"/>
      <c r="AG3038" s="87"/>
      <c r="AH3038" s="87">
        <v>25</v>
      </c>
      <c r="AI3038" s="87"/>
      <c r="AJ3038" s="87"/>
      <c r="AK3038" s="87"/>
      <c r="AL3038" s="87"/>
      <c r="AM3038" s="87"/>
      <c r="AN3038" s="87"/>
      <c r="AO3038" s="87">
        <v>25</v>
      </c>
      <c r="AP3038" s="87"/>
      <c r="AQ3038" s="87"/>
      <c r="AR3038" s="87"/>
      <c r="AS3038" s="87"/>
      <c r="AT3038" s="87"/>
      <c r="AU3038" s="87"/>
      <c r="AV3038" s="87"/>
      <c r="AW3038" s="88" t="str">
        <f>HYPERLINK("http://www.openstreetmap.org/?mlat=32.4783&amp;mlon=45.8128&amp;zoom=12#map=12/32.4783/45.8128","Maplink1")</f>
        <v>Maplink1</v>
      </c>
      <c r="AX3038" s="88" t="str">
        <f>HYPERLINK("https://www.google.iq/maps/search/+32.4783,45.8128/@32.4783,45.8128,14z?hl=en","Maplink2")</f>
        <v>Maplink2</v>
      </c>
      <c r="AY3038" s="88" t="str">
        <f>HYPERLINK("http://www.bing.com/maps/?lvl=14&amp;sty=h&amp;cp=32.4783~45.8128&amp;sp=point.32.4783_45.8128","Maplink3")</f>
        <v>Maplink3</v>
      </c>
      <c r="AZ3038" s="76"/>
    </row>
    <row r="3039" spans="1:52" x14ac:dyDescent="0.25">
      <c r="A3039" s="86">
        <v>22112</v>
      </c>
      <c r="B3039" s="87" t="s">
        <v>29</v>
      </c>
      <c r="C3039" s="87" t="s">
        <v>5664</v>
      </c>
      <c r="D3039" s="87" t="s">
        <v>5705</v>
      </c>
      <c r="E3039" s="87" t="s">
        <v>5706</v>
      </c>
      <c r="F3039" s="87">
        <v>32.471803737000002</v>
      </c>
      <c r="G3039" s="87">
        <v>45.822961616599997</v>
      </c>
      <c r="H3039" s="86">
        <v>28</v>
      </c>
      <c r="I3039" s="86">
        <v>168</v>
      </c>
      <c r="J3039" s="87"/>
      <c r="K3039" s="87"/>
      <c r="L3039" s="87"/>
      <c r="M3039" s="87"/>
      <c r="N3039" s="87"/>
      <c r="O3039" s="87"/>
      <c r="P3039" s="87"/>
      <c r="Q3039" s="87"/>
      <c r="R3039" s="87"/>
      <c r="S3039" s="87"/>
      <c r="T3039" s="87"/>
      <c r="U3039" s="87"/>
      <c r="V3039" s="87">
        <v>28</v>
      </c>
      <c r="W3039" s="87"/>
      <c r="X3039" s="87"/>
      <c r="Y3039" s="87"/>
      <c r="Z3039" s="87"/>
      <c r="AA3039" s="87"/>
      <c r="AB3039" s="87"/>
      <c r="AC3039" s="87"/>
      <c r="AD3039" s="87"/>
      <c r="AE3039" s="87"/>
      <c r="AF3039" s="87"/>
      <c r="AG3039" s="87"/>
      <c r="AH3039" s="87">
        <v>28</v>
      </c>
      <c r="AI3039" s="87"/>
      <c r="AJ3039" s="87"/>
      <c r="AK3039" s="87"/>
      <c r="AL3039" s="87"/>
      <c r="AM3039" s="87"/>
      <c r="AN3039" s="87"/>
      <c r="AO3039" s="87">
        <v>28</v>
      </c>
      <c r="AP3039" s="87"/>
      <c r="AQ3039" s="87"/>
      <c r="AR3039" s="87"/>
      <c r="AS3039" s="87"/>
      <c r="AT3039" s="87"/>
      <c r="AU3039" s="87"/>
      <c r="AV3039" s="87"/>
      <c r="AW3039" s="88" t="str">
        <f>HYPERLINK("http://www.openstreetmap.org/?mlat=32.4718&amp;mlon=45.823&amp;zoom=12#map=12/32.4718/45.823","Maplink1")</f>
        <v>Maplink1</v>
      </c>
      <c r="AX3039" s="88" t="str">
        <f>HYPERLINK("https://www.google.iq/maps/search/+32.4718,45.823/@32.4718,45.823,14z?hl=en","Maplink2")</f>
        <v>Maplink2</v>
      </c>
      <c r="AY3039" s="88" t="str">
        <f>HYPERLINK("http://www.bing.com/maps/?lvl=14&amp;sty=h&amp;cp=32.4718~45.823&amp;sp=point.32.4718_45.823","Maplink3")</f>
        <v>Maplink3</v>
      </c>
      <c r="AZ3039" s="76"/>
    </row>
    <row r="3040" spans="1:52" x14ac:dyDescent="0.25">
      <c r="A3040" s="86">
        <v>22693</v>
      </c>
      <c r="B3040" s="87" t="s">
        <v>29</v>
      </c>
      <c r="C3040" s="87" t="s">
        <v>5664</v>
      </c>
      <c r="D3040" s="87" t="s">
        <v>5707</v>
      </c>
      <c r="E3040" s="87" t="s">
        <v>5708</v>
      </c>
      <c r="F3040" s="87">
        <v>32.480757838499997</v>
      </c>
      <c r="G3040" s="87">
        <v>45.814300291999999</v>
      </c>
      <c r="H3040" s="86">
        <v>25</v>
      </c>
      <c r="I3040" s="86">
        <v>150</v>
      </c>
      <c r="J3040" s="87"/>
      <c r="K3040" s="87"/>
      <c r="L3040" s="87"/>
      <c r="M3040" s="87"/>
      <c r="N3040" s="87"/>
      <c r="O3040" s="87"/>
      <c r="P3040" s="87"/>
      <c r="Q3040" s="87"/>
      <c r="R3040" s="87"/>
      <c r="S3040" s="87"/>
      <c r="T3040" s="87"/>
      <c r="U3040" s="87"/>
      <c r="V3040" s="87">
        <v>25</v>
      </c>
      <c r="W3040" s="87"/>
      <c r="X3040" s="87"/>
      <c r="Y3040" s="87"/>
      <c r="Z3040" s="87"/>
      <c r="AA3040" s="87"/>
      <c r="AB3040" s="87"/>
      <c r="AC3040" s="87"/>
      <c r="AD3040" s="87"/>
      <c r="AE3040" s="87"/>
      <c r="AF3040" s="87"/>
      <c r="AG3040" s="87">
        <v>2</v>
      </c>
      <c r="AH3040" s="87">
        <v>23</v>
      </c>
      <c r="AI3040" s="87"/>
      <c r="AJ3040" s="87"/>
      <c r="AK3040" s="87"/>
      <c r="AL3040" s="87"/>
      <c r="AM3040" s="87"/>
      <c r="AN3040" s="87"/>
      <c r="AO3040" s="87">
        <v>25</v>
      </c>
      <c r="AP3040" s="87"/>
      <c r="AQ3040" s="87"/>
      <c r="AR3040" s="87"/>
      <c r="AS3040" s="87"/>
      <c r="AT3040" s="87"/>
      <c r="AU3040" s="87"/>
      <c r="AV3040" s="87"/>
      <c r="AW3040" s="88" t="str">
        <f>HYPERLINK("http://www.openstreetmap.org/?mlat=32.4808&amp;mlon=45.8143&amp;zoom=12#map=12/32.4808/45.8143","Maplink1")</f>
        <v>Maplink1</v>
      </c>
      <c r="AX3040" s="88" t="str">
        <f>HYPERLINK("https://www.google.iq/maps/search/+32.4808,45.8143/@32.4808,45.8143,14z?hl=en","Maplink2")</f>
        <v>Maplink2</v>
      </c>
      <c r="AY3040" s="88" t="str">
        <f>HYPERLINK("http://www.bing.com/maps/?lvl=14&amp;sty=h&amp;cp=32.4808~45.8143&amp;sp=point.32.4808_45.8143","Maplink3")</f>
        <v>Maplink3</v>
      </c>
      <c r="AZ3040" s="76"/>
    </row>
    <row r="3041" spans="1:52" x14ac:dyDescent="0.25">
      <c r="A3041" s="86">
        <v>25106</v>
      </c>
      <c r="B3041" s="87" t="s">
        <v>29</v>
      </c>
      <c r="C3041" s="87" t="s">
        <v>5664</v>
      </c>
      <c r="D3041" s="87" t="s">
        <v>5709</v>
      </c>
      <c r="E3041" s="87" t="s">
        <v>5710</v>
      </c>
      <c r="F3041" s="87">
        <v>32.473759698099997</v>
      </c>
      <c r="G3041" s="87">
        <v>45.820868819600001</v>
      </c>
      <c r="H3041" s="86">
        <v>29</v>
      </c>
      <c r="I3041" s="86">
        <v>174</v>
      </c>
      <c r="J3041" s="87"/>
      <c r="K3041" s="87"/>
      <c r="L3041" s="87"/>
      <c r="M3041" s="87"/>
      <c r="N3041" s="87"/>
      <c r="O3041" s="87"/>
      <c r="P3041" s="87"/>
      <c r="Q3041" s="87"/>
      <c r="R3041" s="87">
        <v>14</v>
      </c>
      <c r="S3041" s="87"/>
      <c r="T3041" s="87"/>
      <c r="U3041" s="87"/>
      <c r="V3041" s="87">
        <v>15</v>
      </c>
      <c r="W3041" s="87"/>
      <c r="X3041" s="87"/>
      <c r="Y3041" s="87"/>
      <c r="Z3041" s="87"/>
      <c r="AA3041" s="87"/>
      <c r="AB3041" s="87"/>
      <c r="AC3041" s="87"/>
      <c r="AD3041" s="87"/>
      <c r="AE3041" s="87"/>
      <c r="AF3041" s="87"/>
      <c r="AG3041" s="87"/>
      <c r="AH3041" s="87">
        <v>29</v>
      </c>
      <c r="AI3041" s="87"/>
      <c r="AJ3041" s="87"/>
      <c r="AK3041" s="87"/>
      <c r="AL3041" s="87"/>
      <c r="AM3041" s="87"/>
      <c r="AN3041" s="87"/>
      <c r="AO3041" s="87">
        <v>15</v>
      </c>
      <c r="AP3041" s="87">
        <v>14</v>
      </c>
      <c r="AQ3041" s="87"/>
      <c r="AR3041" s="87"/>
      <c r="AS3041" s="87"/>
      <c r="AT3041" s="87"/>
      <c r="AU3041" s="87"/>
      <c r="AV3041" s="87"/>
      <c r="AW3041" s="88" t="str">
        <f>HYPERLINK("http://www.openstreetmap.org/?mlat=32.4738&amp;mlon=45.8209&amp;zoom=12#map=12/32.4738/45.8209","Maplink1")</f>
        <v>Maplink1</v>
      </c>
      <c r="AX3041" s="88" t="str">
        <f>HYPERLINK("https://www.google.iq/maps/search/+32.4738,45.8209/@32.4738,45.8209,14z?hl=en","Maplink2")</f>
        <v>Maplink2</v>
      </c>
      <c r="AY3041" s="88" t="str">
        <f>HYPERLINK("http://www.bing.com/maps/?lvl=14&amp;sty=h&amp;cp=32.4738~45.8209&amp;sp=point.32.4738_45.8209","Maplink3")</f>
        <v>Maplink3</v>
      </c>
      <c r="AZ3041" s="76"/>
    </row>
    <row r="3042" spans="1:52" x14ac:dyDescent="0.25">
      <c r="A3042" s="86">
        <v>24640</v>
      </c>
      <c r="B3042" s="87" t="s">
        <v>29</v>
      </c>
      <c r="C3042" s="87" t="s">
        <v>5664</v>
      </c>
      <c r="D3042" s="87" t="s">
        <v>5711</v>
      </c>
      <c r="E3042" s="87" t="s">
        <v>5712</v>
      </c>
      <c r="F3042" s="87">
        <v>32.4722262469</v>
      </c>
      <c r="G3042" s="87">
        <v>45.812211466100003</v>
      </c>
      <c r="H3042" s="86">
        <v>15</v>
      </c>
      <c r="I3042" s="86">
        <v>90</v>
      </c>
      <c r="J3042" s="87"/>
      <c r="K3042" s="87"/>
      <c r="L3042" s="87"/>
      <c r="M3042" s="87"/>
      <c r="N3042" s="87"/>
      <c r="O3042" s="87"/>
      <c r="P3042" s="87"/>
      <c r="Q3042" s="87"/>
      <c r="R3042" s="87"/>
      <c r="S3042" s="87"/>
      <c r="T3042" s="87"/>
      <c r="U3042" s="87"/>
      <c r="V3042" s="87">
        <v>15</v>
      </c>
      <c r="W3042" s="87"/>
      <c r="X3042" s="87"/>
      <c r="Y3042" s="87"/>
      <c r="Z3042" s="87"/>
      <c r="AA3042" s="87"/>
      <c r="AB3042" s="87"/>
      <c r="AC3042" s="87"/>
      <c r="AD3042" s="87"/>
      <c r="AE3042" s="87"/>
      <c r="AF3042" s="87"/>
      <c r="AG3042" s="87"/>
      <c r="AH3042" s="87">
        <v>15</v>
      </c>
      <c r="AI3042" s="87"/>
      <c r="AJ3042" s="87"/>
      <c r="AK3042" s="87"/>
      <c r="AL3042" s="87"/>
      <c r="AM3042" s="87"/>
      <c r="AN3042" s="87"/>
      <c r="AO3042" s="87">
        <v>15</v>
      </c>
      <c r="AP3042" s="87"/>
      <c r="AQ3042" s="87"/>
      <c r="AR3042" s="87"/>
      <c r="AS3042" s="87"/>
      <c r="AT3042" s="87"/>
      <c r="AU3042" s="87"/>
      <c r="AV3042" s="87"/>
      <c r="AW3042" s="88" t="str">
        <f>HYPERLINK("http://www.openstreetmap.org/?mlat=32.4722&amp;mlon=45.8122&amp;zoom=12#map=12/32.4722/45.8122","Maplink1")</f>
        <v>Maplink1</v>
      </c>
      <c r="AX3042" s="88" t="str">
        <f>HYPERLINK("https://www.google.iq/maps/search/+32.4722,45.8122/@32.4722,45.8122,14z?hl=en","Maplink2")</f>
        <v>Maplink2</v>
      </c>
      <c r="AY3042" s="88" t="str">
        <f>HYPERLINK("http://www.bing.com/maps/?lvl=14&amp;sty=h&amp;cp=32.4722~45.8122&amp;sp=point.32.4722_45.8122","Maplink3")</f>
        <v>Maplink3</v>
      </c>
      <c r="AZ3042" s="76"/>
    </row>
    <row r="3043" spans="1:52" x14ac:dyDescent="0.25">
      <c r="A3043" s="86">
        <v>24784</v>
      </c>
      <c r="B3043" s="87" t="s">
        <v>29</v>
      </c>
      <c r="C3043" s="87" t="s">
        <v>5664</v>
      </c>
      <c r="D3043" s="87" t="s">
        <v>5713</v>
      </c>
      <c r="E3043" s="87" t="s">
        <v>5714</v>
      </c>
      <c r="F3043" s="87">
        <v>32.5805673196</v>
      </c>
      <c r="G3043" s="87">
        <v>45.613331221400003</v>
      </c>
      <c r="H3043" s="86">
        <v>7</v>
      </c>
      <c r="I3043" s="86">
        <v>42</v>
      </c>
      <c r="J3043" s="87"/>
      <c r="K3043" s="87"/>
      <c r="L3043" s="87"/>
      <c r="M3043" s="87"/>
      <c r="N3043" s="87"/>
      <c r="O3043" s="87"/>
      <c r="P3043" s="87"/>
      <c r="Q3043" s="87"/>
      <c r="R3043" s="87"/>
      <c r="S3043" s="87"/>
      <c r="T3043" s="87"/>
      <c r="U3043" s="87"/>
      <c r="V3043" s="87">
        <v>7</v>
      </c>
      <c r="W3043" s="87"/>
      <c r="X3043" s="87"/>
      <c r="Y3043" s="87"/>
      <c r="Z3043" s="87"/>
      <c r="AA3043" s="87"/>
      <c r="AB3043" s="87"/>
      <c r="AC3043" s="87">
        <v>5</v>
      </c>
      <c r="AD3043" s="87"/>
      <c r="AE3043" s="87"/>
      <c r="AF3043" s="87"/>
      <c r="AG3043" s="87">
        <v>2</v>
      </c>
      <c r="AH3043" s="87"/>
      <c r="AI3043" s="87"/>
      <c r="AJ3043" s="87"/>
      <c r="AK3043" s="87"/>
      <c r="AL3043" s="87"/>
      <c r="AM3043" s="87"/>
      <c r="AN3043" s="87"/>
      <c r="AO3043" s="87">
        <v>7</v>
      </c>
      <c r="AP3043" s="87"/>
      <c r="AQ3043" s="87"/>
      <c r="AR3043" s="87"/>
      <c r="AS3043" s="87"/>
      <c r="AT3043" s="87"/>
      <c r="AU3043" s="87"/>
      <c r="AV3043" s="87"/>
      <c r="AW3043" s="88" t="str">
        <f>HYPERLINK("http://www.openstreetmap.org/?mlat=32.5806&amp;mlon=45.6133&amp;zoom=12#map=12/32.5806/45.6133","Maplink1")</f>
        <v>Maplink1</v>
      </c>
      <c r="AX3043" s="88" t="str">
        <f>HYPERLINK("https://www.google.iq/maps/search/+32.5806,45.6133/@32.5806,45.6133,14z?hl=en","Maplink2")</f>
        <v>Maplink2</v>
      </c>
      <c r="AY3043" s="88" t="str">
        <f>HYPERLINK("http://www.bing.com/maps/?lvl=14&amp;sty=h&amp;cp=32.5806~45.6133&amp;sp=point.32.5806_45.6133","Maplink3")</f>
        <v>Maplink3</v>
      </c>
      <c r="AZ3043" s="76"/>
    </row>
    <row r="3044" spans="1:52" x14ac:dyDescent="0.25">
      <c r="A3044" s="86">
        <v>25104</v>
      </c>
      <c r="B3044" s="87" t="s">
        <v>29</v>
      </c>
      <c r="C3044" s="87" t="s">
        <v>5664</v>
      </c>
      <c r="D3044" s="87" t="s">
        <v>5715</v>
      </c>
      <c r="E3044" s="87" t="s">
        <v>5716</v>
      </c>
      <c r="F3044" s="87">
        <v>32.542460934600001</v>
      </c>
      <c r="G3044" s="87">
        <v>45.823023714100003</v>
      </c>
      <c r="H3044" s="86">
        <v>10</v>
      </c>
      <c r="I3044" s="86">
        <v>60</v>
      </c>
      <c r="J3044" s="87"/>
      <c r="K3044" s="87"/>
      <c r="L3044" s="87"/>
      <c r="M3044" s="87"/>
      <c r="N3044" s="87"/>
      <c r="O3044" s="87">
        <v>10</v>
      </c>
      <c r="P3044" s="87"/>
      <c r="Q3044" s="87"/>
      <c r="R3044" s="87"/>
      <c r="S3044" s="87"/>
      <c r="T3044" s="87"/>
      <c r="U3044" s="87"/>
      <c r="V3044" s="87"/>
      <c r="W3044" s="87"/>
      <c r="X3044" s="87"/>
      <c r="Y3044" s="87"/>
      <c r="Z3044" s="87"/>
      <c r="AA3044" s="87"/>
      <c r="AB3044" s="87"/>
      <c r="AC3044" s="87"/>
      <c r="AD3044" s="87"/>
      <c r="AE3044" s="87"/>
      <c r="AF3044" s="87"/>
      <c r="AG3044" s="87"/>
      <c r="AH3044" s="87">
        <v>10</v>
      </c>
      <c r="AI3044" s="87"/>
      <c r="AJ3044" s="87"/>
      <c r="AK3044" s="87"/>
      <c r="AL3044" s="87"/>
      <c r="AM3044" s="87"/>
      <c r="AN3044" s="87"/>
      <c r="AO3044" s="87"/>
      <c r="AP3044" s="87">
        <v>10</v>
      </c>
      <c r="AQ3044" s="87"/>
      <c r="AR3044" s="87"/>
      <c r="AS3044" s="87"/>
      <c r="AT3044" s="87"/>
      <c r="AU3044" s="87"/>
      <c r="AV3044" s="87"/>
      <c r="AW3044" s="88" t="str">
        <f>HYPERLINK("http://www.openstreetmap.org/?mlat=32.5425&amp;mlon=45.823&amp;zoom=12#map=12/32.5425/45.823","Maplink1")</f>
        <v>Maplink1</v>
      </c>
      <c r="AX3044" s="88" t="str">
        <f>HYPERLINK("https://www.google.iq/maps/search/+32.5425,45.823/@32.5425,45.823,14z?hl=en","Maplink2")</f>
        <v>Maplink2</v>
      </c>
      <c r="AY3044" s="88" t="str">
        <f>HYPERLINK("http://www.bing.com/maps/?lvl=14&amp;sty=h&amp;cp=32.5425~45.823&amp;sp=point.32.5425_45.823","Maplink3")</f>
        <v>Maplink3</v>
      </c>
      <c r="AZ3044" s="76"/>
    </row>
    <row r="3045" spans="1:52" x14ac:dyDescent="0.25">
      <c r="A3045" s="86">
        <v>25105</v>
      </c>
      <c r="B3045" s="87" t="s">
        <v>29</v>
      </c>
      <c r="C3045" s="87" t="s">
        <v>5664</v>
      </c>
      <c r="D3045" s="87" t="s">
        <v>5717</v>
      </c>
      <c r="E3045" s="87" t="s">
        <v>5718</v>
      </c>
      <c r="F3045" s="87">
        <v>32.546229426499998</v>
      </c>
      <c r="G3045" s="87">
        <v>45.831263121900001</v>
      </c>
      <c r="H3045" s="86">
        <v>8</v>
      </c>
      <c r="I3045" s="86">
        <v>48</v>
      </c>
      <c r="J3045" s="87">
        <v>8</v>
      </c>
      <c r="K3045" s="87"/>
      <c r="L3045" s="87"/>
      <c r="M3045" s="87"/>
      <c r="N3045" s="87"/>
      <c r="O3045" s="87"/>
      <c r="P3045" s="87"/>
      <c r="Q3045" s="87"/>
      <c r="R3045" s="87"/>
      <c r="S3045" s="87"/>
      <c r="T3045" s="87"/>
      <c r="U3045" s="87"/>
      <c r="V3045" s="87"/>
      <c r="W3045" s="87"/>
      <c r="X3045" s="87"/>
      <c r="Y3045" s="87"/>
      <c r="Z3045" s="87"/>
      <c r="AA3045" s="87"/>
      <c r="AB3045" s="87"/>
      <c r="AC3045" s="87"/>
      <c r="AD3045" s="87"/>
      <c r="AE3045" s="87"/>
      <c r="AF3045" s="87"/>
      <c r="AG3045" s="87"/>
      <c r="AH3045" s="87">
        <v>8</v>
      </c>
      <c r="AI3045" s="87"/>
      <c r="AJ3045" s="87"/>
      <c r="AK3045" s="87"/>
      <c r="AL3045" s="87"/>
      <c r="AM3045" s="87"/>
      <c r="AN3045" s="87"/>
      <c r="AO3045" s="87"/>
      <c r="AP3045" s="87"/>
      <c r="AQ3045" s="87"/>
      <c r="AR3045" s="87">
        <v>8</v>
      </c>
      <c r="AS3045" s="87"/>
      <c r="AT3045" s="87"/>
      <c r="AU3045" s="87"/>
      <c r="AV3045" s="87"/>
      <c r="AW3045" s="88" t="str">
        <f>HYPERLINK("http://www.openstreetmap.org/?mlat=32.5462&amp;mlon=45.8313&amp;zoom=12#map=12/32.5462/45.8313","Maplink1")</f>
        <v>Maplink1</v>
      </c>
      <c r="AX3045" s="88" t="str">
        <f>HYPERLINK("https://www.google.iq/maps/search/+32.5462,45.8313/@32.5462,45.8313,14z?hl=en","Maplink2")</f>
        <v>Maplink2</v>
      </c>
      <c r="AY3045" s="88" t="str">
        <f>HYPERLINK("http://www.bing.com/maps/?lvl=14&amp;sty=h&amp;cp=32.5462~45.8313&amp;sp=point.32.5462_45.8313","Maplink3")</f>
        <v>Maplink3</v>
      </c>
      <c r="AZ3045" s="76"/>
    </row>
    <row r="3046" spans="1:52" x14ac:dyDescent="0.25">
      <c r="A3046" s="86">
        <v>27276</v>
      </c>
      <c r="B3046" s="87" t="s">
        <v>29</v>
      </c>
      <c r="C3046" s="87" t="s">
        <v>5664</v>
      </c>
      <c r="D3046" s="87" t="s">
        <v>5719</v>
      </c>
      <c r="E3046" s="87" t="s">
        <v>5720</v>
      </c>
      <c r="F3046" s="87">
        <v>32.517742971799997</v>
      </c>
      <c r="G3046" s="87">
        <v>45.801785063600001</v>
      </c>
      <c r="H3046" s="86">
        <v>30</v>
      </c>
      <c r="I3046" s="86">
        <v>180</v>
      </c>
      <c r="J3046" s="87"/>
      <c r="K3046" s="87"/>
      <c r="L3046" s="87"/>
      <c r="M3046" s="87"/>
      <c r="N3046" s="87"/>
      <c r="O3046" s="87">
        <v>5</v>
      </c>
      <c r="P3046" s="87"/>
      <c r="Q3046" s="87"/>
      <c r="R3046" s="87"/>
      <c r="S3046" s="87"/>
      <c r="T3046" s="87"/>
      <c r="U3046" s="87"/>
      <c r="V3046" s="87">
        <v>25</v>
      </c>
      <c r="W3046" s="87"/>
      <c r="X3046" s="87"/>
      <c r="Y3046" s="87"/>
      <c r="Z3046" s="87"/>
      <c r="AA3046" s="87"/>
      <c r="AB3046" s="87"/>
      <c r="AC3046" s="87"/>
      <c r="AD3046" s="87"/>
      <c r="AE3046" s="87"/>
      <c r="AF3046" s="87"/>
      <c r="AG3046" s="87"/>
      <c r="AH3046" s="87">
        <v>30</v>
      </c>
      <c r="AI3046" s="87"/>
      <c r="AJ3046" s="87"/>
      <c r="AK3046" s="87"/>
      <c r="AL3046" s="87"/>
      <c r="AM3046" s="87"/>
      <c r="AN3046" s="87"/>
      <c r="AO3046" s="87">
        <v>30</v>
      </c>
      <c r="AP3046" s="87"/>
      <c r="AQ3046" s="87"/>
      <c r="AR3046" s="87"/>
      <c r="AS3046" s="87"/>
      <c r="AT3046" s="87"/>
      <c r="AU3046" s="87"/>
      <c r="AV3046" s="87"/>
      <c r="AW3046" s="88" t="str">
        <f>HYPERLINK("http://www.openstreetmap.org/?mlat=32.5177&amp;mlon=45.8018&amp;zoom=12#map=12/32.5177/45.8018","Maplink1")</f>
        <v>Maplink1</v>
      </c>
      <c r="AX3046" s="88" t="str">
        <f>HYPERLINK("https://www.google.iq/maps/search/+32.5177,45.8018/@32.5177,45.8018,14z?hl=en","Maplink2")</f>
        <v>Maplink2</v>
      </c>
      <c r="AY3046" s="88" t="str">
        <f>HYPERLINK("http://www.bing.com/maps/?lvl=14&amp;sty=h&amp;cp=32.5177~45.8018&amp;sp=point.32.5177_45.8018","Maplink3")</f>
        <v>Maplink3</v>
      </c>
      <c r="AZ3046" s="76"/>
    </row>
    <row r="3047" spans="1:52" x14ac:dyDescent="0.25">
      <c r="A3047" s="86">
        <v>24785</v>
      </c>
      <c r="B3047" s="87" t="s">
        <v>29</v>
      </c>
      <c r="C3047" s="87" t="s">
        <v>5664</v>
      </c>
      <c r="D3047" s="87" t="s">
        <v>5721</v>
      </c>
      <c r="E3047" s="87" t="s">
        <v>5722</v>
      </c>
      <c r="F3047" s="87">
        <v>32.4828975876</v>
      </c>
      <c r="G3047" s="87">
        <v>45.9077467372</v>
      </c>
      <c r="H3047" s="86">
        <v>10</v>
      </c>
      <c r="I3047" s="86">
        <v>60</v>
      </c>
      <c r="J3047" s="87"/>
      <c r="K3047" s="87"/>
      <c r="L3047" s="87"/>
      <c r="M3047" s="87"/>
      <c r="N3047" s="87"/>
      <c r="O3047" s="87"/>
      <c r="P3047" s="87"/>
      <c r="Q3047" s="87"/>
      <c r="R3047" s="87"/>
      <c r="S3047" s="87"/>
      <c r="T3047" s="87"/>
      <c r="U3047" s="87"/>
      <c r="V3047" s="87">
        <v>10</v>
      </c>
      <c r="W3047" s="87"/>
      <c r="X3047" s="87"/>
      <c r="Y3047" s="87"/>
      <c r="Z3047" s="87"/>
      <c r="AA3047" s="87"/>
      <c r="AB3047" s="87"/>
      <c r="AC3047" s="87"/>
      <c r="AD3047" s="87"/>
      <c r="AE3047" s="87"/>
      <c r="AF3047" s="87"/>
      <c r="AG3047" s="87"/>
      <c r="AH3047" s="87">
        <v>10</v>
      </c>
      <c r="AI3047" s="87"/>
      <c r="AJ3047" s="87"/>
      <c r="AK3047" s="87"/>
      <c r="AL3047" s="87"/>
      <c r="AM3047" s="87"/>
      <c r="AN3047" s="87"/>
      <c r="AO3047" s="87">
        <v>10</v>
      </c>
      <c r="AP3047" s="87"/>
      <c r="AQ3047" s="87"/>
      <c r="AR3047" s="87"/>
      <c r="AS3047" s="87"/>
      <c r="AT3047" s="87"/>
      <c r="AU3047" s="87"/>
      <c r="AV3047" s="87"/>
      <c r="AW3047" s="88" t="str">
        <f>HYPERLINK("http://www.openstreetmap.org/?mlat=32.4829&amp;mlon=45.9077&amp;zoom=12#map=12/32.4829/45.9077","Maplink1")</f>
        <v>Maplink1</v>
      </c>
      <c r="AX3047" s="88" t="str">
        <f>HYPERLINK("https://www.google.iq/maps/search/+32.4829,45.9077/@32.4829,45.9077,14z?hl=en","Maplink2")</f>
        <v>Maplink2</v>
      </c>
      <c r="AY3047" s="88" t="str">
        <f>HYPERLINK("http://www.bing.com/maps/?lvl=14&amp;sty=h&amp;cp=32.4829~45.9077&amp;sp=point.32.4829_45.9077","Maplink3")</f>
        <v>Maplink3</v>
      </c>
      <c r="AZ3047" s="76"/>
    </row>
    <row r="3048" spans="1:52" x14ac:dyDescent="0.25">
      <c r="A3048" s="86">
        <v>24882</v>
      </c>
      <c r="B3048" s="87" t="s">
        <v>29</v>
      </c>
      <c r="C3048" s="87" t="s">
        <v>5664</v>
      </c>
      <c r="D3048" s="87" t="s">
        <v>5723</v>
      </c>
      <c r="E3048" s="87" t="s">
        <v>5724</v>
      </c>
      <c r="F3048" s="87">
        <v>32.462631309999999</v>
      </c>
      <c r="G3048" s="87">
        <v>46.079200332299997</v>
      </c>
      <c r="H3048" s="86">
        <v>4</v>
      </c>
      <c r="I3048" s="86">
        <v>24</v>
      </c>
      <c r="J3048" s="87"/>
      <c r="K3048" s="87"/>
      <c r="L3048" s="87"/>
      <c r="M3048" s="87"/>
      <c r="N3048" s="87"/>
      <c r="O3048" s="87"/>
      <c r="P3048" s="87"/>
      <c r="Q3048" s="87"/>
      <c r="R3048" s="87"/>
      <c r="S3048" s="87"/>
      <c r="T3048" s="87"/>
      <c r="U3048" s="87"/>
      <c r="V3048" s="87">
        <v>4</v>
      </c>
      <c r="W3048" s="87"/>
      <c r="X3048" s="87"/>
      <c r="Y3048" s="87"/>
      <c r="Z3048" s="87"/>
      <c r="AA3048" s="87"/>
      <c r="AB3048" s="87"/>
      <c r="AC3048" s="87">
        <v>4</v>
      </c>
      <c r="AD3048" s="87"/>
      <c r="AE3048" s="87"/>
      <c r="AF3048" s="87"/>
      <c r="AG3048" s="87"/>
      <c r="AH3048" s="87"/>
      <c r="AI3048" s="87"/>
      <c r="AJ3048" s="87"/>
      <c r="AK3048" s="87"/>
      <c r="AL3048" s="87"/>
      <c r="AM3048" s="87"/>
      <c r="AN3048" s="87"/>
      <c r="AO3048" s="87">
        <v>4</v>
      </c>
      <c r="AP3048" s="87"/>
      <c r="AQ3048" s="87"/>
      <c r="AR3048" s="87"/>
      <c r="AS3048" s="87"/>
      <c r="AT3048" s="87"/>
      <c r="AU3048" s="87"/>
      <c r="AV3048" s="87"/>
      <c r="AW3048" s="88" t="str">
        <f>HYPERLINK("http://www.openstreetmap.org/?mlat=32.4626&amp;mlon=46.0792&amp;zoom=12#map=12/32.4626/46.0792","Maplink1")</f>
        <v>Maplink1</v>
      </c>
      <c r="AX3048" s="88" t="str">
        <f>HYPERLINK("https://www.google.iq/maps/search/+32.4626,46.0792/@32.4626,46.0792,14z?hl=en","Maplink2")</f>
        <v>Maplink2</v>
      </c>
      <c r="AY3048" s="88" t="str">
        <f>HYPERLINK("http://www.bing.com/maps/?lvl=14&amp;sty=h&amp;cp=32.4626~46.0792&amp;sp=point.32.4626_46.0792","Maplink3")</f>
        <v>Maplink3</v>
      </c>
      <c r="AZ3048" s="76"/>
    </row>
    <row r="3049" spans="1:52" x14ac:dyDescent="0.25">
      <c r="A3049" s="86">
        <v>21868</v>
      </c>
      <c r="B3049" s="87" t="s">
        <v>29</v>
      </c>
      <c r="C3049" s="87" t="s">
        <v>5664</v>
      </c>
      <c r="D3049" s="87" t="s">
        <v>5725</v>
      </c>
      <c r="E3049" s="87" t="s">
        <v>5726</v>
      </c>
      <c r="F3049" s="87">
        <v>32.523515898799999</v>
      </c>
      <c r="G3049" s="87">
        <v>45.847511203800003</v>
      </c>
      <c r="H3049" s="86">
        <v>13</v>
      </c>
      <c r="I3049" s="86">
        <v>78</v>
      </c>
      <c r="J3049" s="87"/>
      <c r="K3049" s="87"/>
      <c r="L3049" s="87"/>
      <c r="M3049" s="87"/>
      <c r="N3049" s="87"/>
      <c r="O3049" s="87"/>
      <c r="P3049" s="87"/>
      <c r="Q3049" s="87"/>
      <c r="R3049" s="87"/>
      <c r="S3049" s="87"/>
      <c r="T3049" s="87"/>
      <c r="U3049" s="87"/>
      <c r="V3049" s="87">
        <v>13</v>
      </c>
      <c r="W3049" s="87"/>
      <c r="X3049" s="87"/>
      <c r="Y3049" s="87"/>
      <c r="Z3049" s="87"/>
      <c r="AA3049" s="87"/>
      <c r="AB3049" s="87"/>
      <c r="AC3049" s="87"/>
      <c r="AD3049" s="87"/>
      <c r="AE3049" s="87"/>
      <c r="AF3049" s="87"/>
      <c r="AG3049" s="87"/>
      <c r="AH3049" s="87">
        <v>13</v>
      </c>
      <c r="AI3049" s="87"/>
      <c r="AJ3049" s="87"/>
      <c r="AK3049" s="87"/>
      <c r="AL3049" s="87"/>
      <c r="AM3049" s="87"/>
      <c r="AN3049" s="87"/>
      <c r="AO3049" s="87"/>
      <c r="AP3049" s="87">
        <v>13</v>
      </c>
      <c r="AQ3049" s="87"/>
      <c r="AR3049" s="87"/>
      <c r="AS3049" s="87"/>
      <c r="AT3049" s="87"/>
      <c r="AU3049" s="87"/>
      <c r="AV3049" s="87"/>
      <c r="AW3049" s="88" t="str">
        <f>HYPERLINK("http://www.openstreetmap.org/?mlat=32.5235&amp;mlon=45.8475&amp;zoom=12#map=12/32.5235/45.8475","Maplink1")</f>
        <v>Maplink1</v>
      </c>
      <c r="AX3049" s="88" t="str">
        <f>HYPERLINK("https://www.google.iq/maps/search/+32.5235,45.8475/@32.5235,45.8475,14z?hl=en","Maplink2")</f>
        <v>Maplink2</v>
      </c>
      <c r="AY3049" s="88" t="str">
        <f>HYPERLINK("http://www.bing.com/maps/?lvl=14&amp;sty=h&amp;cp=32.5235~45.8475&amp;sp=point.32.5235_45.8475","Maplink3")</f>
        <v>Maplink3</v>
      </c>
      <c r="AZ3049" s="76"/>
    </row>
    <row r="3050" spans="1:52" x14ac:dyDescent="0.25">
      <c r="A3050" s="86">
        <v>25322</v>
      </c>
      <c r="B3050" s="87" t="s">
        <v>29</v>
      </c>
      <c r="C3050" s="87" t="s">
        <v>5664</v>
      </c>
      <c r="D3050" s="87" t="s">
        <v>5727</v>
      </c>
      <c r="E3050" s="87" t="s">
        <v>5728</v>
      </c>
      <c r="F3050" s="87">
        <v>32.5131732965</v>
      </c>
      <c r="G3050" s="87">
        <v>45.840198991400001</v>
      </c>
      <c r="H3050" s="86">
        <v>10</v>
      </c>
      <c r="I3050" s="86">
        <v>60</v>
      </c>
      <c r="J3050" s="87"/>
      <c r="K3050" s="87"/>
      <c r="L3050" s="87"/>
      <c r="M3050" s="87"/>
      <c r="N3050" s="87"/>
      <c r="O3050" s="87"/>
      <c r="P3050" s="87"/>
      <c r="Q3050" s="87"/>
      <c r="R3050" s="87"/>
      <c r="S3050" s="87"/>
      <c r="T3050" s="87"/>
      <c r="U3050" s="87"/>
      <c r="V3050" s="87">
        <v>10</v>
      </c>
      <c r="W3050" s="87"/>
      <c r="X3050" s="87"/>
      <c r="Y3050" s="87"/>
      <c r="Z3050" s="87"/>
      <c r="AA3050" s="87"/>
      <c r="AB3050" s="87"/>
      <c r="AC3050" s="87"/>
      <c r="AD3050" s="87"/>
      <c r="AE3050" s="87"/>
      <c r="AF3050" s="87"/>
      <c r="AG3050" s="87"/>
      <c r="AH3050" s="87">
        <v>10</v>
      </c>
      <c r="AI3050" s="87"/>
      <c r="AJ3050" s="87"/>
      <c r="AK3050" s="87"/>
      <c r="AL3050" s="87"/>
      <c r="AM3050" s="87"/>
      <c r="AN3050" s="87"/>
      <c r="AO3050" s="87">
        <v>10</v>
      </c>
      <c r="AP3050" s="87"/>
      <c r="AQ3050" s="87"/>
      <c r="AR3050" s="87"/>
      <c r="AS3050" s="87"/>
      <c r="AT3050" s="87"/>
      <c r="AU3050" s="87"/>
      <c r="AV3050" s="87"/>
      <c r="AW3050" s="88" t="str">
        <f>HYPERLINK("http://www.openstreetmap.org/?mlat=32.5132&amp;mlon=45.8402&amp;zoom=12#map=12/32.5132/45.8402","Maplink1")</f>
        <v>Maplink1</v>
      </c>
      <c r="AX3050" s="88" t="str">
        <f>HYPERLINK("https://www.google.iq/maps/search/+32.5132,45.8402/@32.5132,45.8402,14z?hl=en","Maplink2")</f>
        <v>Maplink2</v>
      </c>
      <c r="AY3050" s="88" t="str">
        <f>HYPERLINK("http://www.bing.com/maps/?lvl=14&amp;sty=h&amp;cp=32.5132~45.8402&amp;sp=point.32.5132_45.8402","Maplink3")</f>
        <v>Maplink3</v>
      </c>
      <c r="AZ3050" s="76"/>
    </row>
    <row r="3051" spans="1:52" x14ac:dyDescent="0.25">
      <c r="A3051" s="86">
        <v>19555</v>
      </c>
      <c r="B3051" s="87" t="s">
        <v>29</v>
      </c>
      <c r="C3051" s="87" t="s">
        <v>5664</v>
      </c>
      <c r="D3051" s="87" t="s">
        <v>5729</v>
      </c>
      <c r="E3051" s="87" t="s">
        <v>5730</v>
      </c>
      <c r="F3051" s="87">
        <v>32.531612532799997</v>
      </c>
      <c r="G3051" s="87">
        <v>45.821034634</v>
      </c>
      <c r="H3051" s="86">
        <v>20</v>
      </c>
      <c r="I3051" s="86">
        <v>120</v>
      </c>
      <c r="J3051" s="87"/>
      <c r="K3051" s="87"/>
      <c r="L3051" s="87"/>
      <c r="M3051" s="87"/>
      <c r="N3051" s="87"/>
      <c r="O3051" s="87"/>
      <c r="P3051" s="87"/>
      <c r="Q3051" s="87"/>
      <c r="R3051" s="87">
        <v>10</v>
      </c>
      <c r="S3051" s="87"/>
      <c r="T3051" s="87"/>
      <c r="U3051" s="87"/>
      <c r="V3051" s="87">
        <v>10</v>
      </c>
      <c r="W3051" s="87"/>
      <c r="X3051" s="87"/>
      <c r="Y3051" s="87"/>
      <c r="Z3051" s="87"/>
      <c r="AA3051" s="87"/>
      <c r="AB3051" s="87"/>
      <c r="AC3051" s="87"/>
      <c r="AD3051" s="87"/>
      <c r="AE3051" s="87"/>
      <c r="AF3051" s="87"/>
      <c r="AG3051" s="87"/>
      <c r="AH3051" s="87">
        <v>20</v>
      </c>
      <c r="AI3051" s="87"/>
      <c r="AJ3051" s="87"/>
      <c r="AK3051" s="87"/>
      <c r="AL3051" s="87"/>
      <c r="AM3051" s="87"/>
      <c r="AN3051" s="87"/>
      <c r="AO3051" s="87">
        <v>10</v>
      </c>
      <c r="AP3051" s="87">
        <v>10</v>
      </c>
      <c r="AQ3051" s="87"/>
      <c r="AR3051" s="87"/>
      <c r="AS3051" s="87"/>
      <c r="AT3051" s="87"/>
      <c r="AU3051" s="87"/>
      <c r="AV3051" s="87"/>
      <c r="AW3051" s="88" t="str">
        <f>HYPERLINK("http://www.openstreetmap.org/?mlat=32.5316&amp;mlon=45.821&amp;zoom=12#map=12/32.5316/45.821","Maplink1")</f>
        <v>Maplink1</v>
      </c>
      <c r="AX3051" s="88" t="str">
        <f>HYPERLINK("https://www.google.iq/maps/search/+32.5316,45.821/@32.5316,45.821,14z?hl=en","Maplink2")</f>
        <v>Maplink2</v>
      </c>
      <c r="AY3051" s="88" t="str">
        <f>HYPERLINK("http://www.bing.com/maps/?lvl=14&amp;sty=h&amp;cp=32.5316~45.821&amp;sp=point.32.5316_45.821","Maplink3")</f>
        <v>Maplink3</v>
      </c>
      <c r="AZ3051" s="76"/>
    </row>
    <row r="3052" spans="1:52" x14ac:dyDescent="0.25">
      <c r="A3052" s="86">
        <v>24758</v>
      </c>
      <c r="B3052" s="87" t="s">
        <v>29</v>
      </c>
      <c r="C3052" s="87" t="s">
        <v>5664</v>
      </c>
      <c r="D3052" s="87" t="s">
        <v>5731</v>
      </c>
      <c r="E3052" s="87" t="s">
        <v>5732</v>
      </c>
      <c r="F3052" s="87">
        <v>32.532732896100001</v>
      </c>
      <c r="G3052" s="87">
        <v>45.831663501400001</v>
      </c>
      <c r="H3052" s="86">
        <v>30</v>
      </c>
      <c r="I3052" s="86">
        <v>180</v>
      </c>
      <c r="J3052" s="87"/>
      <c r="K3052" s="87"/>
      <c r="L3052" s="87"/>
      <c r="M3052" s="87"/>
      <c r="N3052" s="87"/>
      <c r="O3052" s="87">
        <v>10</v>
      </c>
      <c r="P3052" s="87"/>
      <c r="Q3052" s="87"/>
      <c r="R3052" s="87"/>
      <c r="S3052" s="87"/>
      <c r="T3052" s="87"/>
      <c r="U3052" s="87"/>
      <c r="V3052" s="87">
        <v>20</v>
      </c>
      <c r="W3052" s="87"/>
      <c r="X3052" s="87"/>
      <c r="Y3052" s="87"/>
      <c r="Z3052" s="87"/>
      <c r="AA3052" s="87"/>
      <c r="AB3052" s="87"/>
      <c r="AC3052" s="87"/>
      <c r="AD3052" s="87"/>
      <c r="AE3052" s="87"/>
      <c r="AF3052" s="87"/>
      <c r="AG3052" s="87"/>
      <c r="AH3052" s="87">
        <v>30</v>
      </c>
      <c r="AI3052" s="87"/>
      <c r="AJ3052" s="87"/>
      <c r="AK3052" s="87"/>
      <c r="AL3052" s="87"/>
      <c r="AM3052" s="87"/>
      <c r="AN3052" s="87">
        <v>10</v>
      </c>
      <c r="AO3052" s="87">
        <v>10</v>
      </c>
      <c r="AP3052" s="87">
        <v>10</v>
      </c>
      <c r="AQ3052" s="87"/>
      <c r="AR3052" s="87"/>
      <c r="AS3052" s="87"/>
      <c r="AT3052" s="87"/>
      <c r="AU3052" s="87"/>
      <c r="AV3052" s="87"/>
      <c r="AW3052" s="88" t="str">
        <f>HYPERLINK("http://www.openstreetmap.org/?mlat=32.5327&amp;mlon=45.8317&amp;zoom=12#map=12/32.5327/45.8317","Maplink1")</f>
        <v>Maplink1</v>
      </c>
      <c r="AX3052" s="88" t="str">
        <f>HYPERLINK("https://www.google.iq/maps/search/+32.5327,45.8317/@32.5327,45.8317,14z?hl=en","Maplink2")</f>
        <v>Maplink2</v>
      </c>
      <c r="AY3052" s="88" t="str">
        <f>HYPERLINK("http://www.bing.com/maps/?lvl=14&amp;sty=h&amp;cp=32.5327~45.8317&amp;sp=point.32.5327_45.8317","Maplink3")</f>
        <v>Maplink3</v>
      </c>
      <c r="AZ3052" s="76"/>
    </row>
    <row r="3053" spans="1:52" x14ac:dyDescent="0.25">
      <c r="A3053" s="86">
        <v>19554</v>
      </c>
      <c r="B3053" s="87" t="s">
        <v>29</v>
      </c>
      <c r="C3053" s="87" t="s">
        <v>5664</v>
      </c>
      <c r="D3053" s="87" t="s">
        <v>5733</v>
      </c>
      <c r="E3053" s="87" t="s">
        <v>5734</v>
      </c>
      <c r="F3053" s="87">
        <v>32.537553840699999</v>
      </c>
      <c r="G3053" s="87">
        <v>45.824537998099999</v>
      </c>
      <c r="H3053" s="86">
        <v>8</v>
      </c>
      <c r="I3053" s="86">
        <v>48</v>
      </c>
      <c r="J3053" s="87">
        <v>8</v>
      </c>
      <c r="K3053" s="87"/>
      <c r="L3053" s="87"/>
      <c r="M3053" s="87"/>
      <c r="N3053" s="87"/>
      <c r="O3053" s="87"/>
      <c r="P3053" s="87"/>
      <c r="Q3053" s="87"/>
      <c r="R3053" s="87"/>
      <c r="S3053" s="87"/>
      <c r="T3053" s="87"/>
      <c r="U3053" s="87"/>
      <c r="V3053" s="87"/>
      <c r="W3053" s="87"/>
      <c r="X3053" s="87"/>
      <c r="Y3053" s="87"/>
      <c r="Z3053" s="87"/>
      <c r="AA3053" s="87"/>
      <c r="AB3053" s="87"/>
      <c r="AC3053" s="87"/>
      <c r="AD3053" s="87"/>
      <c r="AE3053" s="87"/>
      <c r="AF3053" s="87"/>
      <c r="AG3053" s="87"/>
      <c r="AH3053" s="87">
        <v>8</v>
      </c>
      <c r="AI3053" s="87"/>
      <c r="AJ3053" s="87"/>
      <c r="AK3053" s="87"/>
      <c r="AL3053" s="87"/>
      <c r="AM3053" s="87"/>
      <c r="AN3053" s="87"/>
      <c r="AO3053" s="87"/>
      <c r="AP3053" s="87"/>
      <c r="AQ3053" s="87"/>
      <c r="AR3053" s="87">
        <v>8</v>
      </c>
      <c r="AS3053" s="87"/>
      <c r="AT3053" s="87"/>
      <c r="AU3053" s="87"/>
      <c r="AV3053" s="87"/>
      <c r="AW3053" s="88" t="str">
        <f>HYPERLINK("http://www.openstreetmap.org/?mlat=32.5376&amp;mlon=45.8245&amp;zoom=12#map=12/32.5376/45.8245","Maplink1")</f>
        <v>Maplink1</v>
      </c>
      <c r="AX3053" s="88" t="str">
        <f>HYPERLINK("https://www.google.iq/maps/search/+32.5376,45.8245/@32.5376,45.8245,14z?hl=en","Maplink2")</f>
        <v>Maplink2</v>
      </c>
      <c r="AY3053" s="88" t="str">
        <f>HYPERLINK("http://www.bing.com/maps/?lvl=14&amp;sty=h&amp;cp=32.5376~45.8245&amp;sp=point.32.5376_45.8245","Maplink3")</f>
        <v>Maplink3</v>
      </c>
      <c r="AZ3053" s="76"/>
    </row>
    <row r="3054" spans="1:52" x14ac:dyDescent="0.25">
      <c r="A3054" s="86">
        <v>19064</v>
      </c>
      <c r="B3054" s="87" t="s">
        <v>29</v>
      </c>
      <c r="C3054" s="87" t="s">
        <v>5664</v>
      </c>
      <c r="D3054" s="87" t="s">
        <v>5735</v>
      </c>
      <c r="E3054" s="87" t="s">
        <v>5736</v>
      </c>
      <c r="F3054" s="87">
        <v>32.528896102399997</v>
      </c>
      <c r="G3054" s="87">
        <v>45.822214882099999</v>
      </c>
      <c r="H3054" s="86">
        <v>12</v>
      </c>
      <c r="I3054" s="86">
        <v>72</v>
      </c>
      <c r="J3054" s="87"/>
      <c r="K3054" s="87"/>
      <c r="L3054" s="87"/>
      <c r="M3054" s="87"/>
      <c r="N3054" s="87"/>
      <c r="O3054" s="87"/>
      <c r="P3054" s="87"/>
      <c r="Q3054" s="87"/>
      <c r="R3054" s="87"/>
      <c r="S3054" s="87"/>
      <c r="T3054" s="87"/>
      <c r="U3054" s="87"/>
      <c r="V3054" s="87">
        <v>12</v>
      </c>
      <c r="W3054" s="87"/>
      <c r="X3054" s="87"/>
      <c r="Y3054" s="87"/>
      <c r="Z3054" s="87"/>
      <c r="AA3054" s="87"/>
      <c r="AB3054" s="87"/>
      <c r="AC3054" s="87"/>
      <c r="AD3054" s="87"/>
      <c r="AE3054" s="87"/>
      <c r="AF3054" s="87"/>
      <c r="AG3054" s="87">
        <v>4</v>
      </c>
      <c r="AH3054" s="87">
        <v>8</v>
      </c>
      <c r="AI3054" s="87"/>
      <c r="AJ3054" s="87"/>
      <c r="AK3054" s="87"/>
      <c r="AL3054" s="87"/>
      <c r="AM3054" s="87"/>
      <c r="AN3054" s="87"/>
      <c r="AO3054" s="87">
        <v>12</v>
      </c>
      <c r="AP3054" s="87"/>
      <c r="AQ3054" s="87"/>
      <c r="AR3054" s="87"/>
      <c r="AS3054" s="87"/>
      <c r="AT3054" s="87"/>
      <c r="AU3054" s="87"/>
      <c r="AV3054" s="87"/>
      <c r="AW3054" s="88" t="str">
        <f>HYPERLINK("http://www.openstreetmap.org/?mlat=32.5289&amp;mlon=45.8222&amp;zoom=12#map=12/32.5289/45.8222","Maplink1")</f>
        <v>Maplink1</v>
      </c>
      <c r="AX3054" s="88" t="str">
        <f>HYPERLINK("https://www.google.iq/maps/search/+32.5289,45.8222/@32.5289,45.8222,14z?hl=en","Maplink2")</f>
        <v>Maplink2</v>
      </c>
      <c r="AY3054" s="88" t="str">
        <f>HYPERLINK("http://www.bing.com/maps/?lvl=14&amp;sty=h&amp;cp=32.5289~45.8222&amp;sp=point.32.5289_45.8222","Maplink3")</f>
        <v>Maplink3</v>
      </c>
      <c r="AZ3054" s="76"/>
    </row>
    <row r="3055" spans="1:52" x14ac:dyDescent="0.25">
      <c r="A3055" s="86">
        <v>27383</v>
      </c>
      <c r="B3055" s="87" t="s">
        <v>29</v>
      </c>
      <c r="C3055" s="87" t="s">
        <v>5664</v>
      </c>
      <c r="D3055" s="87" t="s">
        <v>5737</v>
      </c>
      <c r="E3055" s="87" t="s">
        <v>5738</v>
      </c>
      <c r="F3055" s="87">
        <v>32.511039611299999</v>
      </c>
      <c r="G3055" s="87">
        <v>45.8569685935</v>
      </c>
      <c r="H3055" s="86">
        <v>14</v>
      </c>
      <c r="I3055" s="86">
        <v>84</v>
      </c>
      <c r="J3055" s="87"/>
      <c r="K3055" s="87"/>
      <c r="L3055" s="87"/>
      <c r="M3055" s="87"/>
      <c r="N3055" s="87"/>
      <c r="O3055" s="87"/>
      <c r="P3055" s="87"/>
      <c r="Q3055" s="87"/>
      <c r="R3055" s="87"/>
      <c r="S3055" s="87"/>
      <c r="T3055" s="87"/>
      <c r="U3055" s="87"/>
      <c r="V3055" s="87">
        <v>14</v>
      </c>
      <c r="W3055" s="87"/>
      <c r="X3055" s="87"/>
      <c r="Y3055" s="87"/>
      <c r="Z3055" s="87"/>
      <c r="AA3055" s="87"/>
      <c r="AB3055" s="87"/>
      <c r="AC3055" s="87"/>
      <c r="AD3055" s="87"/>
      <c r="AE3055" s="87"/>
      <c r="AF3055" s="87"/>
      <c r="AG3055" s="87"/>
      <c r="AH3055" s="87">
        <v>14</v>
      </c>
      <c r="AI3055" s="87"/>
      <c r="AJ3055" s="87"/>
      <c r="AK3055" s="87"/>
      <c r="AL3055" s="87"/>
      <c r="AM3055" s="87"/>
      <c r="AN3055" s="87"/>
      <c r="AO3055" s="87">
        <v>14</v>
      </c>
      <c r="AP3055" s="87"/>
      <c r="AQ3055" s="87"/>
      <c r="AR3055" s="87"/>
      <c r="AS3055" s="87"/>
      <c r="AT3055" s="87"/>
      <c r="AU3055" s="87"/>
      <c r="AV3055" s="87"/>
      <c r="AW3055" s="88" t="str">
        <f>HYPERLINK("http://www.openstreetmap.org/?mlat=32.511&amp;mlon=45.857&amp;zoom=12#map=12/32.511/45.857","Maplink1")</f>
        <v>Maplink1</v>
      </c>
      <c r="AX3055" s="88" t="str">
        <f>HYPERLINK("https://www.google.iq/maps/search/+32.511,45.857/@32.511,45.857,14z?hl=en","Maplink2")</f>
        <v>Maplink2</v>
      </c>
      <c r="AY3055" s="88" t="str">
        <f>HYPERLINK("http://www.bing.com/maps/?lvl=14&amp;sty=h&amp;cp=32.511~45.857&amp;sp=point.32.511_45.857","Maplink3")</f>
        <v>Maplink3</v>
      </c>
      <c r="AZ3055" s="76"/>
    </row>
    <row r="3056" spans="1:52" x14ac:dyDescent="0.25">
      <c r="A3056" s="86">
        <v>24262</v>
      </c>
      <c r="B3056" s="87" t="s">
        <v>29</v>
      </c>
      <c r="C3056" s="87" t="s">
        <v>5664</v>
      </c>
      <c r="D3056" s="87" t="s">
        <v>5739</v>
      </c>
      <c r="E3056" s="87" t="s">
        <v>5740</v>
      </c>
      <c r="F3056" s="87">
        <v>32.517205503</v>
      </c>
      <c r="G3056" s="87">
        <v>45.844454812800002</v>
      </c>
      <c r="H3056" s="86">
        <v>13</v>
      </c>
      <c r="I3056" s="86">
        <v>78</v>
      </c>
      <c r="J3056" s="87"/>
      <c r="K3056" s="87"/>
      <c r="L3056" s="87"/>
      <c r="M3056" s="87"/>
      <c r="N3056" s="87"/>
      <c r="O3056" s="87"/>
      <c r="P3056" s="87"/>
      <c r="Q3056" s="87"/>
      <c r="R3056" s="87"/>
      <c r="S3056" s="87"/>
      <c r="T3056" s="87"/>
      <c r="U3056" s="87"/>
      <c r="V3056" s="87">
        <v>13</v>
      </c>
      <c r="W3056" s="87"/>
      <c r="X3056" s="87"/>
      <c r="Y3056" s="87"/>
      <c r="Z3056" s="87"/>
      <c r="AA3056" s="87"/>
      <c r="AB3056" s="87"/>
      <c r="AC3056" s="87"/>
      <c r="AD3056" s="87"/>
      <c r="AE3056" s="87"/>
      <c r="AF3056" s="87"/>
      <c r="AG3056" s="87"/>
      <c r="AH3056" s="87">
        <v>13</v>
      </c>
      <c r="AI3056" s="87"/>
      <c r="AJ3056" s="87"/>
      <c r="AK3056" s="87"/>
      <c r="AL3056" s="87"/>
      <c r="AM3056" s="87"/>
      <c r="AN3056" s="87"/>
      <c r="AO3056" s="87">
        <v>13</v>
      </c>
      <c r="AP3056" s="87"/>
      <c r="AQ3056" s="87"/>
      <c r="AR3056" s="87"/>
      <c r="AS3056" s="87"/>
      <c r="AT3056" s="87"/>
      <c r="AU3056" s="87"/>
      <c r="AV3056" s="87"/>
      <c r="AW3056" s="88" t="str">
        <f>HYPERLINK("http://www.openstreetmap.org/?mlat=32.5172&amp;mlon=45.8445&amp;zoom=12#map=12/32.5172/45.8445","Maplink1")</f>
        <v>Maplink1</v>
      </c>
      <c r="AX3056" s="88" t="str">
        <f>HYPERLINK("https://www.google.iq/maps/search/+32.5172,45.8445/@32.5172,45.8445,14z?hl=en","Maplink2")</f>
        <v>Maplink2</v>
      </c>
      <c r="AY3056" s="88" t="str">
        <f>HYPERLINK("http://www.bing.com/maps/?lvl=14&amp;sty=h&amp;cp=32.5172~45.8445&amp;sp=point.32.5172_45.8445","Maplink3")</f>
        <v>Maplink3</v>
      </c>
      <c r="AZ3056" s="76"/>
    </row>
    <row r="3057" spans="1:52" x14ac:dyDescent="0.25">
      <c r="A3057" s="86">
        <v>23968</v>
      </c>
      <c r="B3057" s="87" t="s">
        <v>29</v>
      </c>
      <c r="C3057" s="87" t="s">
        <v>5664</v>
      </c>
      <c r="D3057" s="87" t="s">
        <v>5741</v>
      </c>
      <c r="E3057" s="87" t="s">
        <v>1399</v>
      </c>
      <c r="F3057" s="87">
        <v>32.504038876400003</v>
      </c>
      <c r="G3057" s="87">
        <v>45.831927584200002</v>
      </c>
      <c r="H3057" s="86">
        <v>8</v>
      </c>
      <c r="I3057" s="86">
        <v>48</v>
      </c>
      <c r="J3057" s="87"/>
      <c r="K3057" s="87"/>
      <c r="L3057" s="87"/>
      <c r="M3057" s="87"/>
      <c r="N3057" s="87"/>
      <c r="O3057" s="87"/>
      <c r="P3057" s="87"/>
      <c r="Q3057" s="87"/>
      <c r="R3057" s="87"/>
      <c r="S3057" s="87"/>
      <c r="T3057" s="87"/>
      <c r="U3057" s="87"/>
      <c r="V3057" s="87">
        <v>8</v>
      </c>
      <c r="W3057" s="87"/>
      <c r="X3057" s="87"/>
      <c r="Y3057" s="87"/>
      <c r="Z3057" s="87"/>
      <c r="AA3057" s="87"/>
      <c r="AB3057" s="87"/>
      <c r="AC3057" s="87"/>
      <c r="AD3057" s="87"/>
      <c r="AE3057" s="87"/>
      <c r="AF3057" s="87"/>
      <c r="AG3057" s="87"/>
      <c r="AH3057" s="87">
        <v>8</v>
      </c>
      <c r="AI3057" s="87"/>
      <c r="AJ3057" s="87"/>
      <c r="AK3057" s="87"/>
      <c r="AL3057" s="87"/>
      <c r="AM3057" s="87"/>
      <c r="AN3057" s="87"/>
      <c r="AO3057" s="87"/>
      <c r="AP3057" s="87">
        <v>8</v>
      </c>
      <c r="AQ3057" s="87"/>
      <c r="AR3057" s="87"/>
      <c r="AS3057" s="87"/>
      <c r="AT3057" s="87"/>
      <c r="AU3057" s="87"/>
      <c r="AV3057" s="87"/>
      <c r="AW3057" s="88" t="str">
        <f>HYPERLINK("http://www.openstreetmap.org/?mlat=32.504&amp;mlon=45.8319&amp;zoom=12#map=12/32.504/45.8319","Maplink1")</f>
        <v>Maplink1</v>
      </c>
      <c r="AX3057" s="88" t="str">
        <f>HYPERLINK("https://www.google.iq/maps/search/+32.504,45.8319/@32.504,45.8319,14z?hl=en","Maplink2")</f>
        <v>Maplink2</v>
      </c>
      <c r="AY3057" s="88" t="str">
        <f>HYPERLINK("http://www.bing.com/maps/?lvl=14&amp;sty=h&amp;cp=32.504~45.8319&amp;sp=point.32.504_45.8319","Maplink3")</f>
        <v>Maplink3</v>
      </c>
      <c r="AZ3057" s="76"/>
    </row>
    <row r="3058" spans="1:52" x14ac:dyDescent="0.25">
      <c r="A3058" s="86">
        <v>25587</v>
      </c>
      <c r="B3058" s="87" t="s">
        <v>29</v>
      </c>
      <c r="C3058" s="87" t="s">
        <v>5664</v>
      </c>
      <c r="D3058" s="87" t="s">
        <v>5742</v>
      </c>
      <c r="E3058" s="87" t="s">
        <v>5743</v>
      </c>
      <c r="F3058" s="87">
        <v>32.501466928399999</v>
      </c>
      <c r="G3058" s="87">
        <v>45.8266226816</v>
      </c>
      <c r="H3058" s="86">
        <v>8</v>
      </c>
      <c r="I3058" s="86">
        <v>48</v>
      </c>
      <c r="J3058" s="87"/>
      <c r="K3058" s="87"/>
      <c r="L3058" s="87"/>
      <c r="M3058" s="87"/>
      <c r="N3058" s="87"/>
      <c r="O3058" s="87"/>
      <c r="P3058" s="87"/>
      <c r="Q3058" s="87"/>
      <c r="R3058" s="87"/>
      <c r="S3058" s="87"/>
      <c r="T3058" s="87"/>
      <c r="U3058" s="87"/>
      <c r="V3058" s="87">
        <v>8</v>
      </c>
      <c r="W3058" s="87"/>
      <c r="X3058" s="87"/>
      <c r="Y3058" s="87"/>
      <c r="Z3058" s="87"/>
      <c r="AA3058" s="87"/>
      <c r="AB3058" s="87"/>
      <c r="AC3058" s="87"/>
      <c r="AD3058" s="87"/>
      <c r="AE3058" s="87"/>
      <c r="AF3058" s="87"/>
      <c r="AG3058" s="87"/>
      <c r="AH3058" s="87">
        <v>8</v>
      </c>
      <c r="AI3058" s="87"/>
      <c r="AJ3058" s="87"/>
      <c r="AK3058" s="87"/>
      <c r="AL3058" s="87"/>
      <c r="AM3058" s="87"/>
      <c r="AN3058" s="87"/>
      <c r="AO3058" s="87">
        <v>8</v>
      </c>
      <c r="AP3058" s="87"/>
      <c r="AQ3058" s="87"/>
      <c r="AR3058" s="87"/>
      <c r="AS3058" s="87"/>
      <c r="AT3058" s="87"/>
      <c r="AU3058" s="87"/>
      <c r="AV3058" s="87"/>
      <c r="AW3058" s="88" t="str">
        <f>HYPERLINK("http://www.openstreetmap.org/?mlat=32.5015&amp;mlon=45.8266&amp;zoom=12#map=12/32.5015/45.8266","Maplink1")</f>
        <v>Maplink1</v>
      </c>
      <c r="AX3058" s="88" t="str">
        <f>HYPERLINK("https://www.google.iq/maps/search/+32.5015,45.8266/@32.5015,45.8266,14z?hl=en","Maplink2")</f>
        <v>Maplink2</v>
      </c>
      <c r="AY3058" s="88" t="str">
        <f>HYPERLINK("http://www.bing.com/maps/?lvl=14&amp;sty=h&amp;cp=32.5015~45.8266&amp;sp=point.32.5015_45.8266","Maplink3")</f>
        <v>Maplink3</v>
      </c>
      <c r="AZ3058" s="76"/>
    </row>
    <row r="3059" spans="1:52" x14ac:dyDescent="0.25">
      <c r="A3059" s="86">
        <v>25317</v>
      </c>
      <c r="B3059" s="87" t="s">
        <v>29</v>
      </c>
      <c r="C3059" s="87" t="s">
        <v>5664</v>
      </c>
      <c r="D3059" s="87" t="s">
        <v>5744</v>
      </c>
      <c r="E3059" s="87" t="s">
        <v>5745</v>
      </c>
      <c r="F3059" s="87">
        <v>32.5133543321</v>
      </c>
      <c r="G3059" s="87">
        <v>45.813947638999998</v>
      </c>
      <c r="H3059" s="86">
        <v>7</v>
      </c>
      <c r="I3059" s="86">
        <v>42</v>
      </c>
      <c r="J3059" s="87">
        <v>1</v>
      </c>
      <c r="K3059" s="87"/>
      <c r="L3059" s="87"/>
      <c r="M3059" s="87"/>
      <c r="N3059" s="87"/>
      <c r="O3059" s="87">
        <v>2</v>
      </c>
      <c r="P3059" s="87"/>
      <c r="Q3059" s="87"/>
      <c r="R3059" s="87">
        <v>1</v>
      </c>
      <c r="S3059" s="87"/>
      <c r="T3059" s="87"/>
      <c r="U3059" s="87"/>
      <c r="V3059" s="87">
        <v>3</v>
      </c>
      <c r="W3059" s="87"/>
      <c r="X3059" s="87"/>
      <c r="Y3059" s="87"/>
      <c r="Z3059" s="87"/>
      <c r="AA3059" s="87"/>
      <c r="AB3059" s="87"/>
      <c r="AC3059" s="87"/>
      <c r="AD3059" s="87"/>
      <c r="AE3059" s="87"/>
      <c r="AF3059" s="87"/>
      <c r="AG3059" s="87"/>
      <c r="AH3059" s="87">
        <v>7</v>
      </c>
      <c r="AI3059" s="87"/>
      <c r="AJ3059" s="87"/>
      <c r="AK3059" s="87"/>
      <c r="AL3059" s="87"/>
      <c r="AM3059" s="87"/>
      <c r="AN3059" s="87"/>
      <c r="AO3059" s="87">
        <v>3</v>
      </c>
      <c r="AP3059" s="87">
        <v>4</v>
      </c>
      <c r="AQ3059" s="87"/>
      <c r="AR3059" s="87"/>
      <c r="AS3059" s="87"/>
      <c r="AT3059" s="87"/>
      <c r="AU3059" s="87"/>
      <c r="AV3059" s="87"/>
      <c r="AW3059" s="88" t="str">
        <f>HYPERLINK("http://www.openstreetmap.org/?mlat=32.5134&amp;mlon=45.8139&amp;zoom=12#map=12/32.5134/45.8139","Maplink1")</f>
        <v>Maplink1</v>
      </c>
      <c r="AX3059" s="88" t="str">
        <f>HYPERLINK("https://www.google.iq/maps/search/+32.5134,45.8139/@32.5134,45.8139,14z?hl=en","Maplink2")</f>
        <v>Maplink2</v>
      </c>
      <c r="AY3059" s="88" t="str">
        <f>HYPERLINK("http://www.bing.com/maps/?lvl=14&amp;sty=h&amp;cp=32.5134~45.8139&amp;sp=point.32.5134_45.8139","Maplink3")</f>
        <v>Maplink3</v>
      </c>
      <c r="AZ3059" s="76"/>
    </row>
    <row r="3060" spans="1:52" x14ac:dyDescent="0.25">
      <c r="A3060" s="86">
        <v>20872</v>
      </c>
      <c r="B3060" s="87" t="s">
        <v>29</v>
      </c>
      <c r="C3060" s="87" t="s">
        <v>5664</v>
      </c>
      <c r="D3060" s="87" t="s">
        <v>4208</v>
      </c>
      <c r="E3060" s="87" t="s">
        <v>3460</v>
      </c>
      <c r="F3060" s="87">
        <v>32.539031470099999</v>
      </c>
      <c r="G3060" s="87">
        <v>45.855522262800001</v>
      </c>
      <c r="H3060" s="86">
        <v>25</v>
      </c>
      <c r="I3060" s="86">
        <v>150</v>
      </c>
      <c r="J3060" s="87"/>
      <c r="K3060" s="87"/>
      <c r="L3060" s="87"/>
      <c r="M3060" s="87"/>
      <c r="N3060" s="87"/>
      <c r="O3060" s="87"/>
      <c r="P3060" s="87"/>
      <c r="Q3060" s="87"/>
      <c r="R3060" s="87"/>
      <c r="S3060" s="87"/>
      <c r="T3060" s="87"/>
      <c r="U3060" s="87"/>
      <c r="V3060" s="87">
        <v>25</v>
      </c>
      <c r="W3060" s="87"/>
      <c r="X3060" s="87"/>
      <c r="Y3060" s="87"/>
      <c r="Z3060" s="87"/>
      <c r="AA3060" s="87"/>
      <c r="AB3060" s="87"/>
      <c r="AC3060" s="87"/>
      <c r="AD3060" s="87"/>
      <c r="AE3060" s="87"/>
      <c r="AF3060" s="87"/>
      <c r="AG3060" s="87"/>
      <c r="AH3060" s="87"/>
      <c r="AI3060" s="87"/>
      <c r="AJ3060" s="87"/>
      <c r="AK3060" s="87"/>
      <c r="AL3060" s="87">
        <v>25</v>
      </c>
      <c r="AM3060" s="87"/>
      <c r="AN3060" s="87">
        <v>7</v>
      </c>
      <c r="AO3060" s="87">
        <v>18</v>
      </c>
      <c r="AP3060" s="87"/>
      <c r="AQ3060" s="87"/>
      <c r="AR3060" s="87"/>
      <c r="AS3060" s="87"/>
      <c r="AT3060" s="87"/>
      <c r="AU3060" s="87"/>
      <c r="AV3060" s="87"/>
      <c r="AW3060" s="88" t="str">
        <f>HYPERLINK("http://www.openstreetmap.org/?mlat=32.539&amp;mlon=45.8555&amp;zoom=12#map=12/32.539/45.8555","Maplink1")</f>
        <v>Maplink1</v>
      </c>
      <c r="AX3060" s="88" t="str">
        <f>HYPERLINK("https://www.google.iq/maps/search/+32.539,45.8555/@32.539,45.8555,14z?hl=en","Maplink2")</f>
        <v>Maplink2</v>
      </c>
      <c r="AY3060" s="88" t="str">
        <f>HYPERLINK("http://www.bing.com/maps/?lvl=14&amp;sty=h&amp;cp=32.539~45.8555&amp;sp=point.32.539_45.8555","Maplink3")</f>
        <v>Maplink3</v>
      </c>
      <c r="AZ3060" s="76"/>
    </row>
    <row r="3061" spans="1:52" x14ac:dyDescent="0.25">
      <c r="A3061" s="86">
        <v>24261</v>
      </c>
      <c r="B3061" s="87" t="s">
        <v>29</v>
      </c>
      <c r="C3061" s="87" t="s">
        <v>5664</v>
      </c>
      <c r="D3061" s="87" t="s">
        <v>5746</v>
      </c>
      <c r="E3061" s="87" t="s">
        <v>5747</v>
      </c>
      <c r="F3061" s="87">
        <v>32.487026333599999</v>
      </c>
      <c r="G3061" s="87">
        <v>45.845281538099997</v>
      </c>
      <c r="H3061" s="86">
        <v>58</v>
      </c>
      <c r="I3061" s="86">
        <v>348</v>
      </c>
      <c r="J3061" s="87">
        <v>8</v>
      </c>
      <c r="K3061" s="87"/>
      <c r="L3061" s="87"/>
      <c r="M3061" s="87"/>
      <c r="N3061" s="87"/>
      <c r="O3061" s="87"/>
      <c r="P3061" s="87"/>
      <c r="Q3061" s="87"/>
      <c r="R3061" s="87"/>
      <c r="S3061" s="87"/>
      <c r="T3061" s="87"/>
      <c r="U3061" s="87"/>
      <c r="V3061" s="87">
        <v>50</v>
      </c>
      <c r="W3061" s="87"/>
      <c r="X3061" s="87"/>
      <c r="Y3061" s="87"/>
      <c r="Z3061" s="87"/>
      <c r="AA3061" s="87"/>
      <c r="AB3061" s="87"/>
      <c r="AC3061" s="87"/>
      <c r="AD3061" s="87"/>
      <c r="AE3061" s="87"/>
      <c r="AF3061" s="87"/>
      <c r="AG3061" s="87"/>
      <c r="AH3061" s="87">
        <v>3</v>
      </c>
      <c r="AI3061" s="87"/>
      <c r="AJ3061" s="87"/>
      <c r="AK3061" s="87">
        <v>55</v>
      </c>
      <c r="AL3061" s="87"/>
      <c r="AM3061" s="87"/>
      <c r="AN3061" s="87">
        <v>8</v>
      </c>
      <c r="AO3061" s="87">
        <v>50</v>
      </c>
      <c r="AP3061" s="87"/>
      <c r="AQ3061" s="87"/>
      <c r="AR3061" s="87"/>
      <c r="AS3061" s="87"/>
      <c r="AT3061" s="87"/>
      <c r="AU3061" s="87"/>
      <c r="AV3061" s="87"/>
      <c r="AW3061" s="88" t="str">
        <f>HYPERLINK("http://www.openstreetmap.org/?mlat=32.487&amp;mlon=45.8453&amp;zoom=12#map=12/32.487/45.8453","Maplink1")</f>
        <v>Maplink1</v>
      </c>
      <c r="AX3061" s="88" t="str">
        <f>HYPERLINK("https://www.google.iq/maps/search/+32.487,45.8453/@32.487,45.8453,14z?hl=en","Maplink2")</f>
        <v>Maplink2</v>
      </c>
      <c r="AY3061" s="88" t="str">
        <f>HYPERLINK("http://www.bing.com/maps/?lvl=14&amp;sty=h&amp;cp=32.487~45.8453&amp;sp=point.32.487_45.8453","Maplink3")</f>
        <v>Maplink3</v>
      </c>
      <c r="AZ3061" s="76"/>
    </row>
    <row r="3062" spans="1:52" x14ac:dyDescent="0.25">
      <c r="A3062" s="86">
        <v>24866</v>
      </c>
      <c r="B3062" s="87" t="s">
        <v>29</v>
      </c>
      <c r="C3062" s="87" t="s">
        <v>5664</v>
      </c>
      <c r="D3062" s="87" t="s">
        <v>5748</v>
      </c>
      <c r="E3062" s="87" t="s">
        <v>1793</v>
      </c>
      <c r="F3062" s="87">
        <v>32.533901129999997</v>
      </c>
      <c r="G3062" s="87">
        <v>45.7848185</v>
      </c>
      <c r="H3062" s="86">
        <v>8</v>
      </c>
      <c r="I3062" s="86">
        <v>48</v>
      </c>
      <c r="J3062" s="87"/>
      <c r="K3062" s="87"/>
      <c r="L3062" s="87"/>
      <c r="M3062" s="87"/>
      <c r="N3062" s="87"/>
      <c r="O3062" s="87"/>
      <c r="P3062" s="87"/>
      <c r="Q3062" s="87"/>
      <c r="R3062" s="87"/>
      <c r="S3062" s="87"/>
      <c r="T3062" s="87"/>
      <c r="U3062" s="87"/>
      <c r="V3062" s="87">
        <v>8</v>
      </c>
      <c r="W3062" s="87"/>
      <c r="X3062" s="87"/>
      <c r="Y3062" s="87"/>
      <c r="Z3062" s="87"/>
      <c r="AA3062" s="87"/>
      <c r="AB3062" s="87"/>
      <c r="AC3062" s="87"/>
      <c r="AD3062" s="87"/>
      <c r="AE3062" s="87"/>
      <c r="AF3062" s="87"/>
      <c r="AG3062" s="87"/>
      <c r="AH3062" s="87">
        <v>8</v>
      </c>
      <c r="AI3062" s="87"/>
      <c r="AJ3062" s="87"/>
      <c r="AK3062" s="87"/>
      <c r="AL3062" s="87"/>
      <c r="AM3062" s="87"/>
      <c r="AN3062" s="87"/>
      <c r="AO3062" s="87">
        <v>8</v>
      </c>
      <c r="AP3062" s="87"/>
      <c r="AQ3062" s="87"/>
      <c r="AR3062" s="87"/>
      <c r="AS3062" s="87"/>
      <c r="AT3062" s="87"/>
      <c r="AU3062" s="87"/>
      <c r="AV3062" s="87"/>
      <c r="AW3062" s="88" t="str">
        <f>HYPERLINK("http://www.openstreetmap.org/?mlat=32.5339&amp;mlon=45.7848&amp;zoom=12#map=12/32.5339/45.7848","Maplink1")</f>
        <v>Maplink1</v>
      </c>
      <c r="AX3062" s="88" t="str">
        <f>HYPERLINK("https://www.google.iq/maps/search/+32.5339,45.7848/@32.5339,45.7848,14z?hl=en","Maplink2")</f>
        <v>Maplink2</v>
      </c>
      <c r="AY3062" s="88" t="str">
        <f>HYPERLINK("http://www.bing.com/maps/?lvl=14&amp;sty=h&amp;cp=32.5339~45.7848&amp;sp=point.32.5339_45.7848","Maplink3")</f>
        <v>Maplink3</v>
      </c>
      <c r="AZ3062" s="76"/>
    </row>
    <row r="3063" spans="1:52" x14ac:dyDescent="0.25">
      <c r="A3063" s="86">
        <v>24826</v>
      </c>
      <c r="B3063" s="87" t="s">
        <v>29</v>
      </c>
      <c r="C3063" s="87" t="s">
        <v>5664</v>
      </c>
      <c r="D3063" s="87" t="s">
        <v>4302</v>
      </c>
      <c r="E3063" s="87" t="s">
        <v>1865</v>
      </c>
      <c r="F3063" s="87">
        <v>32.526831635500002</v>
      </c>
      <c r="G3063" s="87">
        <v>45.821133261100002</v>
      </c>
      <c r="H3063" s="86">
        <v>10</v>
      </c>
      <c r="I3063" s="86">
        <v>60</v>
      </c>
      <c r="J3063" s="87"/>
      <c r="K3063" s="87"/>
      <c r="L3063" s="87"/>
      <c r="M3063" s="87"/>
      <c r="N3063" s="87"/>
      <c r="O3063" s="87"/>
      <c r="P3063" s="87"/>
      <c r="Q3063" s="87"/>
      <c r="R3063" s="87"/>
      <c r="S3063" s="87"/>
      <c r="T3063" s="87"/>
      <c r="U3063" s="87"/>
      <c r="V3063" s="87">
        <v>10</v>
      </c>
      <c r="W3063" s="87"/>
      <c r="X3063" s="87"/>
      <c r="Y3063" s="87"/>
      <c r="Z3063" s="87"/>
      <c r="AA3063" s="87"/>
      <c r="AB3063" s="87"/>
      <c r="AC3063" s="87"/>
      <c r="AD3063" s="87"/>
      <c r="AE3063" s="87"/>
      <c r="AF3063" s="87"/>
      <c r="AG3063" s="87"/>
      <c r="AH3063" s="87">
        <v>10</v>
      </c>
      <c r="AI3063" s="87"/>
      <c r="AJ3063" s="87"/>
      <c r="AK3063" s="87"/>
      <c r="AL3063" s="87"/>
      <c r="AM3063" s="87"/>
      <c r="AN3063" s="87"/>
      <c r="AO3063" s="87">
        <v>10</v>
      </c>
      <c r="AP3063" s="87"/>
      <c r="AQ3063" s="87"/>
      <c r="AR3063" s="87"/>
      <c r="AS3063" s="87"/>
      <c r="AT3063" s="87"/>
      <c r="AU3063" s="87"/>
      <c r="AV3063" s="87"/>
      <c r="AW3063" s="88" t="str">
        <f>HYPERLINK("http://www.openstreetmap.org/?mlat=32.5268&amp;mlon=45.8211&amp;zoom=12#map=12/32.5268/45.8211","Maplink1")</f>
        <v>Maplink1</v>
      </c>
      <c r="AX3063" s="88" t="str">
        <f>HYPERLINK("https://www.google.iq/maps/search/+32.5268,45.8211/@32.5268,45.8211,14z?hl=en","Maplink2")</f>
        <v>Maplink2</v>
      </c>
      <c r="AY3063" s="88" t="str">
        <f>HYPERLINK("http://www.bing.com/maps/?lvl=14&amp;sty=h&amp;cp=32.5268~45.8211&amp;sp=point.32.5268_45.8211","Maplink3")</f>
        <v>Maplink3</v>
      </c>
      <c r="AZ3063" s="76"/>
    </row>
    <row r="3064" spans="1:52" x14ac:dyDescent="0.25">
      <c r="A3064" s="86">
        <v>19531</v>
      </c>
      <c r="B3064" s="87" t="s">
        <v>29</v>
      </c>
      <c r="C3064" s="87" t="s">
        <v>5664</v>
      </c>
      <c r="D3064" s="87" t="s">
        <v>301</v>
      </c>
      <c r="E3064" s="87" t="s">
        <v>208</v>
      </c>
      <c r="F3064" s="87">
        <v>32.543375203099998</v>
      </c>
      <c r="G3064" s="87">
        <v>45.826925386600003</v>
      </c>
      <c r="H3064" s="86">
        <v>12</v>
      </c>
      <c r="I3064" s="86">
        <v>72</v>
      </c>
      <c r="J3064" s="87"/>
      <c r="K3064" s="87"/>
      <c r="L3064" s="87"/>
      <c r="M3064" s="87"/>
      <c r="N3064" s="87"/>
      <c r="O3064" s="87"/>
      <c r="P3064" s="87"/>
      <c r="Q3064" s="87"/>
      <c r="R3064" s="87"/>
      <c r="S3064" s="87"/>
      <c r="T3064" s="87"/>
      <c r="U3064" s="87"/>
      <c r="V3064" s="87">
        <v>12</v>
      </c>
      <c r="W3064" s="87"/>
      <c r="X3064" s="87"/>
      <c r="Y3064" s="87"/>
      <c r="Z3064" s="87"/>
      <c r="AA3064" s="87"/>
      <c r="AB3064" s="87"/>
      <c r="AC3064" s="87"/>
      <c r="AD3064" s="87"/>
      <c r="AE3064" s="87"/>
      <c r="AF3064" s="87"/>
      <c r="AG3064" s="87"/>
      <c r="AH3064" s="87">
        <v>12</v>
      </c>
      <c r="AI3064" s="87"/>
      <c r="AJ3064" s="87"/>
      <c r="AK3064" s="87"/>
      <c r="AL3064" s="87"/>
      <c r="AM3064" s="87"/>
      <c r="AN3064" s="87"/>
      <c r="AO3064" s="87">
        <v>12</v>
      </c>
      <c r="AP3064" s="87"/>
      <c r="AQ3064" s="87"/>
      <c r="AR3064" s="87"/>
      <c r="AS3064" s="87"/>
      <c r="AT3064" s="87"/>
      <c r="AU3064" s="87"/>
      <c r="AV3064" s="87"/>
      <c r="AW3064" s="88" t="str">
        <f>HYPERLINK("http://www.openstreetmap.org/?mlat=32.5434&amp;mlon=45.8269&amp;zoom=12#map=12/32.5434/45.8269","Maplink1")</f>
        <v>Maplink1</v>
      </c>
      <c r="AX3064" s="88" t="str">
        <f>HYPERLINK("https://www.google.iq/maps/search/+32.5434,45.8269/@32.5434,45.8269,14z?hl=en","Maplink2")</f>
        <v>Maplink2</v>
      </c>
      <c r="AY3064" s="88" t="str">
        <f>HYPERLINK("http://www.bing.com/maps/?lvl=14&amp;sty=h&amp;cp=32.5434~45.8269&amp;sp=point.32.5434_45.8269","Maplink3")</f>
        <v>Maplink3</v>
      </c>
      <c r="AZ3064" s="76"/>
    </row>
    <row r="3065" spans="1:52" x14ac:dyDescent="0.25">
      <c r="A3065" s="86">
        <v>19070</v>
      </c>
      <c r="B3065" s="87" t="s">
        <v>29</v>
      </c>
      <c r="C3065" s="87" t="s">
        <v>5664</v>
      </c>
      <c r="D3065" s="87" t="s">
        <v>5749</v>
      </c>
      <c r="E3065" s="87" t="s">
        <v>1353</v>
      </c>
      <c r="F3065" s="87">
        <v>32.5229187399</v>
      </c>
      <c r="G3065" s="87">
        <v>45.818702309700001</v>
      </c>
      <c r="H3065" s="86">
        <v>15</v>
      </c>
      <c r="I3065" s="86">
        <v>90</v>
      </c>
      <c r="J3065" s="87"/>
      <c r="K3065" s="87"/>
      <c r="L3065" s="87"/>
      <c r="M3065" s="87"/>
      <c r="N3065" s="87"/>
      <c r="O3065" s="87"/>
      <c r="P3065" s="87"/>
      <c r="Q3065" s="87"/>
      <c r="R3065" s="87"/>
      <c r="S3065" s="87"/>
      <c r="T3065" s="87"/>
      <c r="U3065" s="87"/>
      <c r="V3065" s="87">
        <v>15</v>
      </c>
      <c r="W3065" s="87"/>
      <c r="X3065" s="87"/>
      <c r="Y3065" s="87"/>
      <c r="Z3065" s="87"/>
      <c r="AA3065" s="87"/>
      <c r="AB3065" s="87"/>
      <c r="AC3065" s="87"/>
      <c r="AD3065" s="87"/>
      <c r="AE3065" s="87"/>
      <c r="AF3065" s="87"/>
      <c r="AG3065" s="87">
        <v>5</v>
      </c>
      <c r="AH3065" s="87">
        <v>10</v>
      </c>
      <c r="AI3065" s="87"/>
      <c r="AJ3065" s="87"/>
      <c r="AK3065" s="87"/>
      <c r="AL3065" s="87"/>
      <c r="AM3065" s="87"/>
      <c r="AN3065" s="87"/>
      <c r="AO3065" s="87">
        <v>5</v>
      </c>
      <c r="AP3065" s="87">
        <v>10</v>
      </c>
      <c r="AQ3065" s="87"/>
      <c r="AR3065" s="87"/>
      <c r="AS3065" s="87"/>
      <c r="AT3065" s="87"/>
      <c r="AU3065" s="87"/>
      <c r="AV3065" s="87"/>
      <c r="AW3065" s="88" t="str">
        <f>HYPERLINK("http://www.openstreetmap.org/?mlat=32.5229&amp;mlon=45.8187&amp;zoom=12#map=12/32.5229/45.8187","Maplink1")</f>
        <v>Maplink1</v>
      </c>
      <c r="AX3065" s="88" t="str">
        <f>HYPERLINK("https://www.google.iq/maps/search/+32.5229,45.8187/@32.5229,45.8187,14z?hl=en","Maplink2")</f>
        <v>Maplink2</v>
      </c>
      <c r="AY3065" s="88" t="str">
        <f>HYPERLINK("http://www.bing.com/maps/?lvl=14&amp;sty=h&amp;cp=32.5229~45.8187&amp;sp=point.32.5229_45.8187","Maplink3")</f>
        <v>Maplink3</v>
      </c>
      <c r="AZ3065" s="76"/>
    </row>
    <row r="3066" spans="1:52" x14ac:dyDescent="0.25">
      <c r="A3066" s="86">
        <v>19541</v>
      </c>
      <c r="B3066" s="87" t="s">
        <v>29</v>
      </c>
      <c r="C3066" s="87" t="s">
        <v>5664</v>
      </c>
      <c r="D3066" s="87" t="s">
        <v>5750</v>
      </c>
      <c r="E3066" s="87" t="s">
        <v>5751</v>
      </c>
      <c r="F3066" s="87">
        <v>32.530520988699998</v>
      </c>
      <c r="G3066" s="87">
        <v>45.7968794059</v>
      </c>
      <c r="H3066" s="86">
        <v>20</v>
      </c>
      <c r="I3066" s="86">
        <v>120</v>
      </c>
      <c r="J3066" s="87"/>
      <c r="K3066" s="87"/>
      <c r="L3066" s="87"/>
      <c r="M3066" s="87"/>
      <c r="N3066" s="87"/>
      <c r="O3066" s="87"/>
      <c r="P3066" s="87"/>
      <c r="Q3066" s="87"/>
      <c r="R3066" s="87"/>
      <c r="S3066" s="87"/>
      <c r="T3066" s="87"/>
      <c r="U3066" s="87"/>
      <c r="V3066" s="87">
        <v>10</v>
      </c>
      <c r="W3066" s="87"/>
      <c r="X3066" s="87">
        <v>10</v>
      </c>
      <c r="Y3066" s="87"/>
      <c r="Z3066" s="87"/>
      <c r="AA3066" s="87"/>
      <c r="AB3066" s="87"/>
      <c r="AC3066" s="87"/>
      <c r="AD3066" s="87"/>
      <c r="AE3066" s="87"/>
      <c r="AF3066" s="87"/>
      <c r="AG3066" s="87"/>
      <c r="AH3066" s="87">
        <v>20</v>
      </c>
      <c r="AI3066" s="87"/>
      <c r="AJ3066" s="87"/>
      <c r="AK3066" s="87"/>
      <c r="AL3066" s="87"/>
      <c r="AM3066" s="87"/>
      <c r="AN3066" s="87"/>
      <c r="AO3066" s="87">
        <v>10</v>
      </c>
      <c r="AP3066" s="87">
        <v>10</v>
      </c>
      <c r="AQ3066" s="87"/>
      <c r="AR3066" s="87"/>
      <c r="AS3066" s="87"/>
      <c r="AT3066" s="87"/>
      <c r="AU3066" s="87"/>
      <c r="AV3066" s="87"/>
      <c r="AW3066" s="88" t="str">
        <f>HYPERLINK("http://www.openstreetmap.org/?mlat=32.5305&amp;mlon=45.7969&amp;zoom=12#map=12/32.5305/45.7969","Maplink1")</f>
        <v>Maplink1</v>
      </c>
      <c r="AX3066" s="88" t="str">
        <f>HYPERLINK("https://www.google.iq/maps/search/+32.5305,45.7969/@32.5305,45.7969,14z?hl=en","Maplink2")</f>
        <v>Maplink2</v>
      </c>
      <c r="AY3066" s="88" t="str">
        <f>HYPERLINK("http://www.bing.com/maps/?lvl=14&amp;sty=h&amp;cp=32.5305~45.7969&amp;sp=point.32.5305_45.7969","Maplink3")</f>
        <v>Maplink3</v>
      </c>
      <c r="AZ3066" s="76"/>
    </row>
    <row r="3067" spans="1:52" x14ac:dyDescent="0.25">
      <c r="A3067" s="86">
        <v>24787</v>
      </c>
      <c r="B3067" s="87" t="s">
        <v>29</v>
      </c>
      <c r="C3067" s="87" t="s">
        <v>5664</v>
      </c>
      <c r="D3067" s="87" t="s">
        <v>5752</v>
      </c>
      <c r="E3067" s="87" t="s">
        <v>5753</v>
      </c>
      <c r="F3067" s="87">
        <v>32.594697934700001</v>
      </c>
      <c r="G3067" s="87">
        <v>45.9477029755</v>
      </c>
      <c r="H3067" s="86">
        <v>12</v>
      </c>
      <c r="I3067" s="86">
        <v>72</v>
      </c>
      <c r="J3067" s="87"/>
      <c r="K3067" s="87"/>
      <c r="L3067" s="87"/>
      <c r="M3067" s="87"/>
      <c r="N3067" s="87"/>
      <c r="O3067" s="87"/>
      <c r="P3067" s="87"/>
      <c r="Q3067" s="87"/>
      <c r="R3067" s="87"/>
      <c r="S3067" s="87"/>
      <c r="T3067" s="87"/>
      <c r="U3067" s="87"/>
      <c r="V3067" s="87">
        <v>12</v>
      </c>
      <c r="W3067" s="87"/>
      <c r="X3067" s="87"/>
      <c r="Y3067" s="87"/>
      <c r="Z3067" s="87"/>
      <c r="AA3067" s="87"/>
      <c r="AB3067" s="87"/>
      <c r="AC3067" s="87"/>
      <c r="AD3067" s="87"/>
      <c r="AE3067" s="87"/>
      <c r="AF3067" s="87"/>
      <c r="AG3067" s="87"/>
      <c r="AH3067" s="87">
        <v>12</v>
      </c>
      <c r="AI3067" s="87"/>
      <c r="AJ3067" s="87"/>
      <c r="AK3067" s="87"/>
      <c r="AL3067" s="87"/>
      <c r="AM3067" s="87"/>
      <c r="AN3067" s="87"/>
      <c r="AO3067" s="87">
        <v>12</v>
      </c>
      <c r="AP3067" s="87"/>
      <c r="AQ3067" s="87"/>
      <c r="AR3067" s="87"/>
      <c r="AS3067" s="87"/>
      <c r="AT3067" s="87"/>
      <c r="AU3067" s="87"/>
      <c r="AV3067" s="87"/>
      <c r="AW3067" s="88" t="str">
        <f>HYPERLINK("http://www.openstreetmap.org/?mlat=32.5947&amp;mlon=45.9477&amp;zoom=12#map=12/32.5947/45.9477","Maplink1")</f>
        <v>Maplink1</v>
      </c>
      <c r="AX3067" s="88" t="str">
        <f>HYPERLINK("https://www.google.iq/maps/search/+32.5947,45.9477/@32.5947,45.9477,14z?hl=en","Maplink2")</f>
        <v>Maplink2</v>
      </c>
      <c r="AY3067" s="88" t="str">
        <f>HYPERLINK("http://www.bing.com/maps/?lvl=14&amp;sty=h&amp;cp=32.5947~45.9477&amp;sp=point.32.5947_45.9477","Maplink3")</f>
        <v>Maplink3</v>
      </c>
      <c r="AZ3067" s="76"/>
    </row>
    <row r="3068" spans="1:52" x14ac:dyDescent="0.25">
      <c r="A3068" s="86">
        <v>25107</v>
      </c>
      <c r="B3068" s="87" t="s">
        <v>29</v>
      </c>
      <c r="C3068" s="87" t="s">
        <v>5664</v>
      </c>
      <c r="D3068" s="87" t="s">
        <v>5754</v>
      </c>
      <c r="E3068" s="87" t="s">
        <v>5755</v>
      </c>
      <c r="F3068" s="87">
        <v>32.652997972199998</v>
      </c>
      <c r="G3068" s="87">
        <v>46.077399546599999</v>
      </c>
      <c r="H3068" s="86">
        <v>10</v>
      </c>
      <c r="I3068" s="86">
        <v>60</v>
      </c>
      <c r="J3068" s="87"/>
      <c r="K3068" s="87"/>
      <c r="L3068" s="87"/>
      <c r="M3068" s="87"/>
      <c r="N3068" s="87"/>
      <c r="O3068" s="87"/>
      <c r="P3068" s="87"/>
      <c r="Q3068" s="87"/>
      <c r="R3068" s="87"/>
      <c r="S3068" s="87"/>
      <c r="T3068" s="87"/>
      <c r="U3068" s="87"/>
      <c r="V3068" s="87">
        <v>10</v>
      </c>
      <c r="W3068" s="87"/>
      <c r="X3068" s="87"/>
      <c r="Y3068" s="87"/>
      <c r="Z3068" s="87"/>
      <c r="AA3068" s="87"/>
      <c r="AB3068" s="87"/>
      <c r="AC3068" s="87"/>
      <c r="AD3068" s="87"/>
      <c r="AE3068" s="87"/>
      <c r="AF3068" s="87"/>
      <c r="AG3068" s="87"/>
      <c r="AH3068" s="87">
        <v>10</v>
      </c>
      <c r="AI3068" s="87"/>
      <c r="AJ3068" s="87"/>
      <c r="AK3068" s="87"/>
      <c r="AL3068" s="87"/>
      <c r="AM3068" s="87"/>
      <c r="AN3068" s="87"/>
      <c r="AO3068" s="87">
        <v>10</v>
      </c>
      <c r="AP3068" s="87"/>
      <c r="AQ3068" s="87"/>
      <c r="AR3068" s="87"/>
      <c r="AS3068" s="87"/>
      <c r="AT3068" s="87"/>
      <c r="AU3068" s="87"/>
      <c r="AV3068" s="87"/>
      <c r="AW3068" s="88" t="str">
        <f>HYPERLINK("http://www.openstreetmap.org/?mlat=32.653&amp;mlon=46.0774&amp;zoom=12#map=12/32.653/46.0774","Maplink1")</f>
        <v>Maplink1</v>
      </c>
      <c r="AX3068" s="88" t="str">
        <f>HYPERLINK("https://www.google.iq/maps/search/+32.653,46.0774/@32.653,46.0774,14z?hl=en","Maplink2")</f>
        <v>Maplink2</v>
      </c>
      <c r="AY3068" s="88" t="str">
        <f>HYPERLINK("http://www.bing.com/maps/?lvl=14&amp;sty=h&amp;cp=32.653~46.0774&amp;sp=point.32.653_46.0774","Maplink3")</f>
        <v>Maplink3</v>
      </c>
      <c r="AZ3068" s="76"/>
    </row>
    <row r="3069" spans="1:52" x14ac:dyDescent="0.25">
      <c r="A3069" s="86">
        <v>20948</v>
      </c>
      <c r="B3069" s="87" t="s">
        <v>29</v>
      </c>
      <c r="C3069" s="87" t="s">
        <v>5664</v>
      </c>
      <c r="D3069" s="87" t="s">
        <v>5756</v>
      </c>
      <c r="E3069" s="87" t="s">
        <v>5757</v>
      </c>
      <c r="F3069" s="87">
        <v>32.531548209100002</v>
      </c>
      <c r="G3069" s="87">
        <v>45.764474737800001</v>
      </c>
      <c r="H3069" s="86">
        <v>11</v>
      </c>
      <c r="I3069" s="86">
        <v>66</v>
      </c>
      <c r="J3069" s="87"/>
      <c r="K3069" s="87"/>
      <c r="L3069" s="87"/>
      <c r="M3069" s="87"/>
      <c r="N3069" s="87"/>
      <c r="O3069" s="87"/>
      <c r="P3069" s="87"/>
      <c r="Q3069" s="87"/>
      <c r="R3069" s="87"/>
      <c r="S3069" s="87"/>
      <c r="T3069" s="87"/>
      <c r="U3069" s="87"/>
      <c r="V3069" s="87">
        <v>11</v>
      </c>
      <c r="W3069" s="87"/>
      <c r="X3069" s="87"/>
      <c r="Y3069" s="87"/>
      <c r="Z3069" s="87"/>
      <c r="AA3069" s="87"/>
      <c r="AB3069" s="87"/>
      <c r="AC3069" s="87"/>
      <c r="AD3069" s="87"/>
      <c r="AE3069" s="87"/>
      <c r="AF3069" s="87"/>
      <c r="AG3069" s="87"/>
      <c r="AH3069" s="87">
        <v>11</v>
      </c>
      <c r="AI3069" s="87"/>
      <c r="AJ3069" s="87"/>
      <c r="AK3069" s="87"/>
      <c r="AL3069" s="87"/>
      <c r="AM3069" s="87"/>
      <c r="AN3069" s="87"/>
      <c r="AO3069" s="87">
        <v>1</v>
      </c>
      <c r="AP3069" s="87"/>
      <c r="AQ3069" s="87">
        <v>10</v>
      </c>
      <c r="AR3069" s="87"/>
      <c r="AS3069" s="87"/>
      <c r="AT3069" s="87"/>
      <c r="AU3069" s="87"/>
      <c r="AV3069" s="87"/>
      <c r="AW3069" s="88" t="str">
        <f>HYPERLINK("http://www.openstreetmap.org/?mlat=32.5315&amp;mlon=45.7645&amp;zoom=12#map=12/32.5315/45.7645","Maplink1")</f>
        <v>Maplink1</v>
      </c>
      <c r="AX3069" s="88" t="str">
        <f>HYPERLINK("https://www.google.iq/maps/search/+32.5315,45.7645/@32.5315,45.7645,14z?hl=en","Maplink2")</f>
        <v>Maplink2</v>
      </c>
      <c r="AY3069" s="88" t="str">
        <f>HYPERLINK("http://www.bing.com/maps/?lvl=14&amp;sty=h&amp;cp=32.5315~45.7645&amp;sp=point.32.5315_45.7645","Maplink3")</f>
        <v>Maplink3</v>
      </c>
      <c r="AZ3069" s="76"/>
    </row>
    <row r="3070" spans="1:52" x14ac:dyDescent="0.25">
      <c r="A3070" s="79"/>
      <c r="B3070" s="80"/>
      <c r="C3070" s="80"/>
      <c r="D3070" s="80"/>
      <c r="E3070" s="80"/>
      <c r="F3070" s="80"/>
      <c r="G3070" s="80"/>
      <c r="H3070" s="79"/>
      <c r="I3070" s="79"/>
      <c r="J3070" s="80"/>
      <c r="K3070" s="80"/>
      <c r="L3070" s="80"/>
      <c r="M3070" s="80"/>
      <c r="N3070" s="80"/>
      <c r="O3070" s="80"/>
      <c r="P3070" s="80"/>
      <c r="Q3070" s="80"/>
      <c r="R3070" s="80"/>
      <c r="S3070" s="80"/>
      <c r="T3070" s="80"/>
      <c r="U3070" s="80"/>
      <c r="V3070" s="80"/>
      <c r="W3070" s="80"/>
      <c r="X3070" s="80"/>
      <c r="Y3070" s="80"/>
      <c r="Z3070" s="80"/>
      <c r="AA3070" s="80"/>
      <c r="AB3070" s="80"/>
      <c r="AC3070" s="80"/>
      <c r="AD3070" s="80"/>
      <c r="AE3070" s="80"/>
      <c r="AF3070" s="80"/>
      <c r="AG3070" s="80"/>
      <c r="AH3070" s="80"/>
      <c r="AI3070" s="80"/>
      <c r="AJ3070" s="80"/>
      <c r="AK3070" s="80"/>
      <c r="AL3070" s="80"/>
      <c r="AM3070" s="80"/>
      <c r="AN3070" s="80"/>
      <c r="AO3070" s="80"/>
      <c r="AP3070" s="80"/>
      <c r="AQ3070" s="80"/>
      <c r="AR3070" s="80"/>
      <c r="AS3070" s="80"/>
      <c r="AT3070" s="80"/>
      <c r="AU3070" s="80"/>
      <c r="AV3070" s="80"/>
      <c r="AW3070" s="80"/>
      <c r="AX3070" s="80"/>
      <c r="AY3070" s="80"/>
    </row>
  </sheetData>
  <autoFilter ref="A3:AY3069" xr:uid="{00000000-0009-0000-0000-000000000000}"/>
  <mergeCells count="6">
    <mergeCell ref="AW2:AY2"/>
    <mergeCell ref="A1:E1"/>
    <mergeCell ref="A2:G2"/>
    <mergeCell ref="J2:AA2"/>
    <mergeCell ref="AB2:AM2"/>
    <mergeCell ref="AN2:AV2"/>
  </mergeCells>
  <pageMargins left="1" right="1" top="1" bottom="1" header="1" footer="1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EBAE-D1A4-4DCD-9166-AED7F71BF053}">
  <dimension ref="A1:V40"/>
  <sheetViews>
    <sheetView zoomScaleNormal="100" workbookViewId="0">
      <selection activeCell="P20" sqref="P20"/>
    </sheetView>
  </sheetViews>
  <sheetFormatPr defaultRowHeight="15" x14ac:dyDescent="0.25"/>
  <cols>
    <col min="1" max="1" width="17.85546875" style="18" bestFit="1" customWidth="1"/>
    <col min="2" max="2" width="21" style="18" bestFit="1" customWidth="1"/>
    <col min="3" max="3" width="12" style="18" bestFit="1" customWidth="1"/>
    <col min="4" max="4" width="11.42578125" style="18" bestFit="1" customWidth="1"/>
    <col min="5" max="17" width="9.140625" style="18"/>
    <col min="18" max="18" width="27.28515625" style="18" bestFit="1" customWidth="1"/>
    <col min="19" max="19" width="17.42578125" style="18" bestFit="1" customWidth="1"/>
    <col min="20" max="20" width="19.140625" style="18" bestFit="1" customWidth="1"/>
    <col min="21" max="21" width="27.28515625" style="18" bestFit="1" customWidth="1"/>
    <col min="22" max="22" width="14.85546875" style="18" bestFit="1" customWidth="1"/>
    <col min="23" max="23" width="15" style="18" bestFit="1" customWidth="1"/>
    <col min="24" max="16384" width="9.140625" style="18"/>
  </cols>
  <sheetData>
    <row r="1" spans="1:4" x14ac:dyDescent="0.25">
      <c r="A1" s="16" t="s">
        <v>5782</v>
      </c>
      <c r="B1" s="17" t="s">
        <v>5785</v>
      </c>
      <c r="C1" s="17" t="s">
        <v>5786</v>
      </c>
      <c r="D1" s="17" t="s">
        <v>5784</v>
      </c>
    </row>
    <row r="2" spans="1:4" x14ac:dyDescent="0.25">
      <c r="A2" s="19" t="s">
        <v>41</v>
      </c>
      <c r="B2" s="20">
        <v>58356</v>
      </c>
      <c r="C2" s="20">
        <v>3.7578384894462927E-2</v>
      </c>
      <c r="D2" s="20">
        <v>9</v>
      </c>
    </row>
    <row r="3" spans="1:4" x14ac:dyDescent="0.25">
      <c r="A3" s="19" t="s">
        <v>42</v>
      </c>
      <c r="B3" s="20">
        <v>282282</v>
      </c>
      <c r="C3" s="20">
        <v>0.1817756810744188</v>
      </c>
      <c r="D3" s="20">
        <v>8</v>
      </c>
    </row>
    <row r="4" spans="1:4" x14ac:dyDescent="0.25">
      <c r="A4" s="19" t="s">
        <v>43</v>
      </c>
      <c r="B4" s="20">
        <v>464106</v>
      </c>
      <c r="C4" s="20">
        <v>0.29886136643754901</v>
      </c>
      <c r="D4" s="20">
        <v>7</v>
      </c>
    </row>
    <row r="5" spans="1:4" x14ac:dyDescent="0.25">
      <c r="A5" s="19" t="s">
        <v>44</v>
      </c>
      <c r="B5" s="20">
        <v>131940</v>
      </c>
      <c r="C5" s="20">
        <v>8.4962850486247146E-2</v>
      </c>
      <c r="D5" s="20">
        <v>6</v>
      </c>
    </row>
    <row r="6" spans="1:4" x14ac:dyDescent="0.25">
      <c r="A6" s="19" t="s">
        <v>45</v>
      </c>
      <c r="B6" s="20">
        <v>104514</v>
      </c>
      <c r="C6" s="20">
        <v>6.7301859600724837E-2</v>
      </c>
      <c r="D6" s="20">
        <v>5</v>
      </c>
    </row>
    <row r="7" spans="1:4" x14ac:dyDescent="0.25">
      <c r="A7" s="19" t="s">
        <v>5774</v>
      </c>
      <c r="B7" s="20">
        <v>54570</v>
      </c>
      <c r="C7" s="20">
        <v>3.5140387684057195E-2</v>
      </c>
      <c r="D7" s="20">
        <v>4</v>
      </c>
    </row>
    <row r="8" spans="1:4" x14ac:dyDescent="0.25">
      <c r="A8" s="19" t="s">
        <v>5773</v>
      </c>
      <c r="B8" s="20">
        <v>289800</v>
      </c>
      <c r="C8" s="20">
        <v>0.18661690215942414</v>
      </c>
      <c r="D8" s="20">
        <v>3</v>
      </c>
    </row>
    <row r="9" spans="1:4" x14ac:dyDescent="0.25">
      <c r="A9" s="19" t="s">
        <v>48</v>
      </c>
      <c r="B9" s="20">
        <v>150552</v>
      </c>
      <c r="C9" s="20">
        <v>9.6948060227417615E-2</v>
      </c>
      <c r="D9" s="20">
        <v>2</v>
      </c>
    </row>
    <row r="10" spans="1:4" x14ac:dyDescent="0.25">
      <c r="A10" s="19" t="s">
        <v>5789</v>
      </c>
      <c r="B10" s="20">
        <v>16794</v>
      </c>
      <c r="C10" s="20">
        <v>1.0814507435698307E-2</v>
      </c>
      <c r="D10" s="20">
        <v>1</v>
      </c>
    </row>
    <row r="21" spans="20:22" x14ac:dyDescent="0.25">
      <c r="T21" s="17"/>
      <c r="U21" s="17"/>
      <c r="V21" s="17"/>
    </row>
    <row r="22" spans="20:22" x14ac:dyDescent="0.25">
      <c r="T22" s="17"/>
      <c r="U22" s="17"/>
      <c r="V22" s="17"/>
    </row>
    <row r="23" spans="20:22" x14ac:dyDescent="0.25">
      <c r="T23" s="17"/>
      <c r="U23" s="17"/>
      <c r="V23" s="17"/>
    </row>
    <row r="24" spans="20:22" x14ac:dyDescent="0.25">
      <c r="T24" s="17"/>
      <c r="U24" s="17"/>
      <c r="V24" s="17"/>
    </row>
    <row r="25" spans="20:22" x14ac:dyDescent="0.25">
      <c r="T25" s="17"/>
      <c r="U25" s="17"/>
      <c r="V25" s="17"/>
    </row>
    <row r="26" spans="20:22" x14ac:dyDescent="0.25">
      <c r="T26" s="17"/>
      <c r="U26" s="17"/>
      <c r="V26" s="17"/>
    </row>
    <row r="27" spans="20:22" x14ac:dyDescent="0.25">
      <c r="T27" s="17"/>
      <c r="U27" s="17"/>
      <c r="V27" s="17"/>
    </row>
    <row r="28" spans="20:22" x14ac:dyDescent="0.25">
      <c r="T28" s="17"/>
      <c r="U28" s="17"/>
      <c r="V28" s="17"/>
    </row>
    <row r="40" spans="1:4" x14ac:dyDescent="0.25">
      <c r="A40" s="17"/>
      <c r="B40" s="17"/>
      <c r="C40" s="17"/>
      <c r="D40" s="17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83BA-3CF3-4437-BEC0-A3C8143DA101}">
  <dimension ref="A1:X64"/>
  <sheetViews>
    <sheetView zoomScale="70" zoomScaleNormal="70" workbookViewId="0">
      <selection activeCell="J47" sqref="J47"/>
    </sheetView>
  </sheetViews>
  <sheetFormatPr defaultRowHeight="15" x14ac:dyDescent="0.25"/>
  <cols>
    <col min="1" max="1" width="29.140625" style="8" bestFit="1" customWidth="1"/>
    <col min="2" max="2" width="7.42578125" style="8" bestFit="1" customWidth="1"/>
    <col min="3" max="3" width="13" style="8" bestFit="1" customWidth="1"/>
    <col min="4" max="4" width="17.85546875" style="8" bestFit="1" customWidth="1"/>
    <col min="5" max="5" width="19.140625" style="8" customWidth="1"/>
    <col min="6" max="6" width="17.5703125" style="8" bestFit="1" customWidth="1"/>
    <col min="7" max="7" width="17" style="8" bestFit="1" customWidth="1"/>
    <col min="8" max="8" width="16.85546875" style="8" bestFit="1" customWidth="1"/>
    <col min="9" max="9" width="20.85546875" style="8" bestFit="1" customWidth="1"/>
    <col min="10" max="10" width="14.7109375" style="8" bestFit="1" customWidth="1"/>
    <col min="11" max="11" width="30.28515625" style="8" bestFit="1" customWidth="1"/>
    <col min="12" max="12" width="16.85546875" style="8" customWidth="1"/>
    <col min="13" max="13" width="20.85546875" style="8" bestFit="1" customWidth="1"/>
    <col min="14" max="16" width="9.140625" style="8"/>
    <col min="17" max="17" width="14.5703125" style="8" bestFit="1" customWidth="1"/>
    <col min="18" max="18" width="11.28515625" style="8" bestFit="1" customWidth="1"/>
    <col min="19" max="19" width="29.42578125" style="8" bestFit="1" customWidth="1"/>
    <col min="20" max="29" width="9.140625" style="8"/>
    <col min="30" max="30" width="19.85546875" style="8" bestFit="1" customWidth="1"/>
    <col min="31" max="31" width="20.85546875" style="8" bestFit="1" customWidth="1"/>
    <col min="32" max="16384" width="9.140625" style="8"/>
  </cols>
  <sheetData>
    <row r="1" spans="1:15" x14ac:dyDescent="0.25">
      <c r="A1" s="1" t="str">
        <f>Summary!A9</f>
        <v>Governorate of Displacement</v>
      </c>
      <c r="B1" s="1" t="str">
        <f>Summary!B9</f>
        <v>Camp</v>
      </c>
      <c r="C1" s="1" t="str">
        <f>Summary!C9</f>
        <v>Host families</v>
      </c>
      <c r="D1" s="1" t="str">
        <f>Summary!D9</f>
        <v>Hotel/Motel or short-term rental</v>
      </c>
      <c r="E1" s="1" t="str">
        <f>Summary!E9</f>
        <v>Informal settlements</v>
      </c>
      <c r="F1" s="1" t="str">
        <f>Summary!F9</f>
        <v>Other shelter type</v>
      </c>
      <c r="G1" s="1" t="str">
        <f>Summary!G9</f>
        <v>Religious building</v>
      </c>
      <c r="H1" s="1" t="str">
        <f>Summary!H9</f>
        <v>Rental(Habitable)</v>
      </c>
      <c r="I1" s="1" t="str">
        <f>Summary!I9</f>
        <v>Rental(uninhabitable)</v>
      </c>
      <c r="J1" s="1" t="str">
        <f>Summary!J9</f>
        <v>School building</v>
      </c>
      <c r="K1" s="1" t="str">
        <f>Summary!K9</f>
        <v>Unfinished/Abandoned building</v>
      </c>
      <c r="L1" s="1" t="s">
        <v>5788</v>
      </c>
      <c r="M1" s="1" t="str">
        <f>Summary!M9</f>
        <v>Unknown shelter type</v>
      </c>
      <c r="N1" s="1" t="str">
        <f>Summary!N9</f>
        <v>Total</v>
      </c>
      <c r="O1" s="9"/>
    </row>
    <row r="2" spans="1:15" x14ac:dyDescent="0.25">
      <c r="A2" s="2" t="str">
        <f>Summary!A10</f>
        <v>Anbar</v>
      </c>
      <c r="B2" s="3">
        <f>Summary!B10</f>
        <v>1847</v>
      </c>
      <c r="C2" s="3">
        <f>Summary!C10</f>
        <v>940</v>
      </c>
      <c r="D2" s="3">
        <f>Summary!D10</f>
        <v>0</v>
      </c>
      <c r="E2" s="3">
        <f>Summary!E10</f>
        <v>1277</v>
      </c>
      <c r="F2" s="3">
        <f>Summary!F10</f>
        <v>40</v>
      </c>
      <c r="G2" s="3">
        <f>Summary!G10</f>
        <v>0</v>
      </c>
      <c r="H2" s="3">
        <f>Summary!H10</f>
        <v>924</v>
      </c>
      <c r="I2" s="3">
        <f>Summary!I10</f>
        <v>0</v>
      </c>
      <c r="J2" s="3">
        <f>Summary!J10</f>
        <v>0</v>
      </c>
      <c r="K2" s="3">
        <f>Summary!K10</f>
        <v>9</v>
      </c>
      <c r="L2" s="3">
        <f>Summary!L10</f>
        <v>0</v>
      </c>
      <c r="M2" s="3">
        <f>Summary!M10</f>
        <v>0</v>
      </c>
      <c r="N2" s="3">
        <f>Summary!N10</f>
        <v>5037</v>
      </c>
      <c r="O2" s="10"/>
    </row>
    <row r="3" spans="1:15" x14ac:dyDescent="0.25">
      <c r="A3" s="2" t="str">
        <f>Summary!A11</f>
        <v>Babylon</v>
      </c>
      <c r="B3" s="3">
        <f>Summary!B11</f>
        <v>0</v>
      </c>
      <c r="C3" s="3">
        <f>Summary!C11</f>
        <v>161</v>
      </c>
      <c r="D3" s="3">
        <f>Summary!D11</f>
        <v>10</v>
      </c>
      <c r="E3" s="3">
        <f>Summary!E11</f>
        <v>68</v>
      </c>
      <c r="F3" s="3">
        <f>Summary!F11</f>
        <v>0</v>
      </c>
      <c r="G3" s="3">
        <f>Summary!G11</f>
        <v>3</v>
      </c>
      <c r="H3" s="3">
        <f>Summary!H11</f>
        <v>2556</v>
      </c>
      <c r="I3" s="3">
        <f>Summary!I11</f>
        <v>0</v>
      </c>
      <c r="J3" s="3">
        <f>Summary!J11</f>
        <v>0</v>
      </c>
      <c r="K3" s="3">
        <f>Summary!K11</f>
        <v>6</v>
      </c>
      <c r="L3" s="3">
        <f>Summary!L11</f>
        <v>76</v>
      </c>
      <c r="M3" s="3">
        <f>Summary!M11</f>
        <v>0</v>
      </c>
      <c r="N3" s="3">
        <f>Summary!N11</f>
        <v>2880</v>
      </c>
      <c r="O3" s="10"/>
    </row>
    <row r="4" spans="1:15" x14ac:dyDescent="0.25">
      <c r="A4" s="2" t="str">
        <f>Summary!A12</f>
        <v>Baghdad</v>
      </c>
      <c r="B4" s="3">
        <f>Summary!B12</f>
        <v>491</v>
      </c>
      <c r="C4" s="3">
        <f>Summary!C12</f>
        <v>2257</v>
      </c>
      <c r="D4" s="3">
        <f>Summary!D12</f>
        <v>0</v>
      </c>
      <c r="E4" s="3">
        <f>Summary!E12</f>
        <v>158</v>
      </c>
      <c r="F4" s="3">
        <f>Summary!F12</f>
        <v>0</v>
      </c>
      <c r="G4" s="3">
        <f>Summary!G12</f>
        <v>15</v>
      </c>
      <c r="H4" s="3">
        <f>Summary!H12</f>
        <v>4044</v>
      </c>
      <c r="I4" s="3">
        <f>Summary!I12</f>
        <v>252</v>
      </c>
      <c r="J4" s="3">
        <f>Summary!J12</f>
        <v>14</v>
      </c>
      <c r="K4" s="3">
        <f>Summary!K12</f>
        <v>88</v>
      </c>
      <c r="L4" s="3">
        <f>Summary!L12</f>
        <v>114</v>
      </c>
      <c r="M4" s="3">
        <f>Summary!M12</f>
        <v>0</v>
      </c>
      <c r="N4" s="3">
        <f>Summary!N12</f>
        <v>7433</v>
      </c>
      <c r="O4" s="10"/>
    </row>
    <row r="5" spans="1:15" x14ac:dyDescent="0.25">
      <c r="A5" s="2" t="str">
        <f>Summary!A13</f>
        <v>Basrah</v>
      </c>
      <c r="B5" s="3">
        <f>Summary!B13</f>
        <v>0</v>
      </c>
      <c r="C5" s="3">
        <f>Summary!C13</f>
        <v>285</v>
      </c>
      <c r="D5" s="3">
        <f>Summary!D13</f>
        <v>26</v>
      </c>
      <c r="E5" s="3">
        <f>Summary!E13</f>
        <v>56</v>
      </c>
      <c r="F5" s="3">
        <f>Summary!F13</f>
        <v>0</v>
      </c>
      <c r="G5" s="3">
        <f>Summary!G13</f>
        <v>3</v>
      </c>
      <c r="H5" s="3">
        <f>Summary!H13</f>
        <v>720</v>
      </c>
      <c r="I5" s="3">
        <f>Summary!I13</f>
        <v>0</v>
      </c>
      <c r="J5" s="3">
        <f>Summary!J13</f>
        <v>2</v>
      </c>
      <c r="K5" s="3">
        <f>Summary!K13</f>
        <v>3</v>
      </c>
      <c r="L5" s="3">
        <f>Summary!L13</f>
        <v>15</v>
      </c>
      <c r="M5" s="3">
        <f>Summary!M13</f>
        <v>0</v>
      </c>
      <c r="N5" s="3">
        <f>Summary!N13</f>
        <v>1110</v>
      </c>
      <c r="O5" s="10"/>
    </row>
    <row r="6" spans="1:15" x14ac:dyDescent="0.25">
      <c r="A6" s="2" t="str">
        <f>Summary!A14</f>
        <v>Dahuk</v>
      </c>
      <c r="B6" s="3">
        <f>Summary!B14</f>
        <v>25273</v>
      </c>
      <c r="C6" s="3">
        <f>Summary!C14</f>
        <v>3444</v>
      </c>
      <c r="D6" s="3">
        <f>Summary!D14</f>
        <v>85</v>
      </c>
      <c r="E6" s="3">
        <f>Summary!E14</f>
        <v>2316</v>
      </c>
      <c r="F6" s="3">
        <f>Summary!F14</f>
        <v>0</v>
      </c>
      <c r="G6" s="3">
        <f>Summary!G14</f>
        <v>6</v>
      </c>
      <c r="H6" s="3">
        <f>Summary!H14</f>
        <v>17753</v>
      </c>
      <c r="I6" s="3">
        <f>Summary!I14</f>
        <v>0</v>
      </c>
      <c r="J6" s="3">
        <f>Summary!J14</f>
        <v>0</v>
      </c>
      <c r="K6" s="3">
        <f>Summary!K14</f>
        <v>3784</v>
      </c>
      <c r="L6" s="3">
        <f>Summary!L14</f>
        <v>626</v>
      </c>
      <c r="M6" s="3">
        <f>Summary!M14</f>
        <v>0</v>
      </c>
      <c r="N6" s="3">
        <f>Summary!N14</f>
        <v>53287</v>
      </c>
      <c r="O6" s="10"/>
    </row>
    <row r="7" spans="1:15" x14ac:dyDescent="0.25">
      <c r="A7" s="2" t="str">
        <f>Summary!A15</f>
        <v>Diyala</v>
      </c>
      <c r="B7" s="3">
        <f>Summary!B15</f>
        <v>1140</v>
      </c>
      <c r="C7" s="3">
        <f>Summary!C15</f>
        <v>1503</v>
      </c>
      <c r="D7" s="3">
        <f>Summary!D15</f>
        <v>0</v>
      </c>
      <c r="E7" s="3">
        <f>Summary!E15</f>
        <v>0</v>
      </c>
      <c r="F7" s="3">
        <f>Summary!F15</f>
        <v>0</v>
      </c>
      <c r="G7" s="3">
        <f>Summary!G15</f>
        <v>0</v>
      </c>
      <c r="H7" s="3">
        <f>Summary!H15</f>
        <v>6023</v>
      </c>
      <c r="I7" s="3">
        <f>Summary!I15</f>
        <v>196</v>
      </c>
      <c r="J7" s="3">
        <f>Summary!J15</f>
        <v>0</v>
      </c>
      <c r="K7" s="3">
        <f>Summary!K15</f>
        <v>120</v>
      </c>
      <c r="L7" s="3">
        <f>Summary!L15</f>
        <v>0</v>
      </c>
      <c r="M7" s="3">
        <f>Summary!M15</f>
        <v>0</v>
      </c>
      <c r="N7" s="3">
        <f>Summary!N15</f>
        <v>8982</v>
      </c>
      <c r="O7" s="10"/>
    </row>
    <row r="8" spans="1:15" x14ac:dyDescent="0.25">
      <c r="A8" s="2" t="str">
        <f>Summary!A16</f>
        <v>Erbil</v>
      </c>
      <c r="B8" s="3">
        <f>Summary!B16</f>
        <v>3032</v>
      </c>
      <c r="C8" s="3">
        <f>Summary!C16</f>
        <v>63</v>
      </c>
      <c r="D8" s="3">
        <f>Summary!D16</f>
        <v>38</v>
      </c>
      <c r="E8" s="3">
        <f>Summary!E16</f>
        <v>172</v>
      </c>
      <c r="F8" s="3">
        <f>Summary!F16</f>
        <v>0</v>
      </c>
      <c r="G8" s="3">
        <f>Summary!G16</f>
        <v>0</v>
      </c>
      <c r="H8" s="3">
        <f>Summary!H16</f>
        <v>37240</v>
      </c>
      <c r="I8" s="3">
        <f>Summary!I16</f>
        <v>0</v>
      </c>
      <c r="J8" s="3">
        <f>Summary!J16</f>
        <v>0</v>
      </c>
      <c r="K8" s="3">
        <f>Summary!K16</f>
        <v>45</v>
      </c>
      <c r="L8" s="3">
        <f>Summary!L16</f>
        <v>150</v>
      </c>
      <c r="M8" s="3">
        <f>Summary!M16</f>
        <v>0</v>
      </c>
      <c r="N8" s="3">
        <f>Summary!N16</f>
        <v>40740</v>
      </c>
      <c r="O8" s="10"/>
    </row>
    <row r="9" spans="1:15" x14ac:dyDescent="0.25">
      <c r="A9" s="2" t="str">
        <f>Summary!A17</f>
        <v>Kerbala</v>
      </c>
      <c r="B9" s="3">
        <f>Summary!B17</f>
        <v>179</v>
      </c>
      <c r="C9" s="3">
        <f>Summary!C17</f>
        <v>19</v>
      </c>
      <c r="D9" s="3">
        <f>Summary!D17</f>
        <v>0</v>
      </c>
      <c r="E9" s="3">
        <f>Summary!E17</f>
        <v>2</v>
      </c>
      <c r="F9" s="3">
        <f>Summary!F17</f>
        <v>0</v>
      </c>
      <c r="G9" s="3">
        <f>Summary!G17</f>
        <v>46</v>
      </c>
      <c r="H9" s="3">
        <f>Summary!H17</f>
        <v>2051</v>
      </c>
      <c r="I9" s="3">
        <f>Summary!I17</f>
        <v>12</v>
      </c>
      <c r="J9" s="3">
        <f>Summary!J17</f>
        <v>0</v>
      </c>
      <c r="K9" s="3">
        <f>Summary!K17</f>
        <v>0</v>
      </c>
      <c r="L9" s="3">
        <f>Summary!L17</f>
        <v>596</v>
      </c>
      <c r="M9" s="3">
        <f>Summary!M17</f>
        <v>0</v>
      </c>
      <c r="N9" s="3">
        <f>Summary!N17</f>
        <v>2905</v>
      </c>
      <c r="O9" s="10"/>
    </row>
    <row r="10" spans="1:15" x14ac:dyDescent="0.25">
      <c r="A10" s="2" t="str">
        <f>Summary!A18</f>
        <v>Kirkuk</v>
      </c>
      <c r="B10" s="3">
        <f>Summary!B18</f>
        <v>1985</v>
      </c>
      <c r="C10" s="3">
        <f>Summary!C18</f>
        <v>570</v>
      </c>
      <c r="D10" s="3">
        <f>Summary!D18</f>
        <v>0</v>
      </c>
      <c r="E10" s="3">
        <f>Summary!E18</f>
        <v>1177</v>
      </c>
      <c r="F10" s="3">
        <f>Summary!F18</f>
        <v>0</v>
      </c>
      <c r="G10" s="3">
        <f>Summary!G18</f>
        <v>0</v>
      </c>
      <c r="H10" s="3">
        <f>Summary!H18</f>
        <v>12664</v>
      </c>
      <c r="I10" s="3">
        <f>Summary!I18</f>
        <v>203</v>
      </c>
      <c r="J10" s="3">
        <f>Summary!J18</f>
        <v>0</v>
      </c>
      <c r="K10" s="3">
        <f>Summary!K18</f>
        <v>51</v>
      </c>
      <c r="L10" s="3">
        <f>Summary!L18</f>
        <v>197</v>
      </c>
      <c r="M10" s="3">
        <f>Summary!M18</f>
        <v>0</v>
      </c>
      <c r="N10" s="3">
        <f>Summary!N18</f>
        <v>16847</v>
      </c>
      <c r="O10" s="10"/>
    </row>
    <row r="11" spans="1:15" x14ac:dyDescent="0.25">
      <c r="A11" s="2" t="str">
        <f>Summary!A19</f>
        <v>Missan</v>
      </c>
      <c r="B11" s="3">
        <f>Summary!B19</f>
        <v>0</v>
      </c>
      <c r="C11" s="3">
        <f>Summary!C19</f>
        <v>155</v>
      </c>
      <c r="D11" s="3">
        <f>Summary!D19</f>
        <v>0</v>
      </c>
      <c r="E11" s="3">
        <f>Summary!E19</f>
        <v>38</v>
      </c>
      <c r="F11" s="3">
        <f>Summary!F19</f>
        <v>2</v>
      </c>
      <c r="G11" s="3">
        <f>Summary!G19</f>
        <v>2</v>
      </c>
      <c r="H11" s="3">
        <f>Summary!H19</f>
        <v>187</v>
      </c>
      <c r="I11" s="3">
        <f>Summary!I19</f>
        <v>0</v>
      </c>
      <c r="J11" s="3">
        <f>Summary!J19</f>
        <v>3</v>
      </c>
      <c r="K11" s="3">
        <f>Summary!K19</f>
        <v>0</v>
      </c>
      <c r="L11" s="3">
        <f>Summary!L19</f>
        <v>0</v>
      </c>
      <c r="M11" s="3">
        <f>Summary!M19</f>
        <v>0</v>
      </c>
      <c r="N11" s="3">
        <f>Summary!N19</f>
        <v>387</v>
      </c>
      <c r="O11" s="10"/>
    </row>
    <row r="12" spans="1:15" x14ac:dyDescent="0.25">
      <c r="A12" s="2" t="str">
        <f>Summary!A20</f>
        <v>Muthanna</v>
      </c>
      <c r="B12" s="3">
        <f>Summary!B20</f>
        <v>0</v>
      </c>
      <c r="C12" s="3">
        <f>Summary!C20</f>
        <v>48</v>
      </c>
      <c r="D12" s="3">
        <f>Summary!D20</f>
        <v>0</v>
      </c>
      <c r="E12" s="3">
        <f>Summary!E20</f>
        <v>0</v>
      </c>
      <c r="F12" s="3">
        <f>Summary!F20</f>
        <v>0</v>
      </c>
      <c r="G12" s="3">
        <f>Summary!G20</f>
        <v>2</v>
      </c>
      <c r="H12" s="3">
        <f>Summary!H20</f>
        <v>124</v>
      </c>
      <c r="I12" s="3">
        <f>Summary!I20</f>
        <v>0</v>
      </c>
      <c r="J12" s="3">
        <f>Summary!J20</f>
        <v>0</v>
      </c>
      <c r="K12" s="3">
        <f>Summary!K20</f>
        <v>5</v>
      </c>
      <c r="L12" s="3">
        <f>Summary!L20</f>
        <v>0</v>
      </c>
      <c r="M12" s="3">
        <f>Summary!M20</f>
        <v>0</v>
      </c>
      <c r="N12" s="3">
        <f>Summary!N20</f>
        <v>179</v>
      </c>
      <c r="O12" s="10"/>
    </row>
    <row r="13" spans="1:15" x14ac:dyDescent="0.25">
      <c r="A13" s="2" t="str">
        <f>Summary!A21</f>
        <v>Najaf</v>
      </c>
      <c r="B13" s="3">
        <f>Summary!B21</f>
        <v>185</v>
      </c>
      <c r="C13" s="3">
        <f>Summary!C21</f>
        <v>0</v>
      </c>
      <c r="D13" s="3">
        <f>Summary!D21</f>
        <v>0</v>
      </c>
      <c r="E13" s="3">
        <f>Summary!E21</f>
        <v>0</v>
      </c>
      <c r="F13" s="3">
        <f>Summary!F21</f>
        <v>0</v>
      </c>
      <c r="G13" s="3">
        <f>Summary!G21</f>
        <v>63</v>
      </c>
      <c r="H13" s="3">
        <f>Summary!H21</f>
        <v>1673</v>
      </c>
      <c r="I13" s="3">
        <f>Summary!I21</f>
        <v>2</v>
      </c>
      <c r="J13" s="3">
        <f>Summary!J21</f>
        <v>0</v>
      </c>
      <c r="K13" s="3">
        <f>Summary!K21</f>
        <v>0</v>
      </c>
      <c r="L13" s="3">
        <f>Summary!L21</f>
        <v>0</v>
      </c>
      <c r="M13" s="3">
        <f>Summary!M21</f>
        <v>0</v>
      </c>
      <c r="N13" s="3">
        <f>Summary!N21</f>
        <v>1923</v>
      </c>
      <c r="O13" s="10"/>
    </row>
    <row r="14" spans="1:15" x14ac:dyDescent="0.25">
      <c r="A14" s="2" t="str">
        <f>Summary!A22</f>
        <v>Ninewa</v>
      </c>
      <c r="B14" s="3">
        <f>Summary!B22</f>
        <v>22677</v>
      </c>
      <c r="C14" s="3">
        <f>Summary!C22</f>
        <v>9435</v>
      </c>
      <c r="D14" s="3">
        <f>Summary!D22</f>
        <v>3</v>
      </c>
      <c r="E14" s="3">
        <f>Summary!E22</f>
        <v>789</v>
      </c>
      <c r="F14" s="3">
        <f>Summary!F22</f>
        <v>0</v>
      </c>
      <c r="G14" s="3">
        <f>Summary!G22</f>
        <v>31</v>
      </c>
      <c r="H14" s="3">
        <f>Summary!H22</f>
        <v>22160</v>
      </c>
      <c r="I14" s="3">
        <f>Summary!I22</f>
        <v>684</v>
      </c>
      <c r="J14" s="3">
        <f>Summary!J22</f>
        <v>118</v>
      </c>
      <c r="K14" s="3">
        <f>Summary!K22</f>
        <v>2145</v>
      </c>
      <c r="L14" s="3">
        <f>Summary!L22</f>
        <v>721</v>
      </c>
      <c r="M14" s="3">
        <f>Summary!M22</f>
        <v>127</v>
      </c>
      <c r="N14" s="3">
        <f>Summary!N22</f>
        <v>58890</v>
      </c>
      <c r="O14" s="10"/>
    </row>
    <row r="15" spans="1:15" x14ac:dyDescent="0.25">
      <c r="A15" s="2" t="str">
        <f>Summary!A23</f>
        <v>Qadissiya</v>
      </c>
      <c r="B15" s="3">
        <f>Summary!B23</f>
        <v>0</v>
      </c>
      <c r="C15" s="3">
        <f>Summary!C23</f>
        <v>158</v>
      </c>
      <c r="D15" s="3">
        <f>Summary!D23</f>
        <v>0</v>
      </c>
      <c r="E15" s="3">
        <f>Summary!E23</f>
        <v>0</v>
      </c>
      <c r="F15" s="3">
        <f>Summary!F23</f>
        <v>35</v>
      </c>
      <c r="G15" s="3">
        <f>Summary!G23</f>
        <v>97</v>
      </c>
      <c r="H15" s="3">
        <f>Summary!H23</f>
        <v>376</v>
      </c>
      <c r="I15" s="3">
        <f>Summary!I23</f>
        <v>0</v>
      </c>
      <c r="J15" s="3">
        <f>Summary!J23</f>
        <v>0</v>
      </c>
      <c r="K15" s="3">
        <f>Summary!K23</f>
        <v>3</v>
      </c>
      <c r="L15" s="3">
        <f>Summary!L23</f>
        <v>0</v>
      </c>
      <c r="M15" s="3">
        <f>Summary!M23</f>
        <v>0</v>
      </c>
      <c r="N15" s="3">
        <f>Summary!N23</f>
        <v>669</v>
      </c>
      <c r="O15" s="10"/>
    </row>
    <row r="16" spans="1:15" x14ac:dyDescent="0.25">
      <c r="A16" s="2" t="str">
        <f>Summary!A24</f>
        <v>Salah al-Din</v>
      </c>
      <c r="B16" s="3">
        <f>Summary!B24</f>
        <v>235</v>
      </c>
      <c r="C16" s="3">
        <f>Summary!C24</f>
        <v>1290</v>
      </c>
      <c r="D16" s="3">
        <f>Summary!D24</f>
        <v>0</v>
      </c>
      <c r="E16" s="3">
        <f>Summary!E24</f>
        <v>1002</v>
      </c>
      <c r="F16" s="3">
        <f>Summary!F24</f>
        <v>0</v>
      </c>
      <c r="G16" s="3">
        <f>Summary!G24</f>
        <v>73</v>
      </c>
      <c r="H16" s="3">
        <f>Summary!H24</f>
        <v>8749</v>
      </c>
      <c r="I16" s="3">
        <f>Summary!I24</f>
        <v>1004</v>
      </c>
      <c r="J16" s="3">
        <f>Summary!J24</f>
        <v>401</v>
      </c>
      <c r="K16" s="3">
        <f>Summary!K24</f>
        <v>1469</v>
      </c>
      <c r="L16" s="3">
        <f>Summary!L24</f>
        <v>10</v>
      </c>
      <c r="M16" s="3">
        <f>Summary!M24</f>
        <v>0</v>
      </c>
      <c r="N16" s="3">
        <f>Summary!N24</f>
        <v>14233</v>
      </c>
      <c r="O16" s="10"/>
    </row>
    <row r="17" spans="1:15" x14ac:dyDescent="0.25">
      <c r="A17" s="2" t="str">
        <f>Summary!A25</f>
        <v>Sulaymaniyah</v>
      </c>
      <c r="B17" s="3">
        <f>Summary!B25</f>
        <v>2794</v>
      </c>
      <c r="C17" s="3">
        <f>Summary!C25</f>
        <v>61</v>
      </c>
      <c r="D17" s="3">
        <f>Summary!D25</f>
        <v>34</v>
      </c>
      <c r="E17" s="3">
        <f>Summary!E25</f>
        <v>8</v>
      </c>
      <c r="F17" s="3">
        <f>Summary!F25</f>
        <v>0</v>
      </c>
      <c r="G17" s="3">
        <f>Summary!G25</f>
        <v>12</v>
      </c>
      <c r="H17" s="3">
        <f>Summary!H25</f>
        <v>20050</v>
      </c>
      <c r="I17" s="3">
        <f>Summary!I25</f>
        <v>7</v>
      </c>
      <c r="J17" s="3">
        <f>Summary!J25</f>
        <v>3</v>
      </c>
      <c r="K17" s="3">
        <f>Summary!K25</f>
        <v>53</v>
      </c>
      <c r="L17" s="3">
        <f>Summary!L25</f>
        <v>450</v>
      </c>
      <c r="M17" s="3">
        <f>Summary!M25</f>
        <v>0</v>
      </c>
      <c r="N17" s="3">
        <f>Summary!N25</f>
        <v>23472</v>
      </c>
      <c r="O17" s="10"/>
    </row>
    <row r="18" spans="1:15" x14ac:dyDescent="0.25">
      <c r="A18" s="2" t="str">
        <f>Summary!A26</f>
        <v>Thi-Qar</v>
      </c>
      <c r="B18" s="3">
        <f>Summary!B26</f>
        <v>0</v>
      </c>
      <c r="C18" s="3">
        <f>Summary!C26</f>
        <v>136</v>
      </c>
      <c r="D18" s="3">
        <f>Summary!D26</f>
        <v>0</v>
      </c>
      <c r="E18" s="3">
        <f>Summary!E26</f>
        <v>0</v>
      </c>
      <c r="F18" s="3">
        <f>Summary!F26</f>
        <v>0</v>
      </c>
      <c r="G18" s="3">
        <f>Summary!G26</f>
        <v>3</v>
      </c>
      <c r="H18" s="3">
        <f>Summary!H26</f>
        <v>436</v>
      </c>
      <c r="I18" s="3">
        <f>Summary!I26</f>
        <v>1</v>
      </c>
      <c r="J18" s="3">
        <f>Summary!J26</f>
        <v>0</v>
      </c>
      <c r="K18" s="3">
        <f>Summary!K26</f>
        <v>0</v>
      </c>
      <c r="L18" s="3">
        <f>Summary!L26</f>
        <v>7</v>
      </c>
      <c r="M18" s="3">
        <f>Summary!M26</f>
        <v>0</v>
      </c>
      <c r="N18" s="3">
        <f>Summary!N26</f>
        <v>583</v>
      </c>
      <c r="O18" s="10"/>
    </row>
    <row r="19" spans="1:15" x14ac:dyDescent="0.25">
      <c r="A19" s="2" t="str">
        <f>Summary!A27</f>
        <v>Wassit</v>
      </c>
      <c r="B19" s="3">
        <f>Summary!B27</f>
        <v>0</v>
      </c>
      <c r="C19" s="3">
        <f>Summary!C27</f>
        <v>64</v>
      </c>
      <c r="D19" s="3">
        <f>Summary!D27</f>
        <v>0</v>
      </c>
      <c r="E19" s="3">
        <f>Summary!E27</f>
        <v>0</v>
      </c>
      <c r="F19" s="3">
        <f>Summary!F27</f>
        <v>0</v>
      </c>
      <c r="G19" s="3">
        <f>Summary!G27</f>
        <v>52</v>
      </c>
      <c r="H19" s="3">
        <f>Summary!H27</f>
        <v>986</v>
      </c>
      <c r="I19" s="3">
        <f>Summary!I27</f>
        <v>0</v>
      </c>
      <c r="J19" s="3">
        <f>Summary!J27</f>
        <v>0</v>
      </c>
      <c r="K19" s="3">
        <f>Summary!K27</f>
        <v>64</v>
      </c>
      <c r="L19" s="3">
        <f>Summary!L27</f>
        <v>27</v>
      </c>
      <c r="M19" s="3">
        <f>Summary!M27</f>
        <v>0</v>
      </c>
      <c r="N19" s="3">
        <f>Summary!N27</f>
        <v>1193</v>
      </c>
      <c r="O19" s="10"/>
    </row>
    <row r="20" spans="1:15" x14ac:dyDescent="0.25">
      <c r="A20" s="2" t="str">
        <f>Summary!A28</f>
        <v xml:space="preserve">    Total</v>
      </c>
      <c r="B20" s="3">
        <f>Summary!B28</f>
        <v>59838</v>
      </c>
      <c r="C20" s="3">
        <f>Summary!C28</f>
        <v>20589</v>
      </c>
      <c r="D20" s="3">
        <f>Summary!D28</f>
        <v>196</v>
      </c>
      <c r="E20" s="3">
        <f>Summary!E28</f>
        <v>7063</v>
      </c>
      <c r="F20" s="3">
        <f>Summary!F28</f>
        <v>77</v>
      </c>
      <c r="G20" s="3">
        <f>Summary!G28</f>
        <v>408</v>
      </c>
      <c r="H20" s="3">
        <f>Summary!H28</f>
        <v>138716</v>
      </c>
      <c r="I20" s="3">
        <f>Summary!I28</f>
        <v>2361</v>
      </c>
      <c r="J20" s="3">
        <f>Summary!J28</f>
        <v>541</v>
      </c>
      <c r="K20" s="3">
        <f>Summary!K28</f>
        <v>7845</v>
      </c>
      <c r="L20" s="3">
        <f>Summary!L28</f>
        <v>2989</v>
      </c>
      <c r="M20" s="3">
        <f>Summary!M28</f>
        <v>127</v>
      </c>
      <c r="N20" s="3">
        <f>Summary!N28</f>
        <v>240750</v>
      </c>
      <c r="O20" s="10"/>
    </row>
    <row r="21" spans="1:15" x14ac:dyDescent="0.25">
      <c r="A21" s="4"/>
      <c r="B21" s="5">
        <f t="shared" ref="B21:M21" si="0">B20/$N$20</f>
        <v>0.24854828660436137</v>
      </c>
      <c r="C21" s="5">
        <f t="shared" si="0"/>
        <v>8.55202492211838E-2</v>
      </c>
      <c r="D21" s="5">
        <f t="shared" si="0"/>
        <v>8.1412253374870194E-4</v>
      </c>
      <c r="E21" s="5">
        <f t="shared" si="0"/>
        <v>2.9337487019730012E-2</v>
      </c>
      <c r="F21" s="5">
        <f t="shared" si="0"/>
        <v>3.1983385254413294E-4</v>
      </c>
      <c r="G21" s="5">
        <f t="shared" si="0"/>
        <v>1.6947040498442368E-3</v>
      </c>
      <c r="H21" s="5">
        <f t="shared" si="0"/>
        <v>0.57618276220145381</v>
      </c>
      <c r="I21" s="5">
        <f t="shared" si="0"/>
        <v>9.8068535825545176E-3</v>
      </c>
      <c r="J21" s="5">
        <f t="shared" si="0"/>
        <v>2.2471443406022846E-3</v>
      </c>
      <c r="K21" s="5">
        <f t="shared" si="0"/>
        <v>3.2585669781931462E-2</v>
      </c>
      <c r="L21" s="5">
        <f t="shared" si="0"/>
        <v>1.2415368639667705E-2</v>
      </c>
      <c r="M21" s="5">
        <f t="shared" si="0"/>
        <v>5.2751817237798552E-4</v>
      </c>
      <c r="N21" s="3"/>
      <c r="O21" s="7"/>
    </row>
    <row r="22" spans="1:1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44" spans="7:24" x14ac:dyDescent="0.25">
      <c r="S44" s="12"/>
      <c r="T44" s="12"/>
      <c r="U44" s="12"/>
      <c r="V44" s="12"/>
      <c r="W44" s="12"/>
    </row>
    <row r="45" spans="7:24" x14ac:dyDescent="0.25">
      <c r="R45" s="13"/>
      <c r="S45" s="98" t="str">
        <f t="shared" ref="S45:S60" si="1">A1</f>
        <v>Governorate of Displacement</v>
      </c>
      <c r="T45" s="98" t="s">
        <v>30</v>
      </c>
      <c r="U45" s="98" t="s">
        <v>31</v>
      </c>
      <c r="V45" s="98" t="s">
        <v>5766</v>
      </c>
      <c r="W45" s="98" t="s">
        <v>5775</v>
      </c>
      <c r="X45" s="7"/>
    </row>
    <row r="46" spans="7:24" x14ac:dyDescent="0.25">
      <c r="G46" s="97" t="s">
        <v>5776</v>
      </c>
      <c r="H46" s="97" t="s">
        <v>5860</v>
      </c>
      <c r="R46" s="13"/>
      <c r="S46" s="14" t="str">
        <f t="shared" si="1"/>
        <v>Anbar</v>
      </c>
      <c r="T46" s="6">
        <f t="shared" ref="T46:T60" si="2">B2</f>
        <v>1847</v>
      </c>
      <c r="U46" s="6">
        <f t="shared" ref="U46:U60" si="3">C2</f>
        <v>940</v>
      </c>
      <c r="V46" s="6">
        <f t="shared" ref="V46:V63" si="4">H2</f>
        <v>924</v>
      </c>
      <c r="W46" s="6">
        <f t="shared" ref="W46:W63" si="5">SUM(D2:G2,I2:M2)</f>
        <v>1326</v>
      </c>
      <c r="X46" s="7"/>
    </row>
    <row r="47" spans="7:24" x14ac:dyDescent="0.25">
      <c r="G47" s="2" t="s">
        <v>5777</v>
      </c>
      <c r="H47" s="3">
        <f>B20</f>
        <v>59838</v>
      </c>
      <c r="I47" s="89"/>
      <c r="R47" s="13"/>
      <c r="S47" s="14" t="str">
        <f t="shared" si="1"/>
        <v>Babylon</v>
      </c>
      <c r="T47" s="6">
        <f t="shared" si="2"/>
        <v>0</v>
      </c>
      <c r="U47" s="6">
        <f t="shared" si="3"/>
        <v>161</v>
      </c>
      <c r="V47" s="6">
        <f t="shared" si="4"/>
        <v>2556</v>
      </c>
      <c r="W47" s="6">
        <f t="shared" si="5"/>
        <v>163</v>
      </c>
      <c r="X47" s="7"/>
    </row>
    <row r="48" spans="7:24" x14ac:dyDescent="0.25">
      <c r="G48" s="2" t="s">
        <v>5778</v>
      </c>
      <c r="H48" s="3">
        <f>E20+F20+G20+I20+J20+K20</f>
        <v>18295</v>
      </c>
      <c r="I48" s="89"/>
      <c r="R48" s="13"/>
      <c r="S48" s="14" t="str">
        <f t="shared" si="1"/>
        <v>Baghdad</v>
      </c>
      <c r="T48" s="6">
        <f t="shared" si="2"/>
        <v>491</v>
      </c>
      <c r="U48" s="6">
        <f t="shared" si="3"/>
        <v>2257</v>
      </c>
      <c r="V48" s="6">
        <f t="shared" si="4"/>
        <v>4044</v>
      </c>
      <c r="W48" s="6">
        <f t="shared" si="5"/>
        <v>641</v>
      </c>
      <c r="X48" s="7"/>
    </row>
    <row r="49" spans="6:24" x14ac:dyDescent="0.25">
      <c r="G49" s="2" t="s">
        <v>5779</v>
      </c>
      <c r="H49" s="3">
        <f>C20+D20+H20+L20</f>
        <v>162490</v>
      </c>
      <c r="I49" s="89"/>
      <c r="R49" s="13"/>
      <c r="S49" s="14" t="str">
        <f t="shared" si="1"/>
        <v>Basrah</v>
      </c>
      <c r="T49" s="6">
        <f t="shared" si="2"/>
        <v>0</v>
      </c>
      <c r="U49" s="6">
        <f t="shared" si="3"/>
        <v>285</v>
      </c>
      <c r="V49" s="6">
        <f t="shared" si="4"/>
        <v>720</v>
      </c>
      <c r="W49" s="6">
        <f t="shared" si="5"/>
        <v>105</v>
      </c>
      <c r="X49" s="7"/>
    </row>
    <row r="50" spans="6:24" x14ac:dyDescent="0.25">
      <c r="G50" s="2" t="s">
        <v>5780</v>
      </c>
      <c r="H50" s="3">
        <f>M20</f>
        <v>127</v>
      </c>
      <c r="I50" s="89"/>
      <c r="R50" s="13"/>
      <c r="S50" s="14" t="str">
        <f t="shared" si="1"/>
        <v>Dahuk</v>
      </c>
      <c r="T50" s="6">
        <f t="shared" si="2"/>
        <v>25273</v>
      </c>
      <c r="U50" s="6">
        <f t="shared" si="3"/>
        <v>3444</v>
      </c>
      <c r="V50" s="6">
        <f t="shared" si="4"/>
        <v>17753</v>
      </c>
      <c r="W50" s="6">
        <f t="shared" si="5"/>
        <v>6817</v>
      </c>
      <c r="X50" s="7"/>
    </row>
    <row r="51" spans="6:24" x14ac:dyDescent="0.25">
      <c r="R51" s="13"/>
      <c r="S51" s="14" t="str">
        <f t="shared" si="1"/>
        <v>Diyala</v>
      </c>
      <c r="T51" s="6">
        <f t="shared" si="2"/>
        <v>1140</v>
      </c>
      <c r="U51" s="6">
        <f t="shared" si="3"/>
        <v>1503</v>
      </c>
      <c r="V51" s="6">
        <f t="shared" si="4"/>
        <v>6023</v>
      </c>
      <c r="W51" s="6">
        <f t="shared" si="5"/>
        <v>316</v>
      </c>
      <c r="X51" s="7"/>
    </row>
    <row r="52" spans="6:24" x14ac:dyDescent="0.25">
      <c r="R52" s="13"/>
      <c r="S52" s="14" t="str">
        <f t="shared" si="1"/>
        <v>Erbil</v>
      </c>
      <c r="T52" s="6">
        <f t="shared" si="2"/>
        <v>3032</v>
      </c>
      <c r="U52" s="6">
        <f t="shared" si="3"/>
        <v>63</v>
      </c>
      <c r="V52" s="6">
        <f t="shared" si="4"/>
        <v>37240</v>
      </c>
      <c r="W52" s="6">
        <f t="shared" si="5"/>
        <v>405</v>
      </c>
      <c r="X52" s="7"/>
    </row>
    <row r="53" spans="6:24" x14ac:dyDescent="0.25">
      <c r="R53" s="13"/>
      <c r="S53" s="14" t="str">
        <f t="shared" si="1"/>
        <v>Kerbala</v>
      </c>
      <c r="T53" s="6">
        <f t="shared" si="2"/>
        <v>179</v>
      </c>
      <c r="U53" s="6">
        <f t="shared" si="3"/>
        <v>19</v>
      </c>
      <c r="V53" s="6">
        <f t="shared" si="4"/>
        <v>2051</v>
      </c>
      <c r="W53" s="6">
        <f t="shared" si="5"/>
        <v>656</v>
      </c>
      <c r="X53" s="7"/>
    </row>
    <row r="54" spans="6:24" x14ac:dyDescent="0.25">
      <c r="R54" s="13"/>
      <c r="S54" s="14" t="str">
        <f t="shared" si="1"/>
        <v>Kirkuk</v>
      </c>
      <c r="T54" s="6">
        <f t="shared" si="2"/>
        <v>1985</v>
      </c>
      <c r="U54" s="6">
        <f t="shared" si="3"/>
        <v>570</v>
      </c>
      <c r="V54" s="6">
        <f t="shared" si="4"/>
        <v>12664</v>
      </c>
      <c r="W54" s="6">
        <f t="shared" si="5"/>
        <v>1628</v>
      </c>
      <c r="X54" s="7"/>
    </row>
    <row r="55" spans="6:24" x14ac:dyDescent="0.25">
      <c r="R55" s="13"/>
      <c r="S55" s="14" t="str">
        <f t="shared" si="1"/>
        <v>Missan</v>
      </c>
      <c r="T55" s="6">
        <f t="shared" si="2"/>
        <v>0</v>
      </c>
      <c r="U55" s="6">
        <f t="shared" si="3"/>
        <v>155</v>
      </c>
      <c r="V55" s="6">
        <f t="shared" si="4"/>
        <v>187</v>
      </c>
      <c r="W55" s="6">
        <f t="shared" si="5"/>
        <v>45</v>
      </c>
      <c r="X55" s="7"/>
    </row>
    <row r="56" spans="6:24" x14ac:dyDescent="0.25">
      <c r="R56" s="13"/>
      <c r="S56" s="14" t="str">
        <f t="shared" si="1"/>
        <v>Muthanna</v>
      </c>
      <c r="T56" s="6">
        <f t="shared" si="2"/>
        <v>0</v>
      </c>
      <c r="U56" s="6">
        <f t="shared" si="3"/>
        <v>48</v>
      </c>
      <c r="V56" s="6">
        <f t="shared" si="4"/>
        <v>124</v>
      </c>
      <c r="W56" s="6">
        <f t="shared" si="5"/>
        <v>7</v>
      </c>
      <c r="X56" s="7"/>
    </row>
    <row r="57" spans="6:24" x14ac:dyDescent="0.25">
      <c r="G57" s="12"/>
      <c r="H57" s="12"/>
      <c r="R57" s="13"/>
      <c r="S57" s="14" t="str">
        <f t="shared" si="1"/>
        <v>Najaf</v>
      </c>
      <c r="T57" s="6">
        <f t="shared" si="2"/>
        <v>185</v>
      </c>
      <c r="U57" s="6">
        <f t="shared" si="3"/>
        <v>0</v>
      </c>
      <c r="V57" s="6">
        <f t="shared" si="4"/>
        <v>1673</v>
      </c>
      <c r="W57" s="6">
        <f t="shared" si="5"/>
        <v>65</v>
      </c>
      <c r="X57" s="7"/>
    </row>
    <row r="58" spans="6:24" x14ac:dyDescent="0.25">
      <c r="F58" s="13"/>
      <c r="I58" s="7"/>
      <c r="R58" s="13"/>
      <c r="S58" s="14" t="str">
        <f t="shared" si="1"/>
        <v>Ninewa</v>
      </c>
      <c r="T58" s="6">
        <f t="shared" si="2"/>
        <v>22677</v>
      </c>
      <c r="U58" s="6">
        <f t="shared" si="3"/>
        <v>9435</v>
      </c>
      <c r="V58" s="6">
        <f t="shared" si="4"/>
        <v>22160</v>
      </c>
      <c r="W58" s="6">
        <f t="shared" si="5"/>
        <v>4618</v>
      </c>
      <c r="X58" s="7"/>
    </row>
    <row r="59" spans="6:24" x14ac:dyDescent="0.25">
      <c r="F59" s="13"/>
      <c r="I59" s="7"/>
      <c r="R59" s="13"/>
      <c r="S59" s="14" t="str">
        <f t="shared" si="1"/>
        <v>Qadissiya</v>
      </c>
      <c r="T59" s="6">
        <f t="shared" si="2"/>
        <v>0</v>
      </c>
      <c r="U59" s="6">
        <f t="shared" si="3"/>
        <v>158</v>
      </c>
      <c r="V59" s="6">
        <f t="shared" si="4"/>
        <v>376</v>
      </c>
      <c r="W59" s="6">
        <f t="shared" si="5"/>
        <v>135</v>
      </c>
      <c r="X59" s="7"/>
    </row>
    <row r="60" spans="6:24" x14ac:dyDescent="0.25">
      <c r="F60" s="13"/>
      <c r="I60" s="7"/>
      <c r="R60" s="13"/>
      <c r="S60" s="14" t="str">
        <f t="shared" si="1"/>
        <v>Salah al-Din</v>
      </c>
      <c r="T60" s="6">
        <f t="shared" si="2"/>
        <v>235</v>
      </c>
      <c r="U60" s="6">
        <f t="shared" si="3"/>
        <v>1290</v>
      </c>
      <c r="V60" s="6">
        <f t="shared" si="4"/>
        <v>8749</v>
      </c>
      <c r="W60" s="6">
        <f t="shared" si="5"/>
        <v>3959</v>
      </c>
      <c r="X60" s="7"/>
    </row>
    <row r="61" spans="6:24" x14ac:dyDescent="0.25">
      <c r="F61" s="13"/>
      <c r="I61" s="7"/>
      <c r="R61" s="13"/>
      <c r="S61" s="14" t="str">
        <f t="shared" ref="S61:U63" si="6">A17</f>
        <v>Sulaymaniyah</v>
      </c>
      <c r="T61" s="6">
        <f t="shared" si="6"/>
        <v>2794</v>
      </c>
      <c r="U61" s="6">
        <f t="shared" si="6"/>
        <v>61</v>
      </c>
      <c r="V61" s="6">
        <f t="shared" si="4"/>
        <v>20050</v>
      </c>
      <c r="W61" s="6">
        <f t="shared" si="5"/>
        <v>567</v>
      </c>
      <c r="X61" s="7"/>
    </row>
    <row r="62" spans="6:24" x14ac:dyDescent="0.25">
      <c r="F62" s="13"/>
      <c r="I62" s="7"/>
      <c r="R62" s="13"/>
      <c r="S62" s="14" t="str">
        <f t="shared" si="6"/>
        <v>Thi-Qar</v>
      </c>
      <c r="T62" s="6">
        <f t="shared" si="6"/>
        <v>0</v>
      </c>
      <c r="U62" s="6">
        <f t="shared" si="6"/>
        <v>136</v>
      </c>
      <c r="V62" s="6">
        <f t="shared" si="4"/>
        <v>436</v>
      </c>
      <c r="W62" s="6">
        <f t="shared" si="5"/>
        <v>11</v>
      </c>
      <c r="X62" s="7"/>
    </row>
    <row r="63" spans="6:24" x14ac:dyDescent="0.25">
      <c r="G63" s="11"/>
      <c r="H63" s="11"/>
      <c r="R63" s="13"/>
      <c r="S63" s="14" t="str">
        <f t="shared" si="6"/>
        <v>Wassit</v>
      </c>
      <c r="T63" s="6">
        <f t="shared" si="6"/>
        <v>0</v>
      </c>
      <c r="U63" s="6">
        <f t="shared" si="6"/>
        <v>64</v>
      </c>
      <c r="V63" s="6">
        <f t="shared" si="4"/>
        <v>986</v>
      </c>
      <c r="W63" s="6">
        <f t="shared" si="5"/>
        <v>143</v>
      </c>
      <c r="X63" s="7"/>
    </row>
    <row r="64" spans="6:24" x14ac:dyDescent="0.25">
      <c r="S64" s="11"/>
      <c r="T64" s="11"/>
      <c r="U64" s="11"/>
      <c r="V64" s="11"/>
      <c r="W64" s="11"/>
    </row>
  </sheetData>
  <conditionalFormatting sqref="B21:M21">
    <cfRule type="cellIs" dxfId="0" priority="1" operator="greaterThanOrEqual">
      <formula>0.05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Round 112</vt:lpstr>
      <vt:lpstr>Summary</vt:lpstr>
      <vt:lpstr>DTM Dataset</vt:lpstr>
      <vt:lpstr>Period of Displacement</vt:lpstr>
      <vt:lpstr>Shelter Type</vt:lpstr>
      <vt:lpstr>District_of_Displacement</vt:lpstr>
      <vt:lpstr>Governorate_of_Origin</vt:lpstr>
      <vt:lpstr>IDP_Per_of_Disp_and_Gov_of_Dis</vt:lpstr>
      <vt:lpstr>Period_of_Displacement</vt:lpstr>
      <vt:lpstr>Shelter_Type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CHAWSHEEN Dwen</dc:creator>
  <cp:lastModifiedBy>ADULAIMI Ammar</cp:lastModifiedBy>
  <cp:lastPrinted>2019-09-09T14:15:53Z</cp:lastPrinted>
  <dcterms:created xsi:type="dcterms:W3CDTF">2019-06-27T12:18:25Z</dcterms:created>
  <dcterms:modified xsi:type="dcterms:W3CDTF">2019-11-07T15:33:54Z</dcterms:modified>
</cp:coreProperties>
</file>